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m/Desktop/Root/MBA/Courses Material/Financial Accounting/Exam/"/>
    </mc:Choice>
  </mc:AlternateContent>
  <xr:revisionPtr revIDLastSave="0" documentId="13_ncr:1_{ECFDBEDA-5652-5547-A159-822B9451C264}" xr6:coauthVersionLast="46" xr6:coauthVersionMax="47" xr10:uidLastSave="{00000000-0000-0000-0000-000000000000}"/>
  <bookViews>
    <workbookView xWindow="7000" yWindow="1700" windowWidth="19360" windowHeight="13900" firstSheet="3" activeTab="6" xr2:uid="{276B6033-6CC1-3A43-B021-447883732218}"/>
  </bookViews>
  <sheets>
    <sheet name="RATIOS" sheetId="1" r:id="rId1"/>
    <sheet name="RATIOS (2)" sheetId="8" r:id="rId2"/>
    <sheet name="MY_SHEET_flipped" sheetId="3" r:id="rId3"/>
    <sheet name="MY_SHEET_flipped con Toyota" sheetId="4" r:id="rId4"/>
    <sheet name="Sheet4" sheetId="5" r:id="rId5"/>
    <sheet name="MY_SHEET_reflipped_bene" sheetId="6" r:id="rId6"/>
    <sheet name="FINAL_FOR_GRAPHS_(SUPERFLIPPED)" sheetId="7" r:id="rId7"/>
    <sheet name="Sheet3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9" i="7" l="1"/>
  <c r="L99" i="7"/>
  <c r="K99" i="7"/>
  <c r="L98" i="7"/>
  <c r="M98" i="7"/>
  <c r="K98" i="7"/>
  <c r="L97" i="7"/>
  <c r="M97" i="7"/>
  <c r="K97" i="7"/>
  <c r="U45" i="7"/>
  <c r="V45" i="7"/>
  <c r="W45" i="7"/>
  <c r="X45" i="7"/>
  <c r="Y45" i="7"/>
  <c r="Z45" i="7"/>
  <c r="AA45" i="7"/>
  <c r="AB45" i="7"/>
  <c r="AC45" i="7"/>
  <c r="AD45" i="7"/>
  <c r="T45" i="7"/>
  <c r="Q45" i="7"/>
  <c r="G45" i="7"/>
  <c r="L96" i="7" s="1"/>
  <c r="P46" i="1"/>
  <c r="Q46" i="1"/>
  <c r="R46" i="1"/>
  <c r="O46" i="1"/>
  <c r="K46" i="1"/>
  <c r="L46" i="1"/>
  <c r="M46" i="1"/>
  <c r="H105" i="7"/>
  <c r="J68" i="8"/>
  <c r="J67" i="8"/>
  <c r="J66" i="8"/>
  <c r="J70" i="8" s="1"/>
  <c r="E61" i="8"/>
  <c r="E59" i="8"/>
  <c r="J54" i="8"/>
  <c r="H54" i="8"/>
  <c r="F54" i="8"/>
  <c r="E54" i="8"/>
  <c r="H53" i="8"/>
  <c r="J52" i="8"/>
  <c r="J56" i="8" s="1"/>
  <c r="H52" i="8"/>
  <c r="H56" i="8" s="1"/>
  <c r="F52" i="8"/>
  <c r="F56" i="8" s="1"/>
  <c r="E52" i="8"/>
  <c r="Q43" i="8"/>
  <c r="P43" i="8"/>
  <c r="O43" i="8"/>
  <c r="E105" i="8" s="1"/>
  <c r="G43" i="8"/>
  <c r="F43" i="8"/>
  <c r="E43" i="8"/>
  <c r="E103" i="8" s="1"/>
  <c r="U42" i="8"/>
  <c r="R42" i="8"/>
  <c r="Q42" i="8"/>
  <c r="P42" i="8"/>
  <c r="O42" i="8"/>
  <c r="M42" i="8"/>
  <c r="L42" i="8"/>
  <c r="K42" i="8"/>
  <c r="J42" i="8"/>
  <c r="H42" i="8"/>
  <c r="G42" i="8"/>
  <c r="F42" i="8"/>
  <c r="E42" i="8"/>
  <c r="R41" i="8"/>
  <c r="M41" i="8"/>
  <c r="L41" i="8"/>
  <c r="K41" i="8"/>
  <c r="J41" i="8"/>
  <c r="E99" i="8" s="1"/>
  <c r="Q40" i="8"/>
  <c r="P40" i="8"/>
  <c r="O40" i="8"/>
  <c r="E95" i="8" s="1"/>
  <c r="J40" i="8"/>
  <c r="E94" i="8" s="1"/>
  <c r="G40" i="8"/>
  <c r="F40" i="8"/>
  <c r="E40" i="8"/>
  <c r="E93" i="8" s="1"/>
  <c r="R39" i="8"/>
  <c r="Q39" i="8"/>
  <c r="P39" i="8"/>
  <c r="O39" i="8"/>
  <c r="E90" i="8" s="1"/>
  <c r="M39" i="8"/>
  <c r="L39" i="8"/>
  <c r="K39" i="8"/>
  <c r="J39" i="8"/>
  <c r="E89" i="8" s="1"/>
  <c r="H39" i="8"/>
  <c r="G39" i="8"/>
  <c r="F39" i="8"/>
  <c r="E39" i="8"/>
  <c r="E88" i="8" s="1"/>
  <c r="T37" i="8"/>
  <c r="R37" i="8"/>
  <c r="Q37" i="8"/>
  <c r="P37" i="8"/>
  <c r="O37" i="8"/>
  <c r="M37" i="8"/>
  <c r="L37" i="8"/>
  <c r="K37" i="8"/>
  <c r="J37" i="8"/>
  <c r="E37" i="8"/>
  <c r="Q36" i="8"/>
  <c r="G68" i="8" s="1"/>
  <c r="L36" i="8"/>
  <c r="G67" i="8" s="1"/>
  <c r="G36" i="8"/>
  <c r="G66" i="8" s="1"/>
  <c r="R35" i="8"/>
  <c r="R34" i="8"/>
  <c r="Q34" i="8"/>
  <c r="Q35" i="8" s="1"/>
  <c r="P34" i="8"/>
  <c r="P35" i="8" s="1"/>
  <c r="O34" i="8"/>
  <c r="O35" i="8" s="1"/>
  <c r="G34" i="8"/>
  <c r="G35" i="8" s="1"/>
  <c r="E34" i="8"/>
  <c r="E35" i="8" s="1"/>
  <c r="O32" i="8"/>
  <c r="J61" i="8" s="1"/>
  <c r="E32" i="8"/>
  <c r="J59" i="8" s="1"/>
  <c r="R31" i="8"/>
  <c r="M68" i="8" s="1"/>
  <c r="Q31" i="8"/>
  <c r="L68" i="8" s="1"/>
  <c r="P31" i="8"/>
  <c r="K68" i="8" s="1"/>
  <c r="O31" i="8"/>
  <c r="M31" i="8"/>
  <c r="M67" i="8" s="1"/>
  <c r="L31" i="8"/>
  <c r="L67" i="8" s="1"/>
  <c r="K31" i="8"/>
  <c r="K67" i="8" s="1"/>
  <c r="J31" i="8"/>
  <c r="H31" i="8"/>
  <c r="M66" i="8" s="1"/>
  <c r="G31" i="8"/>
  <c r="L66" i="8" s="1"/>
  <c r="F31" i="8"/>
  <c r="K66" i="8" s="1"/>
  <c r="E31" i="8"/>
  <c r="T30" i="8"/>
  <c r="J55" i="8" s="1"/>
  <c r="R30" i="8"/>
  <c r="M54" i="8" s="1"/>
  <c r="Q30" i="8"/>
  <c r="L54" i="8" s="1"/>
  <c r="P30" i="8"/>
  <c r="K54" i="8" s="1"/>
  <c r="O30" i="8"/>
  <c r="J30" i="8"/>
  <c r="J53" i="8" s="1"/>
  <c r="H30" i="8"/>
  <c r="M52" i="8" s="1"/>
  <c r="G30" i="8"/>
  <c r="L52" i="8" s="1"/>
  <c r="F30" i="8"/>
  <c r="K52" i="8" s="1"/>
  <c r="E30" i="8"/>
  <c r="R29" i="8"/>
  <c r="H61" i="8" s="1"/>
  <c r="Q29" i="8"/>
  <c r="G61" i="8" s="1"/>
  <c r="P29" i="8"/>
  <c r="F61" i="8" s="1"/>
  <c r="O29" i="8"/>
  <c r="H29" i="8"/>
  <c r="H59" i="8" s="1"/>
  <c r="G29" i="8"/>
  <c r="G59" i="8" s="1"/>
  <c r="F29" i="8"/>
  <c r="F59" i="8" s="1"/>
  <c r="E29" i="8"/>
  <c r="T27" i="8"/>
  <c r="R27" i="8"/>
  <c r="Q27" i="8"/>
  <c r="P27" i="8"/>
  <c r="O27" i="8"/>
  <c r="M27" i="8"/>
  <c r="L27" i="8"/>
  <c r="K27" i="8"/>
  <c r="J27" i="8"/>
  <c r="H27" i="8"/>
  <c r="G27" i="8"/>
  <c r="F27" i="8"/>
  <c r="E27" i="8"/>
  <c r="T26" i="8"/>
  <c r="E55" i="8" s="1"/>
  <c r="R26" i="8"/>
  <c r="Q26" i="8"/>
  <c r="G54" i="8" s="1"/>
  <c r="P26" i="8"/>
  <c r="O26" i="8"/>
  <c r="M26" i="8"/>
  <c r="L26" i="8"/>
  <c r="G53" i="8" s="1"/>
  <c r="K26" i="8"/>
  <c r="F53" i="8" s="1"/>
  <c r="J26" i="8"/>
  <c r="E53" i="8" s="1"/>
  <c r="E56" i="8" s="1"/>
  <c r="H26" i="8"/>
  <c r="G26" i="8"/>
  <c r="G52" i="8" s="1"/>
  <c r="G56" i="8" s="1"/>
  <c r="F26" i="8"/>
  <c r="E26" i="8"/>
  <c r="U23" i="8"/>
  <c r="T23" i="8"/>
  <c r="U21" i="8"/>
  <c r="T21" i="8"/>
  <c r="U20" i="8"/>
  <c r="T20" i="8"/>
  <c r="R19" i="8"/>
  <c r="Q19" i="8"/>
  <c r="Q41" i="8" s="1"/>
  <c r="P19" i="8"/>
  <c r="P41" i="8" s="1"/>
  <c r="O19" i="8"/>
  <c r="O41" i="8" s="1"/>
  <c r="E100" i="8" s="1"/>
  <c r="H19" i="8"/>
  <c r="H41" i="8" s="1"/>
  <c r="G19" i="8"/>
  <c r="G41" i="8" s="1"/>
  <c r="F19" i="8"/>
  <c r="F41" i="8" s="1"/>
  <c r="E19" i="8"/>
  <c r="E41" i="8" s="1"/>
  <c r="E98" i="8" s="1"/>
  <c r="U18" i="8"/>
  <c r="T18" i="8"/>
  <c r="T42" i="8" s="1"/>
  <c r="U17" i="8"/>
  <c r="T17" i="8"/>
  <c r="H17" i="8"/>
  <c r="G17" i="8"/>
  <c r="F17" i="8"/>
  <c r="E17" i="8"/>
  <c r="U16" i="8"/>
  <c r="U39" i="8" s="1"/>
  <c r="T16" i="8"/>
  <c r="T39" i="8" s="1"/>
  <c r="I16" i="8"/>
  <c r="R14" i="8"/>
  <c r="R43" i="8" s="1"/>
  <c r="Q14" i="8"/>
  <c r="P14" i="8"/>
  <c r="O14" i="8"/>
  <c r="M14" i="8"/>
  <c r="M40" i="8" s="1"/>
  <c r="L14" i="8"/>
  <c r="L40" i="8" s="1"/>
  <c r="K14" i="8"/>
  <c r="K43" i="8" s="1"/>
  <c r="J14" i="8"/>
  <c r="J43" i="8" s="1"/>
  <c r="E104" i="8" s="1"/>
  <c r="H14" i="8"/>
  <c r="H43" i="8" s="1"/>
  <c r="G14" i="8"/>
  <c r="F14" i="8"/>
  <c r="E14" i="8"/>
  <c r="R12" i="8"/>
  <c r="R36" i="8" s="1"/>
  <c r="H68" i="8" s="1"/>
  <c r="Q12" i="8"/>
  <c r="P12" i="8"/>
  <c r="P36" i="8" s="1"/>
  <c r="F68" i="8" s="1"/>
  <c r="O12" i="8"/>
  <c r="O36" i="8" s="1"/>
  <c r="E68" i="8" s="1"/>
  <c r="M12" i="8"/>
  <c r="M36" i="8" s="1"/>
  <c r="H67" i="8" s="1"/>
  <c r="L12" i="8"/>
  <c r="K12" i="8"/>
  <c r="U12" i="8" s="1"/>
  <c r="U36" i="8" s="1"/>
  <c r="F69" i="8" s="1"/>
  <c r="J12" i="8"/>
  <c r="T12" i="8" s="1"/>
  <c r="T36" i="8" s="1"/>
  <c r="E69" i="8" s="1"/>
  <c r="H12" i="8"/>
  <c r="H36" i="8" s="1"/>
  <c r="H66" i="8" s="1"/>
  <c r="G12" i="8"/>
  <c r="F12" i="8"/>
  <c r="F36" i="8" s="1"/>
  <c r="F66" i="8" s="1"/>
  <c r="E12" i="8"/>
  <c r="E36" i="8" s="1"/>
  <c r="E66" i="8" s="1"/>
  <c r="U11" i="8"/>
  <c r="T11" i="8"/>
  <c r="U10" i="8"/>
  <c r="U31" i="8" s="1"/>
  <c r="K69" i="8" s="1"/>
  <c r="T10" i="8"/>
  <c r="T31" i="8" s="1"/>
  <c r="J69" i="8" s="1"/>
  <c r="U8" i="8"/>
  <c r="U26" i="8" s="1"/>
  <c r="F55" i="8" s="1"/>
  <c r="T8" i="8"/>
  <c r="T7" i="8"/>
  <c r="H7" i="8"/>
  <c r="H37" i="8" s="1"/>
  <c r="G7" i="8"/>
  <c r="G37" i="8" s="1"/>
  <c r="F7" i="8"/>
  <c r="F37" i="8" s="1"/>
  <c r="U6" i="8"/>
  <c r="T6" i="8"/>
  <c r="T34" i="8" s="1"/>
  <c r="T35" i="8" s="1"/>
  <c r="M6" i="8"/>
  <c r="M30" i="8" s="1"/>
  <c r="M53" i="8" s="1"/>
  <c r="L6" i="8"/>
  <c r="L30" i="8" s="1"/>
  <c r="L53" i="8" s="1"/>
  <c r="K6" i="8"/>
  <c r="K34" i="8" s="1"/>
  <c r="K35" i="8" s="1"/>
  <c r="J6" i="8"/>
  <c r="J34" i="8" s="1"/>
  <c r="J35" i="8" s="1"/>
  <c r="R5" i="8"/>
  <c r="R32" i="8" s="1"/>
  <c r="M61" i="8" s="1"/>
  <c r="Q5" i="8"/>
  <c r="Q32" i="8" s="1"/>
  <c r="L61" i="8" s="1"/>
  <c r="P5" i="8"/>
  <c r="P32" i="8" s="1"/>
  <c r="K61" i="8" s="1"/>
  <c r="O5" i="8"/>
  <c r="J5" i="8"/>
  <c r="T5" i="8" s="1"/>
  <c r="T32" i="8" s="1"/>
  <c r="J62" i="8" s="1"/>
  <c r="H5" i="8"/>
  <c r="H32" i="8" s="1"/>
  <c r="M59" i="8" s="1"/>
  <c r="G5" i="8"/>
  <c r="G32" i="8" s="1"/>
  <c r="L59" i="8" s="1"/>
  <c r="F5" i="8"/>
  <c r="F32" i="8" s="1"/>
  <c r="K59" i="8" s="1"/>
  <c r="E5" i="8"/>
  <c r="U4" i="8"/>
  <c r="T4" i="8"/>
  <c r="AB43" i="7"/>
  <c r="AA43" i="7"/>
  <c r="Z43" i="7"/>
  <c r="Y43" i="7"/>
  <c r="W43" i="7"/>
  <c r="V43" i="7"/>
  <c r="U43" i="7"/>
  <c r="AC43" i="7"/>
  <c r="G111" i="7" s="1"/>
  <c r="AB42" i="7"/>
  <c r="AA42" i="7"/>
  <c r="Z42" i="7"/>
  <c r="Y42" i="7"/>
  <c r="W42" i="7"/>
  <c r="V42" i="7"/>
  <c r="U42" i="7"/>
  <c r="T42" i="7"/>
  <c r="K105" i="7" s="1"/>
  <c r="AC42" i="7"/>
  <c r="L105" i="7" s="1"/>
  <c r="AD42" i="7"/>
  <c r="M105" i="7" s="1"/>
  <c r="P42" i="7"/>
  <c r="Q42" i="7"/>
  <c r="R42" i="7"/>
  <c r="M104" i="7" s="1"/>
  <c r="O42" i="7"/>
  <c r="K42" i="7"/>
  <c r="L42" i="7"/>
  <c r="M42" i="7"/>
  <c r="M103" i="7" s="1"/>
  <c r="J42" i="7"/>
  <c r="F42" i="7"/>
  <c r="G42" i="7"/>
  <c r="H42" i="7"/>
  <c r="M102" i="7" s="1"/>
  <c r="E42" i="7"/>
  <c r="AB41" i="7"/>
  <c r="AA41" i="7"/>
  <c r="Z41" i="7"/>
  <c r="Y41" i="7"/>
  <c r="W41" i="7"/>
  <c r="V41" i="7"/>
  <c r="U41" i="7"/>
  <c r="T41" i="7"/>
  <c r="F105" i="7" s="1"/>
  <c r="AC41" i="7"/>
  <c r="G105" i="7" s="1"/>
  <c r="AD41" i="7"/>
  <c r="K41" i="7"/>
  <c r="L41" i="7"/>
  <c r="M41" i="7"/>
  <c r="H103" i="7" s="1"/>
  <c r="J41" i="7"/>
  <c r="AB40" i="7"/>
  <c r="AA40" i="7"/>
  <c r="Z40" i="7"/>
  <c r="Y40" i="7"/>
  <c r="W40" i="7"/>
  <c r="V40" i="7"/>
  <c r="U40" i="7"/>
  <c r="AC40" i="7"/>
  <c r="G99" i="7" s="1"/>
  <c r="AB39" i="7"/>
  <c r="AA39" i="7"/>
  <c r="Z39" i="7"/>
  <c r="Y39" i="7"/>
  <c r="W39" i="7"/>
  <c r="V39" i="7"/>
  <c r="U39" i="7"/>
  <c r="T39" i="7"/>
  <c r="F93" i="7" s="1"/>
  <c r="AC39" i="7"/>
  <c r="G93" i="7" s="1"/>
  <c r="AD39" i="7"/>
  <c r="H93" i="7" s="1"/>
  <c r="P39" i="7"/>
  <c r="Q39" i="7"/>
  <c r="R39" i="7"/>
  <c r="H92" i="7" s="1"/>
  <c r="O39" i="7"/>
  <c r="K39" i="7"/>
  <c r="L39" i="7"/>
  <c r="M39" i="7"/>
  <c r="H91" i="7" s="1"/>
  <c r="J39" i="7"/>
  <c r="F39" i="7"/>
  <c r="G39" i="7"/>
  <c r="H39" i="7"/>
  <c r="H90" i="7" s="1"/>
  <c r="E39" i="7"/>
  <c r="AB37" i="7"/>
  <c r="AA37" i="7"/>
  <c r="Z37" i="7"/>
  <c r="Y37" i="7"/>
  <c r="W37" i="7"/>
  <c r="V37" i="7"/>
  <c r="U37" i="7"/>
  <c r="T37" i="7"/>
  <c r="AC37" i="7"/>
  <c r="AD37" i="7"/>
  <c r="P37" i="7"/>
  <c r="Q37" i="7"/>
  <c r="R37" i="7"/>
  <c r="O37" i="7"/>
  <c r="K37" i="7"/>
  <c r="L37" i="7"/>
  <c r="M37" i="7"/>
  <c r="J37" i="7"/>
  <c r="H37" i="7"/>
  <c r="AB36" i="7"/>
  <c r="AA36" i="7"/>
  <c r="Z36" i="7"/>
  <c r="Y36" i="7"/>
  <c r="W36" i="7"/>
  <c r="V36" i="7"/>
  <c r="U36" i="7"/>
  <c r="T36" i="7"/>
  <c r="F69" i="7" s="1"/>
  <c r="AC36" i="7"/>
  <c r="G69" i="7" s="1"/>
  <c r="AD36" i="7"/>
  <c r="H69" i="7" s="1"/>
  <c r="AB34" i="7"/>
  <c r="AB35" i="7" s="1"/>
  <c r="AA34" i="7"/>
  <c r="AA35" i="7" s="1"/>
  <c r="Z34" i="7"/>
  <c r="Z35" i="7" s="1"/>
  <c r="Y34" i="7"/>
  <c r="Y35" i="7" s="1"/>
  <c r="W34" i="7"/>
  <c r="W35" i="7" s="1"/>
  <c r="V34" i="7"/>
  <c r="V35" i="7" s="1"/>
  <c r="U34" i="7"/>
  <c r="U35" i="7" s="1"/>
  <c r="T34" i="7"/>
  <c r="T35" i="7" s="1"/>
  <c r="AC34" i="7"/>
  <c r="AC35" i="7" s="1"/>
  <c r="AD34" i="7"/>
  <c r="AD35" i="7" s="1"/>
  <c r="P34" i="7"/>
  <c r="P35" i="7" s="1"/>
  <c r="Q34" i="7"/>
  <c r="Q35" i="7" s="1"/>
  <c r="R34" i="7"/>
  <c r="R35" i="7" s="1"/>
  <c r="O34" i="7"/>
  <c r="O35" i="7" s="1"/>
  <c r="H34" i="7"/>
  <c r="H35" i="7" s="1"/>
  <c r="AB32" i="7"/>
  <c r="AA32" i="7"/>
  <c r="Z32" i="7"/>
  <c r="Y32" i="7"/>
  <c r="W32" i="7"/>
  <c r="V32" i="7"/>
  <c r="U32" i="7"/>
  <c r="AC32" i="7"/>
  <c r="L62" i="7" s="1"/>
  <c r="AD32" i="7"/>
  <c r="M62" i="7" s="1"/>
  <c r="AB31" i="7"/>
  <c r="AA31" i="7"/>
  <c r="Z31" i="7"/>
  <c r="Y31" i="7"/>
  <c r="W31" i="7"/>
  <c r="V31" i="7"/>
  <c r="U31" i="7"/>
  <c r="T31" i="7"/>
  <c r="K69" i="7" s="1"/>
  <c r="AC31" i="7"/>
  <c r="L69" i="7" s="1"/>
  <c r="AD31" i="7"/>
  <c r="M69" i="7" s="1"/>
  <c r="P31" i="7"/>
  <c r="K68" i="7" s="1"/>
  <c r="Q31" i="7"/>
  <c r="L68" i="7" s="1"/>
  <c r="R31" i="7"/>
  <c r="M68" i="7" s="1"/>
  <c r="O31" i="7"/>
  <c r="J68" i="7" s="1"/>
  <c r="K31" i="7"/>
  <c r="K67" i="7" s="1"/>
  <c r="L31" i="7"/>
  <c r="L67" i="7" s="1"/>
  <c r="M31" i="7"/>
  <c r="M67" i="7" s="1"/>
  <c r="J31" i="7"/>
  <c r="J67" i="7" s="1"/>
  <c r="F31" i="7"/>
  <c r="K66" i="7" s="1"/>
  <c r="G31" i="7"/>
  <c r="L66" i="7" s="1"/>
  <c r="H31" i="7"/>
  <c r="M66" i="7" s="1"/>
  <c r="E31" i="7"/>
  <c r="J66" i="7" s="1"/>
  <c r="AB30" i="7"/>
  <c r="AA30" i="7"/>
  <c r="Z30" i="7"/>
  <c r="Y30" i="7"/>
  <c r="W30" i="7"/>
  <c r="V30" i="7"/>
  <c r="U30" i="7"/>
  <c r="T30" i="7"/>
  <c r="K55" i="7" s="1"/>
  <c r="AC30" i="7"/>
  <c r="L55" i="7" s="1"/>
  <c r="AD30" i="7"/>
  <c r="M55" i="7" s="1"/>
  <c r="P30" i="7"/>
  <c r="K54" i="7" s="1"/>
  <c r="Q30" i="7"/>
  <c r="L54" i="7" s="1"/>
  <c r="R30" i="7"/>
  <c r="M54" i="7" s="1"/>
  <c r="O30" i="7"/>
  <c r="J54" i="7" s="1"/>
  <c r="F30" i="7"/>
  <c r="K52" i="7" s="1"/>
  <c r="G30" i="7"/>
  <c r="L52" i="7" s="1"/>
  <c r="H30" i="7"/>
  <c r="M52" i="7" s="1"/>
  <c r="E30" i="7"/>
  <c r="J52" i="7" s="1"/>
  <c r="AB29" i="7"/>
  <c r="AA29" i="7"/>
  <c r="Z29" i="7"/>
  <c r="Y29" i="7"/>
  <c r="W29" i="7"/>
  <c r="V29" i="7"/>
  <c r="U29" i="7"/>
  <c r="T29" i="7"/>
  <c r="F62" i="7" s="1"/>
  <c r="AC29" i="7"/>
  <c r="G62" i="7" s="1"/>
  <c r="AD29" i="7"/>
  <c r="H62" i="7" s="1"/>
  <c r="P29" i="7"/>
  <c r="F61" i="7" s="1"/>
  <c r="Q29" i="7"/>
  <c r="G61" i="7" s="1"/>
  <c r="R29" i="7"/>
  <c r="H61" i="7" s="1"/>
  <c r="O29" i="7"/>
  <c r="F29" i="7"/>
  <c r="F59" i="7" s="1"/>
  <c r="G29" i="7"/>
  <c r="G59" i="7" s="1"/>
  <c r="H29" i="7"/>
  <c r="H59" i="7" s="1"/>
  <c r="E29" i="7"/>
  <c r="E59" i="7" s="1"/>
  <c r="AB27" i="7"/>
  <c r="AA27" i="7"/>
  <c r="Z27" i="7"/>
  <c r="Y27" i="7"/>
  <c r="W27" i="7"/>
  <c r="V27" i="7"/>
  <c r="U27" i="7"/>
  <c r="T27" i="7"/>
  <c r="AC27" i="7"/>
  <c r="AD27" i="7"/>
  <c r="P27" i="7"/>
  <c r="Q27" i="7"/>
  <c r="R27" i="7"/>
  <c r="O27" i="7"/>
  <c r="K27" i="7"/>
  <c r="L27" i="7"/>
  <c r="M27" i="7"/>
  <c r="J27" i="7"/>
  <c r="F27" i="7"/>
  <c r="G27" i="7"/>
  <c r="H27" i="7"/>
  <c r="E27" i="7"/>
  <c r="AB26" i="7"/>
  <c r="AA26" i="7"/>
  <c r="Z26" i="7"/>
  <c r="Y26" i="7"/>
  <c r="W26" i="7"/>
  <c r="V26" i="7"/>
  <c r="U26" i="7"/>
  <c r="T26" i="7"/>
  <c r="F55" i="7" s="1"/>
  <c r="AC26" i="7"/>
  <c r="G55" i="7" s="1"/>
  <c r="AD26" i="7"/>
  <c r="H55" i="7" s="1"/>
  <c r="P26" i="7"/>
  <c r="F54" i="7" s="1"/>
  <c r="Q26" i="7"/>
  <c r="G54" i="7" s="1"/>
  <c r="R26" i="7"/>
  <c r="H54" i="7" s="1"/>
  <c r="O26" i="7"/>
  <c r="E54" i="7" s="1"/>
  <c r="K26" i="7"/>
  <c r="F53" i="7" s="1"/>
  <c r="L26" i="7"/>
  <c r="G53" i="7" s="1"/>
  <c r="M26" i="7"/>
  <c r="H53" i="7" s="1"/>
  <c r="J26" i="7"/>
  <c r="E53" i="7" s="1"/>
  <c r="F26" i="7"/>
  <c r="F52" i="7" s="1"/>
  <c r="G26" i="7"/>
  <c r="G52" i="7" s="1"/>
  <c r="H26" i="7"/>
  <c r="H52" i="7" s="1"/>
  <c r="E26" i="7"/>
  <c r="E52" i="7" s="1"/>
  <c r="P19" i="7"/>
  <c r="P41" i="7" s="1"/>
  <c r="Q19" i="7"/>
  <c r="Q41" i="7" s="1"/>
  <c r="R19" i="7"/>
  <c r="R41" i="7" s="1"/>
  <c r="H104" i="7" s="1"/>
  <c r="O19" i="7"/>
  <c r="O41" i="7" s="1"/>
  <c r="F19" i="7"/>
  <c r="F41" i="7" s="1"/>
  <c r="G19" i="7"/>
  <c r="G41" i="7" s="1"/>
  <c r="H19" i="7"/>
  <c r="H41" i="7" s="1"/>
  <c r="H102" i="7" s="1"/>
  <c r="E19" i="7"/>
  <c r="E41" i="7" s="1"/>
  <c r="F17" i="7"/>
  <c r="G17" i="7"/>
  <c r="H17" i="7"/>
  <c r="E17" i="7"/>
  <c r="I16" i="7"/>
  <c r="T14" i="7"/>
  <c r="T40" i="7" s="1"/>
  <c r="F99" i="7" s="1"/>
  <c r="AD14" i="7"/>
  <c r="AD40" i="7" s="1"/>
  <c r="H99" i="7" s="1"/>
  <c r="P14" i="7"/>
  <c r="P40" i="7" s="1"/>
  <c r="Q14" i="7"/>
  <c r="R14" i="7"/>
  <c r="R43" i="7" s="1"/>
  <c r="H110" i="7" s="1"/>
  <c r="O14" i="7"/>
  <c r="O43" i="7" s="1"/>
  <c r="K14" i="7"/>
  <c r="K43" i="7" s="1"/>
  <c r="L14" i="7"/>
  <c r="L40" i="7" s="1"/>
  <c r="M14" i="7"/>
  <c r="M40" i="7" s="1"/>
  <c r="H97" i="7" s="1"/>
  <c r="J14" i="7"/>
  <c r="J40" i="7" s="1"/>
  <c r="F14" i="7"/>
  <c r="F40" i="7" s="1"/>
  <c r="G14" i="7"/>
  <c r="H14" i="7"/>
  <c r="H40" i="7" s="1"/>
  <c r="H96" i="7" s="1"/>
  <c r="E14" i="7"/>
  <c r="E40" i="7" s="1"/>
  <c r="P12" i="7"/>
  <c r="P36" i="7" s="1"/>
  <c r="F68" i="7" s="1"/>
  <c r="Q12" i="7"/>
  <c r="Q36" i="7" s="1"/>
  <c r="G68" i="7" s="1"/>
  <c r="R12" i="7"/>
  <c r="R36" i="7" s="1"/>
  <c r="H68" i="7" s="1"/>
  <c r="O12" i="7"/>
  <c r="O36" i="7" s="1"/>
  <c r="E68" i="7" s="1"/>
  <c r="K12" i="7"/>
  <c r="K36" i="7" s="1"/>
  <c r="F67" i="7" s="1"/>
  <c r="L12" i="7"/>
  <c r="L36" i="7" s="1"/>
  <c r="G67" i="7" s="1"/>
  <c r="M12" i="7"/>
  <c r="M36" i="7" s="1"/>
  <c r="H67" i="7" s="1"/>
  <c r="J12" i="7"/>
  <c r="J36" i="7" s="1"/>
  <c r="E67" i="7" s="1"/>
  <c r="F12" i="7"/>
  <c r="F36" i="7" s="1"/>
  <c r="F66" i="7" s="1"/>
  <c r="G12" i="7"/>
  <c r="G36" i="7" s="1"/>
  <c r="G66" i="7" s="1"/>
  <c r="H12" i="7"/>
  <c r="H36" i="7" s="1"/>
  <c r="H66" i="7" s="1"/>
  <c r="E12" i="7"/>
  <c r="E36" i="7" s="1"/>
  <c r="E66" i="7" s="1"/>
  <c r="F7" i="7"/>
  <c r="F34" i="7" s="1"/>
  <c r="F35" i="7" s="1"/>
  <c r="G7" i="7"/>
  <c r="G34" i="7" s="1"/>
  <c r="G35" i="7" s="1"/>
  <c r="E7" i="7"/>
  <c r="E37" i="7" s="1"/>
  <c r="K6" i="7"/>
  <c r="K30" i="7" s="1"/>
  <c r="K53" i="7" s="1"/>
  <c r="L6" i="7"/>
  <c r="L30" i="7" s="1"/>
  <c r="L53" i="7" s="1"/>
  <c r="M6" i="7"/>
  <c r="M30" i="7" s="1"/>
  <c r="M53" i="7" s="1"/>
  <c r="J6" i="7"/>
  <c r="J30" i="7" s="1"/>
  <c r="J53" i="7" s="1"/>
  <c r="T5" i="7"/>
  <c r="T32" i="7" s="1"/>
  <c r="K62" i="7" s="1"/>
  <c r="P5" i="7"/>
  <c r="P32" i="7" s="1"/>
  <c r="K61" i="7" s="1"/>
  <c r="Q5" i="7"/>
  <c r="Q32" i="7" s="1"/>
  <c r="L61" i="7" s="1"/>
  <c r="R5" i="7"/>
  <c r="R32" i="7" s="1"/>
  <c r="M61" i="7" s="1"/>
  <c r="O5" i="7"/>
  <c r="O32" i="7" s="1"/>
  <c r="J61" i="7" s="1"/>
  <c r="F5" i="7"/>
  <c r="F32" i="7" s="1"/>
  <c r="K59" i="7" s="1"/>
  <c r="G5" i="7"/>
  <c r="G32" i="7" s="1"/>
  <c r="L59" i="7" s="1"/>
  <c r="H5" i="7"/>
  <c r="H32" i="7" s="1"/>
  <c r="M59" i="7" s="1"/>
  <c r="E5" i="7"/>
  <c r="E32" i="7" s="1"/>
  <c r="J59" i="7" s="1"/>
  <c r="T41" i="6"/>
  <c r="F105" i="6" s="1"/>
  <c r="P19" i="6"/>
  <c r="P14" i="6"/>
  <c r="P12" i="6"/>
  <c r="P5" i="6"/>
  <c r="P43" i="6"/>
  <c r="AD43" i="6"/>
  <c r="AC43" i="6"/>
  <c r="AB43" i="6"/>
  <c r="AA43" i="6"/>
  <c r="Y43" i="6"/>
  <c r="X43" i="6"/>
  <c r="W43" i="6"/>
  <c r="U43" i="6"/>
  <c r="G111" i="6" s="1"/>
  <c r="AD42" i="6"/>
  <c r="AC42" i="6"/>
  <c r="AB42" i="6"/>
  <c r="AA42" i="6"/>
  <c r="Y42" i="6"/>
  <c r="X42" i="6"/>
  <c r="W42" i="6"/>
  <c r="T42" i="6"/>
  <c r="K105" i="6" s="1"/>
  <c r="U42" i="6"/>
  <c r="L105" i="6" s="1"/>
  <c r="V42" i="6"/>
  <c r="M105" i="6" s="1"/>
  <c r="P42" i="6"/>
  <c r="K104" i="6" s="1"/>
  <c r="Q42" i="6"/>
  <c r="O42" i="6"/>
  <c r="R42" i="6"/>
  <c r="K42" i="6"/>
  <c r="K103" i="6" s="1"/>
  <c r="L42" i="6"/>
  <c r="J42" i="6"/>
  <c r="M42" i="6"/>
  <c r="F42" i="6"/>
  <c r="K102" i="6" s="1"/>
  <c r="G42" i="6"/>
  <c r="E42" i="6"/>
  <c r="H42" i="6"/>
  <c r="AD41" i="6"/>
  <c r="AC41" i="6"/>
  <c r="AB41" i="6"/>
  <c r="AA41" i="6"/>
  <c r="Y41" i="6"/>
  <c r="X41" i="6"/>
  <c r="W41" i="6"/>
  <c r="U41" i="6"/>
  <c r="G105" i="6" s="1"/>
  <c r="V41" i="6"/>
  <c r="H105" i="6" s="1"/>
  <c r="K41" i="6"/>
  <c r="F103" i="6" s="1"/>
  <c r="L41" i="6"/>
  <c r="J41" i="6"/>
  <c r="M41" i="6"/>
  <c r="AD40" i="6"/>
  <c r="AC40" i="6"/>
  <c r="AB40" i="6"/>
  <c r="AA40" i="6"/>
  <c r="Y40" i="6"/>
  <c r="X40" i="6"/>
  <c r="W40" i="6"/>
  <c r="U40" i="6"/>
  <c r="G99" i="6" s="1"/>
  <c r="AD39" i="6"/>
  <c r="AC39" i="6"/>
  <c r="AB39" i="6"/>
  <c r="AA39" i="6"/>
  <c r="Y39" i="6"/>
  <c r="X39" i="6"/>
  <c r="W39" i="6"/>
  <c r="T39" i="6"/>
  <c r="F93" i="6" s="1"/>
  <c r="U39" i="6"/>
  <c r="G93" i="6" s="1"/>
  <c r="V39" i="6"/>
  <c r="H93" i="6" s="1"/>
  <c r="P39" i="6"/>
  <c r="F92" i="6" s="1"/>
  <c r="Q39" i="6"/>
  <c r="O39" i="6"/>
  <c r="R39" i="6"/>
  <c r="K39" i="6"/>
  <c r="F91" i="6" s="1"/>
  <c r="L39" i="6"/>
  <c r="J39" i="6"/>
  <c r="M39" i="6"/>
  <c r="F39" i="6"/>
  <c r="F90" i="6" s="1"/>
  <c r="G39" i="6"/>
  <c r="E39" i="6"/>
  <c r="H39" i="6"/>
  <c r="AD37" i="6"/>
  <c r="AC37" i="6"/>
  <c r="AB37" i="6"/>
  <c r="AA37" i="6"/>
  <c r="Y37" i="6"/>
  <c r="X37" i="6"/>
  <c r="W37" i="6"/>
  <c r="T37" i="6"/>
  <c r="U37" i="6"/>
  <c r="V37" i="6"/>
  <c r="P37" i="6"/>
  <c r="Q37" i="6"/>
  <c r="O37" i="6"/>
  <c r="R37" i="6"/>
  <c r="K37" i="6"/>
  <c r="L37" i="6"/>
  <c r="J37" i="6"/>
  <c r="M37" i="6"/>
  <c r="F37" i="6"/>
  <c r="AD36" i="6"/>
  <c r="AC36" i="6"/>
  <c r="AB36" i="6"/>
  <c r="AA36" i="6"/>
  <c r="Y36" i="6"/>
  <c r="X36" i="6"/>
  <c r="W36" i="6"/>
  <c r="T36" i="6"/>
  <c r="F69" i="6" s="1"/>
  <c r="U36" i="6"/>
  <c r="G69" i="6" s="1"/>
  <c r="V36" i="6"/>
  <c r="H69" i="6" s="1"/>
  <c r="AD34" i="6"/>
  <c r="AD35" i="6" s="1"/>
  <c r="AC34" i="6"/>
  <c r="AC35" i="6" s="1"/>
  <c r="AB34" i="6"/>
  <c r="AB35" i="6" s="1"/>
  <c r="AA34" i="6"/>
  <c r="AA35" i="6" s="1"/>
  <c r="Y34" i="6"/>
  <c r="Y35" i="6" s="1"/>
  <c r="X34" i="6"/>
  <c r="X35" i="6" s="1"/>
  <c r="W34" i="6"/>
  <c r="W35" i="6" s="1"/>
  <c r="T34" i="6"/>
  <c r="T35" i="6" s="1"/>
  <c r="U34" i="6"/>
  <c r="U35" i="6" s="1"/>
  <c r="V34" i="6"/>
  <c r="V35" i="6" s="1"/>
  <c r="P34" i="6"/>
  <c r="P35" i="6" s="1"/>
  <c r="Q34" i="6"/>
  <c r="Q35" i="6" s="1"/>
  <c r="O34" i="6"/>
  <c r="O35" i="6" s="1"/>
  <c r="R34" i="6"/>
  <c r="R35" i="6" s="1"/>
  <c r="F34" i="6"/>
  <c r="F35" i="6" s="1"/>
  <c r="AD32" i="6"/>
  <c r="AC32" i="6"/>
  <c r="AB32" i="6"/>
  <c r="AA32" i="6"/>
  <c r="Y32" i="6"/>
  <c r="X32" i="6"/>
  <c r="W32" i="6"/>
  <c r="T32" i="6"/>
  <c r="K62" i="6" s="1"/>
  <c r="U32" i="6"/>
  <c r="L62" i="6" s="1"/>
  <c r="AD31" i="6"/>
  <c r="AC31" i="6"/>
  <c r="AB31" i="6"/>
  <c r="AA31" i="6"/>
  <c r="Y31" i="6"/>
  <c r="X31" i="6"/>
  <c r="W31" i="6"/>
  <c r="T31" i="6"/>
  <c r="K69" i="6" s="1"/>
  <c r="U31" i="6"/>
  <c r="L69" i="6" s="1"/>
  <c r="V31" i="6"/>
  <c r="M69" i="6" s="1"/>
  <c r="P31" i="6"/>
  <c r="K68" i="6" s="1"/>
  <c r="Q31" i="6"/>
  <c r="L68" i="6" s="1"/>
  <c r="O31" i="6"/>
  <c r="J68" i="6" s="1"/>
  <c r="R31" i="6"/>
  <c r="M68" i="6" s="1"/>
  <c r="K31" i="6"/>
  <c r="K67" i="6" s="1"/>
  <c r="L31" i="6"/>
  <c r="L67" i="6" s="1"/>
  <c r="J31" i="6"/>
  <c r="J67" i="6" s="1"/>
  <c r="M31" i="6"/>
  <c r="M67" i="6" s="1"/>
  <c r="F31" i="6"/>
  <c r="K66" i="6" s="1"/>
  <c r="G31" i="6"/>
  <c r="L66" i="6" s="1"/>
  <c r="E31" i="6"/>
  <c r="J66" i="6" s="1"/>
  <c r="H31" i="6"/>
  <c r="M66" i="6" s="1"/>
  <c r="AD30" i="6"/>
  <c r="AC30" i="6"/>
  <c r="AB30" i="6"/>
  <c r="AA30" i="6"/>
  <c r="Y30" i="6"/>
  <c r="X30" i="6"/>
  <c r="W30" i="6"/>
  <c r="T30" i="6"/>
  <c r="K55" i="6" s="1"/>
  <c r="U30" i="6"/>
  <c r="L55" i="6" s="1"/>
  <c r="V30" i="6"/>
  <c r="M55" i="6" s="1"/>
  <c r="P30" i="6"/>
  <c r="K54" i="6" s="1"/>
  <c r="Q30" i="6"/>
  <c r="L54" i="6" s="1"/>
  <c r="O30" i="6"/>
  <c r="J54" i="6" s="1"/>
  <c r="R30" i="6"/>
  <c r="M54" i="6" s="1"/>
  <c r="F30" i="6"/>
  <c r="K52" i="6" s="1"/>
  <c r="G30" i="6"/>
  <c r="L52" i="6" s="1"/>
  <c r="E30" i="6"/>
  <c r="J52" i="6" s="1"/>
  <c r="H30" i="6"/>
  <c r="M52" i="6" s="1"/>
  <c r="AD29" i="6"/>
  <c r="AC29" i="6"/>
  <c r="AB29" i="6"/>
  <c r="AA29" i="6"/>
  <c r="Y29" i="6"/>
  <c r="X29" i="6"/>
  <c r="W29" i="6"/>
  <c r="T29" i="6"/>
  <c r="F62" i="6" s="1"/>
  <c r="U29" i="6"/>
  <c r="G62" i="6" s="1"/>
  <c r="V29" i="6"/>
  <c r="H62" i="6" s="1"/>
  <c r="P29" i="6"/>
  <c r="F61" i="6" s="1"/>
  <c r="Q29" i="6"/>
  <c r="G61" i="6" s="1"/>
  <c r="O29" i="6"/>
  <c r="R29" i="6"/>
  <c r="H61" i="6" s="1"/>
  <c r="F29" i="6"/>
  <c r="F59" i="6" s="1"/>
  <c r="G29" i="6"/>
  <c r="G59" i="6" s="1"/>
  <c r="E29" i="6"/>
  <c r="E59" i="6" s="1"/>
  <c r="H29" i="6"/>
  <c r="H59" i="6" s="1"/>
  <c r="AD27" i="6"/>
  <c r="AC27" i="6"/>
  <c r="AB27" i="6"/>
  <c r="AA27" i="6"/>
  <c r="Y27" i="6"/>
  <c r="X27" i="6"/>
  <c r="W27" i="6"/>
  <c r="T27" i="6"/>
  <c r="U27" i="6"/>
  <c r="V27" i="6"/>
  <c r="P27" i="6"/>
  <c r="Q27" i="6"/>
  <c r="O27" i="6"/>
  <c r="R27" i="6"/>
  <c r="K27" i="6"/>
  <c r="L27" i="6"/>
  <c r="J27" i="6"/>
  <c r="M27" i="6"/>
  <c r="F27" i="6"/>
  <c r="G27" i="6"/>
  <c r="E27" i="6"/>
  <c r="H27" i="6"/>
  <c r="AD26" i="6"/>
  <c r="AC26" i="6"/>
  <c r="AB26" i="6"/>
  <c r="AA26" i="6"/>
  <c r="Y26" i="6"/>
  <c r="X26" i="6"/>
  <c r="W26" i="6"/>
  <c r="T26" i="6"/>
  <c r="F55" i="6" s="1"/>
  <c r="U26" i="6"/>
  <c r="G55" i="6" s="1"/>
  <c r="V26" i="6"/>
  <c r="H55" i="6" s="1"/>
  <c r="P26" i="6"/>
  <c r="F54" i="6" s="1"/>
  <c r="Q26" i="6"/>
  <c r="G54" i="6" s="1"/>
  <c r="O26" i="6"/>
  <c r="E54" i="6" s="1"/>
  <c r="R26" i="6"/>
  <c r="H54" i="6" s="1"/>
  <c r="K26" i="6"/>
  <c r="F53" i="6" s="1"/>
  <c r="L26" i="6"/>
  <c r="G53" i="6" s="1"/>
  <c r="J26" i="6"/>
  <c r="E53" i="6" s="1"/>
  <c r="M26" i="6"/>
  <c r="H53" i="6" s="1"/>
  <c r="F26" i="6"/>
  <c r="F52" i="6" s="1"/>
  <c r="G26" i="6"/>
  <c r="G52" i="6" s="1"/>
  <c r="E26" i="6"/>
  <c r="E52" i="6" s="1"/>
  <c r="H26" i="6"/>
  <c r="H52" i="6" s="1"/>
  <c r="P41" i="6"/>
  <c r="F104" i="6" s="1"/>
  <c r="Q19" i="6"/>
  <c r="Q41" i="6" s="1"/>
  <c r="O19" i="6"/>
  <c r="O41" i="6" s="1"/>
  <c r="R19" i="6"/>
  <c r="R41" i="6" s="1"/>
  <c r="F19" i="6"/>
  <c r="F41" i="6" s="1"/>
  <c r="F102" i="6" s="1"/>
  <c r="G19" i="6"/>
  <c r="G41" i="6" s="1"/>
  <c r="E19" i="6"/>
  <c r="E41" i="6" s="1"/>
  <c r="H19" i="6"/>
  <c r="H41" i="6" s="1"/>
  <c r="F17" i="6"/>
  <c r="G17" i="6"/>
  <c r="E17" i="6"/>
  <c r="H17" i="6"/>
  <c r="I16" i="6"/>
  <c r="T14" i="6"/>
  <c r="T40" i="6" s="1"/>
  <c r="F99" i="6" s="1"/>
  <c r="V14" i="6"/>
  <c r="V43" i="6" s="1"/>
  <c r="H111" i="6" s="1"/>
  <c r="P40" i="6"/>
  <c r="F98" i="6" s="1"/>
  <c r="Q14" i="6"/>
  <c r="Q43" i="6" s="1"/>
  <c r="O14" i="6"/>
  <c r="O43" i="6" s="1"/>
  <c r="R14" i="6"/>
  <c r="R43" i="6" s="1"/>
  <c r="K14" i="6"/>
  <c r="K43" i="6" s="1"/>
  <c r="F109" i="6" s="1"/>
  <c r="L14" i="6"/>
  <c r="L40" i="6" s="1"/>
  <c r="J14" i="6"/>
  <c r="J43" i="6" s="1"/>
  <c r="M14" i="6"/>
  <c r="M43" i="6" s="1"/>
  <c r="F14" i="6"/>
  <c r="F40" i="6" s="1"/>
  <c r="F96" i="6" s="1"/>
  <c r="G14" i="6"/>
  <c r="E14" i="6"/>
  <c r="E40" i="6" s="1"/>
  <c r="H14" i="6"/>
  <c r="P36" i="6"/>
  <c r="F68" i="6" s="1"/>
  <c r="Q12" i="6"/>
  <c r="Q36" i="6" s="1"/>
  <c r="G68" i="6" s="1"/>
  <c r="O12" i="6"/>
  <c r="O36" i="6" s="1"/>
  <c r="E68" i="6" s="1"/>
  <c r="R12" i="6"/>
  <c r="R36" i="6" s="1"/>
  <c r="H68" i="6" s="1"/>
  <c r="K12" i="6"/>
  <c r="K36" i="6" s="1"/>
  <c r="F67" i="6" s="1"/>
  <c r="L12" i="6"/>
  <c r="L36" i="6" s="1"/>
  <c r="G67" i="6" s="1"/>
  <c r="J12" i="6"/>
  <c r="J36" i="6" s="1"/>
  <c r="E67" i="6" s="1"/>
  <c r="M12" i="6"/>
  <c r="M36" i="6" s="1"/>
  <c r="H67" i="6" s="1"/>
  <c r="F12" i="6"/>
  <c r="F36" i="6" s="1"/>
  <c r="F66" i="6" s="1"/>
  <c r="G12" i="6"/>
  <c r="G36" i="6" s="1"/>
  <c r="G66" i="6" s="1"/>
  <c r="E12" i="6"/>
  <c r="E36" i="6" s="1"/>
  <c r="E66" i="6" s="1"/>
  <c r="H12" i="6"/>
  <c r="H36" i="6" s="1"/>
  <c r="H66" i="6" s="1"/>
  <c r="G7" i="6"/>
  <c r="G37" i="6" s="1"/>
  <c r="E7" i="6"/>
  <c r="E37" i="6" s="1"/>
  <c r="H7" i="6"/>
  <c r="H37" i="6" s="1"/>
  <c r="K6" i="6"/>
  <c r="K34" i="6" s="1"/>
  <c r="K35" i="6" s="1"/>
  <c r="L6" i="6"/>
  <c r="L30" i="6" s="1"/>
  <c r="L53" i="6" s="1"/>
  <c r="J6" i="6"/>
  <c r="J30" i="6" s="1"/>
  <c r="J53" i="6" s="1"/>
  <c r="M6" i="6"/>
  <c r="M34" i="6" s="1"/>
  <c r="M35" i="6" s="1"/>
  <c r="V5" i="6"/>
  <c r="V32" i="6" s="1"/>
  <c r="M62" i="6" s="1"/>
  <c r="P32" i="6"/>
  <c r="K61" i="6" s="1"/>
  <c r="Q5" i="6"/>
  <c r="Q32" i="6" s="1"/>
  <c r="L61" i="6" s="1"/>
  <c r="O5" i="6"/>
  <c r="O32" i="6" s="1"/>
  <c r="J61" i="6" s="1"/>
  <c r="R5" i="6"/>
  <c r="R32" i="6" s="1"/>
  <c r="M61" i="6" s="1"/>
  <c r="F5" i="6"/>
  <c r="F32" i="6" s="1"/>
  <c r="K59" i="6" s="1"/>
  <c r="G5" i="6"/>
  <c r="G32" i="6" s="1"/>
  <c r="L59" i="6" s="1"/>
  <c r="E5" i="6"/>
  <c r="E32" i="6" s="1"/>
  <c r="J59" i="6" s="1"/>
  <c r="H5" i="6"/>
  <c r="H32" i="6" s="1"/>
  <c r="M59" i="6" s="1"/>
  <c r="H105" i="4"/>
  <c r="G105" i="4"/>
  <c r="E105" i="4"/>
  <c r="M105" i="4"/>
  <c r="L105" i="4"/>
  <c r="J105" i="4"/>
  <c r="M104" i="4"/>
  <c r="M103" i="4"/>
  <c r="M102" i="4"/>
  <c r="H111" i="4"/>
  <c r="G111" i="4"/>
  <c r="E111" i="4"/>
  <c r="H99" i="4"/>
  <c r="G99" i="4"/>
  <c r="E99" i="4"/>
  <c r="H93" i="4"/>
  <c r="G93" i="4"/>
  <c r="E93" i="4"/>
  <c r="F84" i="4"/>
  <c r="G84" i="4"/>
  <c r="H84" i="4"/>
  <c r="E84" i="4"/>
  <c r="F78" i="4"/>
  <c r="G78" i="4"/>
  <c r="H78" i="4"/>
  <c r="E78" i="4"/>
  <c r="K70" i="4"/>
  <c r="L70" i="4"/>
  <c r="M70" i="4"/>
  <c r="J70" i="4"/>
  <c r="M69" i="4"/>
  <c r="L69" i="4"/>
  <c r="J69" i="4"/>
  <c r="F70" i="4"/>
  <c r="G70" i="4"/>
  <c r="H70" i="4"/>
  <c r="E70" i="4"/>
  <c r="H69" i="4"/>
  <c r="G69" i="4"/>
  <c r="E69" i="4"/>
  <c r="K63" i="4"/>
  <c r="L63" i="4"/>
  <c r="M63" i="4"/>
  <c r="J63" i="4"/>
  <c r="M62" i="4"/>
  <c r="L62" i="4"/>
  <c r="J62" i="4"/>
  <c r="F63" i="4"/>
  <c r="G63" i="4"/>
  <c r="H63" i="4"/>
  <c r="E63" i="4"/>
  <c r="H62" i="4"/>
  <c r="G62" i="4"/>
  <c r="E62" i="4"/>
  <c r="H61" i="4"/>
  <c r="G61" i="4"/>
  <c r="E61" i="4"/>
  <c r="M55" i="4"/>
  <c r="L55" i="4"/>
  <c r="J55" i="4"/>
  <c r="H55" i="4"/>
  <c r="G55" i="4"/>
  <c r="E55" i="4"/>
  <c r="V14" i="4"/>
  <c r="V43" i="4" s="1"/>
  <c r="T14" i="4"/>
  <c r="T43" i="4" s="1"/>
  <c r="T5" i="4"/>
  <c r="T32" i="4" s="1"/>
  <c r="R14" i="4"/>
  <c r="R43" i="4" s="1"/>
  <c r="H110" i="4" s="1"/>
  <c r="U43" i="4"/>
  <c r="T42" i="4"/>
  <c r="U42" i="4"/>
  <c r="V42" i="4"/>
  <c r="T41" i="4"/>
  <c r="U41" i="4"/>
  <c r="V41" i="4"/>
  <c r="U40" i="4"/>
  <c r="T39" i="4"/>
  <c r="U39" i="4"/>
  <c r="V39" i="4"/>
  <c r="T37" i="4"/>
  <c r="U37" i="4"/>
  <c r="V37" i="4"/>
  <c r="T36" i="4"/>
  <c r="U36" i="4"/>
  <c r="V36" i="4"/>
  <c r="T34" i="4"/>
  <c r="T35" i="4" s="1"/>
  <c r="U34" i="4"/>
  <c r="U35" i="4" s="1"/>
  <c r="V34" i="4"/>
  <c r="V35" i="4" s="1"/>
  <c r="U32" i="4"/>
  <c r="V32" i="4"/>
  <c r="T31" i="4"/>
  <c r="U31" i="4"/>
  <c r="V31" i="4"/>
  <c r="T30" i="4"/>
  <c r="U30" i="4"/>
  <c r="V30" i="4"/>
  <c r="T29" i="4"/>
  <c r="U29" i="4"/>
  <c r="V29" i="4"/>
  <c r="T27" i="4"/>
  <c r="U27" i="4"/>
  <c r="V27" i="4"/>
  <c r="T26" i="4"/>
  <c r="U26" i="4"/>
  <c r="V26" i="4"/>
  <c r="X40" i="4"/>
  <c r="X32" i="4"/>
  <c r="X31" i="4"/>
  <c r="X30" i="4"/>
  <c r="X41" i="4"/>
  <c r="X42" i="4"/>
  <c r="X39" i="4"/>
  <c r="X43" i="4"/>
  <c r="X36" i="4"/>
  <c r="X37" i="4"/>
  <c r="X34" i="4"/>
  <c r="X35" i="4" s="1"/>
  <c r="X29" i="4"/>
  <c r="AD42" i="4"/>
  <c r="AC42" i="4"/>
  <c r="AB42" i="4"/>
  <c r="AA42" i="4"/>
  <c r="AD39" i="4"/>
  <c r="AC39" i="4"/>
  <c r="AB39" i="4"/>
  <c r="AA39" i="4"/>
  <c r="AD37" i="4"/>
  <c r="AC37" i="4"/>
  <c r="AA37" i="4"/>
  <c r="AD34" i="4"/>
  <c r="AD35" i="4" s="1"/>
  <c r="AA34" i="4"/>
  <c r="AA35" i="4" s="1"/>
  <c r="AC32" i="4"/>
  <c r="AB32" i="4"/>
  <c r="AA32" i="4"/>
  <c r="AD31" i="4"/>
  <c r="AC31" i="4"/>
  <c r="AB31" i="4"/>
  <c r="AA31" i="4"/>
  <c r="AD30" i="4"/>
  <c r="AC30" i="4"/>
  <c r="AB30" i="4"/>
  <c r="AA30" i="4"/>
  <c r="AD29" i="4"/>
  <c r="AC29" i="4"/>
  <c r="AB29" i="4"/>
  <c r="AA29" i="4"/>
  <c r="AD27" i="4"/>
  <c r="AC27" i="4"/>
  <c r="AB27" i="4"/>
  <c r="AA27" i="4"/>
  <c r="AD26" i="4"/>
  <c r="AC26" i="4"/>
  <c r="AB26" i="4"/>
  <c r="AA26" i="4"/>
  <c r="AD41" i="4"/>
  <c r="AC41" i="4"/>
  <c r="AB41" i="4"/>
  <c r="AA41" i="4"/>
  <c r="AD43" i="4"/>
  <c r="AC43" i="4"/>
  <c r="AB43" i="4"/>
  <c r="AA43" i="4"/>
  <c r="AD36" i="4"/>
  <c r="AC36" i="4"/>
  <c r="AB36" i="4"/>
  <c r="AA36" i="4"/>
  <c r="AC34" i="4"/>
  <c r="AC35" i="4" s="1"/>
  <c r="AB34" i="4"/>
  <c r="AB35" i="4" s="1"/>
  <c r="AD32" i="4"/>
  <c r="R42" i="4"/>
  <c r="Q42" i="4"/>
  <c r="P42" i="4"/>
  <c r="O42" i="4"/>
  <c r="M42" i="4"/>
  <c r="L42" i="4"/>
  <c r="K42" i="4"/>
  <c r="J42" i="4"/>
  <c r="H42" i="4"/>
  <c r="G42" i="4"/>
  <c r="F42" i="4"/>
  <c r="E42" i="4"/>
  <c r="M41" i="4"/>
  <c r="H103" i="4" s="1"/>
  <c r="L41" i="4"/>
  <c r="K41" i="4"/>
  <c r="J41" i="4"/>
  <c r="R39" i="4"/>
  <c r="H92" i="4" s="1"/>
  <c r="Q39" i="4"/>
  <c r="P39" i="4"/>
  <c r="O39" i="4"/>
  <c r="M39" i="4"/>
  <c r="H91" i="4" s="1"/>
  <c r="L39" i="4"/>
  <c r="K39" i="4"/>
  <c r="J39" i="4"/>
  <c r="H39" i="4"/>
  <c r="H90" i="4" s="1"/>
  <c r="G39" i="4"/>
  <c r="F39" i="4"/>
  <c r="E39" i="4"/>
  <c r="R37" i="4"/>
  <c r="Q37" i="4"/>
  <c r="P37" i="4"/>
  <c r="O37" i="4"/>
  <c r="M37" i="4"/>
  <c r="L37" i="4"/>
  <c r="K37" i="4"/>
  <c r="J37" i="4"/>
  <c r="H37" i="4"/>
  <c r="R34" i="4"/>
  <c r="R35" i="4" s="1"/>
  <c r="Q34" i="4"/>
  <c r="Q35" i="4" s="1"/>
  <c r="P34" i="4"/>
  <c r="P35" i="4" s="1"/>
  <c r="O34" i="4"/>
  <c r="O35" i="4" s="1"/>
  <c r="H34" i="4"/>
  <c r="H35" i="4" s="1"/>
  <c r="R31" i="4"/>
  <c r="M68" i="4" s="1"/>
  <c r="Q31" i="4"/>
  <c r="L68" i="4" s="1"/>
  <c r="P31" i="4"/>
  <c r="K68" i="4" s="1"/>
  <c r="O31" i="4"/>
  <c r="J68" i="4" s="1"/>
  <c r="M31" i="4"/>
  <c r="M67" i="4" s="1"/>
  <c r="L31" i="4"/>
  <c r="L67" i="4" s="1"/>
  <c r="K31" i="4"/>
  <c r="K67" i="4" s="1"/>
  <c r="J31" i="4"/>
  <c r="J67" i="4" s="1"/>
  <c r="H31" i="4"/>
  <c r="M66" i="4" s="1"/>
  <c r="G31" i="4"/>
  <c r="L66" i="4" s="1"/>
  <c r="F31" i="4"/>
  <c r="K66" i="4" s="1"/>
  <c r="E31" i="4"/>
  <c r="J66" i="4" s="1"/>
  <c r="R30" i="4"/>
  <c r="M54" i="4" s="1"/>
  <c r="Q30" i="4"/>
  <c r="L54" i="4" s="1"/>
  <c r="P30" i="4"/>
  <c r="K54" i="4" s="1"/>
  <c r="O30" i="4"/>
  <c r="J54" i="4" s="1"/>
  <c r="H30" i="4"/>
  <c r="M52" i="4" s="1"/>
  <c r="G30" i="4"/>
  <c r="L52" i="4" s="1"/>
  <c r="F30" i="4"/>
  <c r="K52" i="4" s="1"/>
  <c r="E30" i="4"/>
  <c r="J52" i="4" s="1"/>
  <c r="R29" i="4"/>
  <c r="Q29" i="4"/>
  <c r="P29" i="4"/>
  <c r="O29" i="4"/>
  <c r="H29" i="4"/>
  <c r="H59" i="4" s="1"/>
  <c r="G29" i="4"/>
  <c r="G59" i="4" s="1"/>
  <c r="F29" i="4"/>
  <c r="F59" i="4" s="1"/>
  <c r="E29" i="4"/>
  <c r="E59" i="4" s="1"/>
  <c r="R27" i="4"/>
  <c r="Q27" i="4"/>
  <c r="P27" i="4"/>
  <c r="O27" i="4"/>
  <c r="M27" i="4"/>
  <c r="L27" i="4"/>
  <c r="K27" i="4"/>
  <c r="J27" i="4"/>
  <c r="H27" i="4"/>
  <c r="G27" i="4"/>
  <c r="F27" i="4"/>
  <c r="E27" i="4"/>
  <c r="R26" i="4"/>
  <c r="H54" i="4" s="1"/>
  <c r="Q26" i="4"/>
  <c r="G54" i="4" s="1"/>
  <c r="P26" i="4"/>
  <c r="F54" i="4" s="1"/>
  <c r="O26" i="4"/>
  <c r="E54" i="4" s="1"/>
  <c r="M26" i="4"/>
  <c r="H53" i="4" s="1"/>
  <c r="L26" i="4"/>
  <c r="G53" i="4" s="1"/>
  <c r="K26" i="4"/>
  <c r="F53" i="4" s="1"/>
  <c r="J26" i="4"/>
  <c r="E53" i="4" s="1"/>
  <c r="H26" i="4"/>
  <c r="H52" i="4" s="1"/>
  <c r="G26" i="4"/>
  <c r="G52" i="4" s="1"/>
  <c r="F26" i="4"/>
  <c r="F52" i="4" s="1"/>
  <c r="E26" i="4"/>
  <c r="E52" i="4" s="1"/>
  <c r="R19" i="4"/>
  <c r="R41" i="4" s="1"/>
  <c r="H104" i="4" s="1"/>
  <c r="Q19" i="4"/>
  <c r="Q41" i="4" s="1"/>
  <c r="P19" i="4"/>
  <c r="P41" i="4" s="1"/>
  <c r="O19" i="4"/>
  <c r="O41" i="4" s="1"/>
  <c r="H19" i="4"/>
  <c r="G19" i="4"/>
  <c r="G41" i="4" s="1"/>
  <c r="F19" i="4"/>
  <c r="F41" i="4" s="1"/>
  <c r="E19" i="4"/>
  <c r="E41" i="4" s="1"/>
  <c r="H17" i="4"/>
  <c r="G17" i="4"/>
  <c r="F17" i="4"/>
  <c r="E17" i="4"/>
  <c r="Y39" i="4"/>
  <c r="I16" i="4"/>
  <c r="Q14" i="4"/>
  <c r="Q40" i="4" s="1"/>
  <c r="P14" i="4"/>
  <c r="P43" i="4" s="1"/>
  <c r="O14" i="4"/>
  <c r="O40" i="4" s="1"/>
  <c r="M14" i="4"/>
  <c r="M40" i="4" s="1"/>
  <c r="H97" i="4" s="1"/>
  <c r="L14" i="4"/>
  <c r="L43" i="4" s="1"/>
  <c r="K14" i="4"/>
  <c r="K43" i="4" s="1"/>
  <c r="J14" i="4"/>
  <c r="J43" i="4" s="1"/>
  <c r="H14" i="4"/>
  <c r="G14" i="4"/>
  <c r="F14" i="4"/>
  <c r="E14" i="4"/>
  <c r="E40" i="4" s="1"/>
  <c r="R12" i="4"/>
  <c r="R36" i="4" s="1"/>
  <c r="H68" i="4" s="1"/>
  <c r="Q12" i="4"/>
  <c r="Q36" i="4" s="1"/>
  <c r="G68" i="4" s="1"/>
  <c r="P12" i="4"/>
  <c r="P36" i="4" s="1"/>
  <c r="F68" i="4" s="1"/>
  <c r="O12" i="4"/>
  <c r="O36" i="4" s="1"/>
  <c r="E68" i="4" s="1"/>
  <c r="M12" i="4"/>
  <c r="M36" i="4" s="1"/>
  <c r="H67" i="4" s="1"/>
  <c r="L12" i="4"/>
  <c r="L36" i="4" s="1"/>
  <c r="G67" i="4" s="1"/>
  <c r="K12" i="4"/>
  <c r="K36" i="4" s="1"/>
  <c r="F67" i="4" s="1"/>
  <c r="J12" i="4"/>
  <c r="J36" i="4" s="1"/>
  <c r="E67" i="4" s="1"/>
  <c r="H12" i="4"/>
  <c r="H36" i="4" s="1"/>
  <c r="H66" i="4" s="1"/>
  <c r="G12" i="4"/>
  <c r="F12" i="4"/>
  <c r="F36" i="4" s="1"/>
  <c r="F66" i="4" s="1"/>
  <c r="E12" i="4"/>
  <c r="E36" i="4" s="1"/>
  <c r="E66" i="4" s="1"/>
  <c r="G7" i="4"/>
  <c r="F7" i="4"/>
  <c r="F37" i="4" s="1"/>
  <c r="E7" i="4"/>
  <c r="E37" i="4" s="1"/>
  <c r="M6" i="4"/>
  <c r="M30" i="4" s="1"/>
  <c r="M53" i="4" s="1"/>
  <c r="L6" i="4"/>
  <c r="L34" i="4" s="1"/>
  <c r="L35" i="4" s="1"/>
  <c r="K6" i="4"/>
  <c r="K34" i="4" s="1"/>
  <c r="K35" i="4" s="1"/>
  <c r="J6" i="4"/>
  <c r="J34" i="4" s="1"/>
  <c r="J35" i="4" s="1"/>
  <c r="R5" i="4"/>
  <c r="R32" i="4" s="1"/>
  <c r="M61" i="4" s="1"/>
  <c r="Q5" i="4"/>
  <c r="Q32" i="4" s="1"/>
  <c r="L61" i="4" s="1"/>
  <c r="P5" i="4"/>
  <c r="P32" i="4" s="1"/>
  <c r="K61" i="4" s="1"/>
  <c r="O5" i="4"/>
  <c r="O32" i="4" s="1"/>
  <c r="J61" i="4" s="1"/>
  <c r="H5" i="4"/>
  <c r="H32" i="4" s="1"/>
  <c r="M59" i="4" s="1"/>
  <c r="G5" i="4"/>
  <c r="G32" i="4" s="1"/>
  <c r="L59" i="4" s="1"/>
  <c r="F5" i="4"/>
  <c r="F32" i="4" s="1"/>
  <c r="K59" i="4" s="1"/>
  <c r="E5" i="4"/>
  <c r="E32" i="4" s="1"/>
  <c r="J59" i="4" s="1"/>
  <c r="J66" i="3"/>
  <c r="K66" i="3"/>
  <c r="L66" i="3"/>
  <c r="M66" i="3"/>
  <c r="J67" i="3"/>
  <c r="K67" i="3"/>
  <c r="L67" i="3"/>
  <c r="M67" i="3"/>
  <c r="J68" i="3"/>
  <c r="K68" i="3"/>
  <c r="L68" i="3"/>
  <c r="M68" i="3"/>
  <c r="P42" i="3"/>
  <c r="O42" i="3"/>
  <c r="Q42" i="3"/>
  <c r="R42" i="3"/>
  <c r="K42" i="3"/>
  <c r="J42" i="3"/>
  <c r="L42" i="3"/>
  <c r="M42" i="3"/>
  <c r="F42" i="3"/>
  <c r="E42" i="3"/>
  <c r="G42" i="3"/>
  <c r="H42" i="3"/>
  <c r="K41" i="3"/>
  <c r="J41" i="3"/>
  <c r="L41" i="3"/>
  <c r="M41" i="3"/>
  <c r="H99" i="3" s="1"/>
  <c r="P39" i="3"/>
  <c r="O39" i="3"/>
  <c r="Q39" i="3"/>
  <c r="R39" i="3"/>
  <c r="H90" i="3" s="1"/>
  <c r="K39" i="3"/>
  <c r="J39" i="3"/>
  <c r="L39" i="3"/>
  <c r="M39" i="3"/>
  <c r="H89" i="3" s="1"/>
  <c r="F39" i="3"/>
  <c r="E39" i="3"/>
  <c r="G39" i="3"/>
  <c r="H39" i="3"/>
  <c r="H88" i="3" s="1"/>
  <c r="P37" i="3"/>
  <c r="O37" i="3"/>
  <c r="Q37" i="3"/>
  <c r="R37" i="3"/>
  <c r="K37" i="3"/>
  <c r="J37" i="3"/>
  <c r="L37" i="3"/>
  <c r="M37" i="3"/>
  <c r="H37" i="3"/>
  <c r="P34" i="3"/>
  <c r="P35" i="3" s="1"/>
  <c r="O34" i="3"/>
  <c r="O35" i="3" s="1"/>
  <c r="Q34" i="3"/>
  <c r="Q35" i="3" s="1"/>
  <c r="R34" i="3"/>
  <c r="R35" i="3" s="1"/>
  <c r="H34" i="3"/>
  <c r="H35" i="3" s="1"/>
  <c r="P31" i="3"/>
  <c r="O31" i="3"/>
  <c r="Q31" i="3"/>
  <c r="R31" i="3"/>
  <c r="K31" i="3"/>
  <c r="J31" i="3"/>
  <c r="L31" i="3"/>
  <c r="M31" i="3"/>
  <c r="F31" i="3"/>
  <c r="E31" i="3"/>
  <c r="G31" i="3"/>
  <c r="H31" i="3"/>
  <c r="P30" i="3"/>
  <c r="K54" i="3" s="1"/>
  <c r="O30" i="3"/>
  <c r="J54" i="3" s="1"/>
  <c r="Q30" i="3"/>
  <c r="L54" i="3" s="1"/>
  <c r="R30" i="3"/>
  <c r="M54" i="3" s="1"/>
  <c r="F30" i="3"/>
  <c r="K52" i="3" s="1"/>
  <c r="E30" i="3"/>
  <c r="J52" i="3" s="1"/>
  <c r="G30" i="3"/>
  <c r="L52" i="3" s="1"/>
  <c r="H30" i="3"/>
  <c r="M52" i="3" s="1"/>
  <c r="P29" i="3"/>
  <c r="F61" i="3" s="1"/>
  <c r="O29" i="3"/>
  <c r="E61" i="3" s="1"/>
  <c r="Q29" i="3"/>
  <c r="G61" i="3" s="1"/>
  <c r="R29" i="3"/>
  <c r="H61" i="3" s="1"/>
  <c r="F29" i="3"/>
  <c r="F59" i="3" s="1"/>
  <c r="E29" i="3"/>
  <c r="E59" i="3" s="1"/>
  <c r="G29" i="3"/>
  <c r="G59" i="3" s="1"/>
  <c r="H29" i="3"/>
  <c r="H59" i="3" s="1"/>
  <c r="P27" i="3"/>
  <c r="O27" i="3"/>
  <c r="Q27" i="3"/>
  <c r="R27" i="3"/>
  <c r="K27" i="3"/>
  <c r="J27" i="3"/>
  <c r="L27" i="3"/>
  <c r="M27" i="3"/>
  <c r="F27" i="3"/>
  <c r="E27" i="3"/>
  <c r="G27" i="3"/>
  <c r="H27" i="3"/>
  <c r="P26" i="3"/>
  <c r="F54" i="3" s="1"/>
  <c r="O26" i="3"/>
  <c r="E54" i="3" s="1"/>
  <c r="Q26" i="3"/>
  <c r="G54" i="3" s="1"/>
  <c r="R26" i="3"/>
  <c r="H54" i="3" s="1"/>
  <c r="K26" i="3"/>
  <c r="F53" i="3" s="1"/>
  <c r="J26" i="3"/>
  <c r="E53" i="3" s="1"/>
  <c r="L26" i="3"/>
  <c r="G53" i="3" s="1"/>
  <c r="M26" i="3"/>
  <c r="H53" i="3" s="1"/>
  <c r="F26" i="3"/>
  <c r="F52" i="3" s="1"/>
  <c r="E26" i="3"/>
  <c r="E52" i="3" s="1"/>
  <c r="G26" i="3"/>
  <c r="G52" i="3" s="1"/>
  <c r="H26" i="3"/>
  <c r="H52" i="3" s="1"/>
  <c r="T23" i="3"/>
  <c r="U23" i="3"/>
  <c r="T21" i="3"/>
  <c r="U21" i="3"/>
  <c r="T20" i="3"/>
  <c r="U20" i="3"/>
  <c r="P19" i="3"/>
  <c r="P41" i="3" s="1"/>
  <c r="O19" i="3"/>
  <c r="O41" i="3" s="1"/>
  <c r="Q19" i="3"/>
  <c r="Q41" i="3" s="1"/>
  <c r="R19" i="3"/>
  <c r="R41" i="3" s="1"/>
  <c r="H100" i="3" s="1"/>
  <c r="F19" i="3"/>
  <c r="F41" i="3" s="1"/>
  <c r="E19" i="3"/>
  <c r="E41" i="3" s="1"/>
  <c r="G19" i="3"/>
  <c r="G41" i="3" s="1"/>
  <c r="H19" i="3"/>
  <c r="H41" i="3" s="1"/>
  <c r="H98" i="3" s="1"/>
  <c r="T18" i="3"/>
  <c r="U18" i="3"/>
  <c r="F17" i="3"/>
  <c r="E17" i="3"/>
  <c r="G17" i="3"/>
  <c r="T17" i="3" s="1"/>
  <c r="H17" i="3"/>
  <c r="U17" i="3" s="1"/>
  <c r="T16" i="3"/>
  <c r="U16" i="3"/>
  <c r="I16" i="3"/>
  <c r="P14" i="3"/>
  <c r="P43" i="3" s="1"/>
  <c r="O14" i="3"/>
  <c r="O40" i="3" s="1"/>
  <c r="Q14" i="3"/>
  <c r="Q43" i="3" s="1"/>
  <c r="R14" i="3"/>
  <c r="R43" i="3" s="1"/>
  <c r="H105" i="3" s="1"/>
  <c r="K14" i="3"/>
  <c r="K40" i="3" s="1"/>
  <c r="J14" i="3"/>
  <c r="J40" i="3" s="1"/>
  <c r="L14" i="3"/>
  <c r="M14" i="3"/>
  <c r="M43" i="3" s="1"/>
  <c r="H104" i="3" s="1"/>
  <c r="F14" i="3"/>
  <c r="F40" i="3" s="1"/>
  <c r="E14" i="3"/>
  <c r="G14" i="3"/>
  <c r="G40" i="3" s="1"/>
  <c r="H14" i="3"/>
  <c r="H40" i="3" s="1"/>
  <c r="H93" i="3" s="1"/>
  <c r="P12" i="3"/>
  <c r="P36" i="3" s="1"/>
  <c r="F68" i="3" s="1"/>
  <c r="O12" i="3"/>
  <c r="O36" i="3" s="1"/>
  <c r="E68" i="3" s="1"/>
  <c r="Q12" i="3"/>
  <c r="Q36" i="3" s="1"/>
  <c r="G68" i="3" s="1"/>
  <c r="R12" i="3"/>
  <c r="R36" i="3" s="1"/>
  <c r="H68" i="3" s="1"/>
  <c r="K12" i="3"/>
  <c r="K36" i="3" s="1"/>
  <c r="F67" i="3" s="1"/>
  <c r="J12" i="3"/>
  <c r="J36" i="3" s="1"/>
  <c r="E67" i="3" s="1"/>
  <c r="L12" i="3"/>
  <c r="L36" i="3" s="1"/>
  <c r="G67" i="3" s="1"/>
  <c r="M12" i="3"/>
  <c r="M36" i="3" s="1"/>
  <c r="H67" i="3" s="1"/>
  <c r="F12" i="3"/>
  <c r="F36" i="3" s="1"/>
  <c r="F66" i="3" s="1"/>
  <c r="E12" i="3"/>
  <c r="E36" i="3" s="1"/>
  <c r="E66" i="3" s="1"/>
  <c r="G12" i="3"/>
  <c r="G36" i="3" s="1"/>
  <c r="G66" i="3" s="1"/>
  <c r="H12" i="3"/>
  <c r="H36" i="3" s="1"/>
  <c r="H66" i="3" s="1"/>
  <c r="T11" i="3"/>
  <c r="U11" i="3"/>
  <c r="T10" i="3"/>
  <c r="U10" i="3"/>
  <c r="T8" i="3"/>
  <c r="U8" i="3"/>
  <c r="U7" i="3"/>
  <c r="F7" i="3"/>
  <c r="F37" i="3" s="1"/>
  <c r="E7" i="3"/>
  <c r="E37" i="3" s="1"/>
  <c r="G7" i="3"/>
  <c r="G37" i="3" s="1"/>
  <c r="K6" i="3"/>
  <c r="K29" i="3" s="1"/>
  <c r="F60" i="3" s="1"/>
  <c r="J6" i="3"/>
  <c r="J29" i="3" s="1"/>
  <c r="E60" i="3" s="1"/>
  <c r="L6" i="3"/>
  <c r="L34" i="3" s="1"/>
  <c r="L35" i="3" s="1"/>
  <c r="M6" i="3"/>
  <c r="M34" i="3" s="1"/>
  <c r="M35" i="3" s="1"/>
  <c r="P5" i="3"/>
  <c r="P32" i="3" s="1"/>
  <c r="K61" i="3" s="1"/>
  <c r="O5" i="3"/>
  <c r="O32" i="3" s="1"/>
  <c r="J61" i="3" s="1"/>
  <c r="Q5" i="3"/>
  <c r="Q32" i="3" s="1"/>
  <c r="L61" i="3" s="1"/>
  <c r="R5" i="3"/>
  <c r="R32" i="3" s="1"/>
  <c r="M61" i="3" s="1"/>
  <c r="F5" i="3"/>
  <c r="F32" i="3" s="1"/>
  <c r="K59" i="3" s="1"/>
  <c r="E5" i="3"/>
  <c r="E32" i="3" s="1"/>
  <c r="J59" i="3" s="1"/>
  <c r="G5" i="3"/>
  <c r="G32" i="3" s="1"/>
  <c r="L59" i="3" s="1"/>
  <c r="H5" i="3"/>
  <c r="H32" i="3" s="1"/>
  <c r="M59" i="3" s="1"/>
  <c r="T4" i="3"/>
  <c r="U4" i="3"/>
  <c r="H37" i="1"/>
  <c r="H14" i="1"/>
  <c r="I16" i="1"/>
  <c r="M6" i="1"/>
  <c r="M5" i="1" s="1"/>
  <c r="H19" i="1"/>
  <c r="H17" i="1"/>
  <c r="M14" i="1"/>
  <c r="R14" i="1"/>
  <c r="R19" i="1"/>
  <c r="R5" i="1"/>
  <c r="R12" i="1"/>
  <c r="M12" i="1"/>
  <c r="H12" i="1"/>
  <c r="H46" i="1" s="1"/>
  <c r="H5" i="1"/>
  <c r="F45" i="7" l="1"/>
  <c r="K96" i="7" s="1"/>
  <c r="R45" i="7"/>
  <c r="H45" i="7"/>
  <c r="M96" i="7" s="1"/>
  <c r="K45" i="7"/>
  <c r="M45" i="7"/>
  <c r="L45" i="7"/>
  <c r="P45" i="7"/>
  <c r="U40" i="8"/>
  <c r="M70" i="8"/>
  <c r="J63" i="8"/>
  <c r="G70" i="8"/>
  <c r="G81" i="8" s="1"/>
  <c r="G80" i="8"/>
  <c r="H70" i="8"/>
  <c r="H80" i="8"/>
  <c r="L56" i="8"/>
  <c r="E75" i="8"/>
  <c r="M56" i="8"/>
  <c r="K70" i="8"/>
  <c r="M63" i="8"/>
  <c r="H82" i="8"/>
  <c r="H81" i="8"/>
  <c r="L70" i="8"/>
  <c r="U7" i="8"/>
  <c r="U34" i="8" s="1"/>
  <c r="U35" i="8" s="1"/>
  <c r="L29" i="8"/>
  <c r="G60" i="8" s="1"/>
  <c r="J32" i="8"/>
  <c r="J60" i="8" s="1"/>
  <c r="L34" i="8"/>
  <c r="L35" i="8" s="1"/>
  <c r="L43" i="8"/>
  <c r="E63" i="8"/>
  <c r="E77" i="8" s="1"/>
  <c r="T14" i="8"/>
  <c r="T43" i="8" s="1"/>
  <c r="U27" i="8"/>
  <c r="M29" i="8"/>
  <c r="H60" i="8" s="1"/>
  <c r="M34" i="8"/>
  <c r="M35" i="8" s="1"/>
  <c r="M43" i="8"/>
  <c r="U14" i="8"/>
  <c r="U43" i="8" s="1"/>
  <c r="J36" i="8"/>
  <c r="E67" i="8" s="1"/>
  <c r="F34" i="8"/>
  <c r="F35" i="8" s="1"/>
  <c r="K36" i="8"/>
  <c r="F67" i="8" s="1"/>
  <c r="H40" i="8"/>
  <c r="R40" i="8"/>
  <c r="K5" i="8"/>
  <c r="K32" i="8" s="1"/>
  <c r="K60" i="8" s="1"/>
  <c r="K63" i="8" s="1"/>
  <c r="U5" i="8"/>
  <c r="U32" i="8" s="1"/>
  <c r="K62" i="8" s="1"/>
  <c r="K30" i="8"/>
  <c r="K53" i="8" s="1"/>
  <c r="K56" i="8" s="1"/>
  <c r="U30" i="8"/>
  <c r="K55" i="8" s="1"/>
  <c r="H34" i="8"/>
  <c r="H35" i="8" s="1"/>
  <c r="K40" i="8"/>
  <c r="L5" i="8"/>
  <c r="L32" i="8" s="1"/>
  <c r="L60" i="8" s="1"/>
  <c r="L63" i="8" s="1"/>
  <c r="T19" i="8"/>
  <c r="T41" i="8" s="1"/>
  <c r="J29" i="8"/>
  <c r="E60" i="8" s="1"/>
  <c r="T29" i="8"/>
  <c r="E62" i="8" s="1"/>
  <c r="M5" i="8"/>
  <c r="M32" i="8" s="1"/>
  <c r="M60" i="8" s="1"/>
  <c r="U19" i="8"/>
  <c r="U41" i="8" s="1"/>
  <c r="K29" i="8"/>
  <c r="F60" i="8" s="1"/>
  <c r="F63" i="8" s="1"/>
  <c r="U29" i="8"/>
  <c r="F62" i="8" s="1"/>
  <c r="L5" i="7"/>
  <c r="L32" i="7" s="1"/>
  <c r="L60" i="7" s="1"/>
  <c r="L63" i="7" s="1"/>
  <c r="K29" i="7"/>
  <c r="F60" i="7" s="1"/>
  <c r="F63" i="7" s="1"/>
  <c r="F75" i="7" s="1"/>
  <c r="E34" i="7"/>
  <c r="E35" i="7" s="1"/>
  <c r="J43" i="7"/>
  <c r="J34" i="7"/>
  <c r="J35" i="7" s="1"/>
  <c r="J5" i="7"/>
  <c r="J32" i="7" s="1"/>
  <c r="J60" i="7" s="1"/>
  <c r="J63" i="7" s="1"/>
  <c r="M43" i="7"/>
  <c r="H109" i="7" s="1"/>
  <c r="K5" i="7"/>
  <c r="K32" i="7" s="1"/>
  <c r="K60" i="7" s="1"/>
  <c r="K63" i="7" s="1"/>
  <c r="E43" i="7"/>
  <c r="R40" i="7"/>
  <c r="H98" i="7" s="1"/>
  <c r="T43" i="7"/>
  <c r="F111" i="7" s="1"/>
  <c r="H43" i="7"/>
  <c r="H108" i="7" s="1"/>
  <c r="G56" i="7"/>
  <c r="L34" i="7"/>
  <c r="L35" i="7" s="1"/>
  <c r="H56" i="7"/>
  <c r="M29" i="7"/>
  <c r="H60" i="7" s="1"/>
  <c r="H63" i="7" s="1"/>
  <c r="H76" i="7" s="1"/>
  <c r="K40" i="7"/>
  <c r="L29" i="7"/>
  <c r="G60" i="7" s="1"/>
  <c r="G63" i="7" s="1"/>
  <c r="O40" i="7"/>
  <c r="K34" i="7"/>
  <c r="K35" i="7" s="1"/>
  <c r="J70" i="7"/>
  <c r="F56" i="7"/>
  <c r="M70" i="7"/>
  <c r="E56" i="7"/>
  <c r="J29" i="7"/>
  <c r="E60" i="7" s="1"/>
  <c r="E63" i="7" s="1"/>
  <c r="E75" i="7" s="1"/>
  <c r="L70" i="7"/>
  <c r="M56" i="7"/>
  <c r="E70" i="7"/>
  <c r="E84" i="7" s="1"/>
  <c r="G70" i="7"/>
  <c r="G83" i="7" s="1"/>
  <c r="K56" i="7"/>
  <c r="F70" i="7"/>
  <c r="F82" i="7" s="1"/>
  <c r="F37" i="7"/>
  <c r="L43" i="7"/>
  <c r="M5" i="7"/>
  <c r="M32" i="7" s="1"/>
  <c r="M60" i="7" s="1"/>
  <c r="M63" i="7" s="1"/>
  <c r="J56" i="7"/>
  <c r="K70" i="7"/>
  <c r="M34" i="7"/>
  <c r="M35" i="7" s="1"/>
  <c r="Q43" i="7"/>
  <c r="Q40" i="7"/>
  <c r="G37" i="7"/>
  <c r="L56" i="7"/>
  <c r="P43" i="7"/>
  <c r="G43" i="7"/>
  <c r="G40" i="7"/>
  <c r="H70" i="7"/>
  <c r="H84" i="7" s="1"/>
  <c r="F43" i="7"/>
  <c r="AD43" i="7"/>
  <c r="H111" i="7" s="1"/>
  <c r="L5" i="6"/>
  <c r="L32" i="6" s="1"/>
  <c r="L60" i="6" s="1"/>
  <c r="E43" i="6"/>
  <c r="M5" i="6"/>
  <c r="M32" i="6" s="1"/>
  <c r="M60" i="6" s="1"/>
  <c r="M63" i="6" s="1"/>
  <c r="J40" i="6"/>
  <c r="F56" i="6"/>
  <c r="K70" i="6"/>
  <c r="H34" i="6"/>
  <c r="H35" i="6" s="1"/>
  <c r="K5" i="6"/>
  <c r="K32" i="6" s="1"/>
  <c r="K60" i="6" s="1"/>
  <c r="K63" i="6" s="1"/>
  <c r="H43" i="6"/>
  <c r="G43" i="6"/>
  <c r="F43" i="6"/>
  <c r="F108" i="6" s="1"/>
  <c r="J56" i="6"/>
  <c r="M70" i="6"/>
  <c r="O40" i="6"/>
  <c r="F110" i="6"/>
  <c r="L70" i="6"/>
  <c r="E70" i="6"/>
  <c r="E84" i="6" s="1"/>
  <c r="G70" i="6"/>
  <c r="G83" i="6" s="1"/>
  <c r="L63" i="6"/>
  <c r="H56" i="6"/>
  <c r="L56" i="6"/>
  <c r="F70" i="6"/>
  <c r="F83" i="6" s="1"/>
  <c r="H70" i="6"/>
  <c r="H83" i="6" s="1"/>
  <c r="E56" i="6"/>
  <c r="J70" i="6"/>
  <c r="G56" i="6"/>
  <c r="J29" i="6"/>
  <c r="E60" i="6" s="1"/>
  <c r="K40" i="6"/>
  <c r="F97" i="6" s="1"/>
  <c r="K30" i="6"/>
  <c r="K53" i="6" s="1"/>
  <c r="K56" i="6" s="1"/>
  <c r="J34" i="6"/>
  <c r="J35" i="6" s="1"/>
  <c r="J5" i="6"/>
  <c r="J32" i="6" s="1"/>
  <c r="J60" i="6" s="1"/>
  <c r="J63" i="6" s="1"/>
  <c r="L29" i="6"/>
  <c r="G60" i="6" s="1"/>
  <c r="L34" i="6"/>
  <c r="L35" i="6" s="1"/>
  <c r="H40" i="6"/>
  <c r="R40" i="6"/>
  <c r="L43" i="6"/>
  <c r="T43" i="6"/>
  <c r="F111" i="6" s="1"/>
  <c r="K29" i="6"/>
  <c r="F60" i="6" s="1"/>
  <c r="G40" i="6"/>
  <c r="Q40" i="6"/>
  <c r="E34" i="6"/>
  <c r="E35" i="6" s="1"/>
  <c r="M30" i="6"/>
  <c r="M53" i="6" s="1"/>
  <c r="M56" i="6" s="1"/>
  <c r="G34" i="6"/>
  <c r="G35" i="6" s="1"/>
  <c r="M40" i="6"/>
  <c r="V40" i="6"/>
  <c r="H99" i="6" s="1"/>
  <c r="M29" i="6"/>
  <c r="H60" i="6" s="1"/>
  <c r="M56" i="4"/>
  <c r="E56" i="4"/>
  <c r="G56" i="4"/>
  <c r="H56" i="4"/>
  <c r="T40" i="4"/>
  <c r="V40" i="4"/>
  <c r="X26" i="4"/>
  <c r="X27" i="4"/>
  <c r="Y37" i="4"/>
  <c r="G43" i="4"/>
  <c r="O43" i="4"/>
  <c r="F43" i="4"/>
  <c r="H43" i="4"/>
  <c r="H108" i="4" s="1"/>
  <c r="Y31" i="4"/>
  <c r="W40" i="4"/>
  <c r="F34" i="4"/>
  <c r="F35" i="4" s="1"/>
  <c r="G40" i="4"/>
  <c r="J5" i="4"/>
  <c r="J32" i="4" s="1"/>
  <c r="J60" i="4" s="1"/>
  <c r="L5" i="4"/>
  <c r="L32" i="4" s="1"/>
  <c r="L60" i="4" s="1"/>
  <c r="Y36" i="4"/>
  <c r="W41" i="4"/>
  <c r="W42" i="4"/>
  <c r="W30" i="4"/>
  <c r="J30" i="4"/>
  <c r="J53" i="4" s="1"/>
  <c r="J56" i="4" s="1"/>
  <c r="F56" i="4"/>
  <c r="W26" i="4"/>
  <c r="W36" i="4"/>
  <c r="W31" i="4"/>
  <c r="Y26" i="4"/>
  <c r="W39" i="4"/>
  <c r="Y27" i="4"/>
  <c r="Y42" i="4"/>
  <c r="E43" i="4"/>
  <c r="F40" i="4"/>
  <c r="M43" i="4"/>
  <c r="H109" i="4" s="1"/>
  <c r="G34" i="4"/>
  <c r="G35" i="4" s="1"/>
  <c r="L40" i="4"/>
  <c r="Q43" i="4"/>
  <c r="Y41" i="4"/>
  <c r="P40" i="4"/>
  <c r="L30" i="4"/>
  <c r="L53" i="4" s="1"/>
  <c r="L56" i="4" s="1"/>
  <c r="AA40" i="4"/>
  <c r="AB37" i="4"/>
  <c r="AB40" i="4"/>
  <c r="AC40" i="4"/>
  <c r="AD40" i="4"/>
  <c r="E82" i="4"/>
  <c r="H82" i="4"/>
  <c r="F83" i="4"/>
  <c r="G37" i="4"/>
  <c r="W27" i="4"/>
  <c r="L29" i="4"/>
  <c r="G60" i="4" s="1"/>
  <c r="G36" i="4"/>
  <c r="G66" i="4" s="1"/>
  <c r="W37" i="4"/>
  <c r="M34" i="4"/>
  <c r="M35" i="4" s="1"/>
  <c r="Y43" i="4"/>
  <c r="E34" i="4"/>
  <c r="E35" i="4" s="1"/>
  <c r="H40" i="4"/>
  <c r="H96" i="4" s="1"/>
  <c r="R40" i="4"/>
  <c r="H98" i="4" s="1"/>
  <c r="H41" i="4"/>
  <c r="H102" i="4" s="1"/>
  <c r="J40" i="4"/>
  <c r="K5" i="4"/>
  <c r="K32" i="4" s="1"/>
  <c r="K60" i="4" s="1"/>
  <c r="K30" i="4"/>
  <c r="K53" i="4" s="1"/>
  <c r="K56" i="4" s="1"/>
  <c r="K40" i="4"/>
  <c r="M29" i="4"/>
  <c r="H60" i="4" s="1"/>
  <c r="H77" i="4" s="1"/>
  <c r="J29" i="4"/>
  <c r="E60" i="4" s="1"/>
  <c r="E77" i="4" s="1"/>
  <c r="M5" i="4"/>
  <c r="M32" i="4" s="1"/>
  <c r="M60" i="4" s="1"/>
  <c r="K29" i="4"/>
  <c r="F60" i="4" s="1"/>
  <c r="F75" i="4" s="1"/>
  <c r="T26" i="3"/>
  <c r="G55" i="3" s="1"/>
  <c r="E43" i="3"/>
  <c r="G43" i="3"/>
  <c r="U6" i="3"/>
  <c r="U34" i="3" s="1"/>
  <c r="U35" i="3" s="1"/>
  <c r="J43" i="3"/>
  <c r="T42" i="3"/>
  <c r="M70" i="3"/>
  <c r="T27" i="3"/>
  <c r="U26" i="3"/>
  <c r="H55" i="3" s="1"/>
  <c r="M40" i="3"/>
  <c r="H94" i="3" s="1"/>
  <c r="E63" i="3"/>
  <c r="E76" i="3" s="1"/>
  <c r="U31" i="3"/>
  <c r="M69" i="3" s="1"/>
  <c r="F56" i="3"/>
  <c r="T6" i="3"/>
  <c r="T30" i="3" s="1"/>
  <c r="L55" i="3" s="1"/>
  <c r="T31" i="3"/>
  <c r="L69" i="3" s="1"/>
  <c r="E40" i="3"/>
  <c r="L70" i="3"/>
  <c r="R40" i="3"/>
  <c r="H95" i="3" s="1"/>
  <c r="U42" i="3"/>
  <c r="E34" i="3"/>
  <c r="E35" i="3" s="1"/>
  <c r="Q40" i="3"/>
  <c r="U37" i="3"/>
  <c r="F34" i="3"/>
  <c r="F35" i="3" s="1"/>
  <c r="O43" i="3"/>
  <c r="F43" i="3"/>
  <c r="M5" i="3"/>
  <c r="M32" i="3" s="1"/>
  <c r="M60" i="3" s="1"/>
  <c r="M30" i="3"/>
  <c r="M53" i="3" s="1"/>
  <c r="M56" i="3" s="1"/>
  <c r="L5" i="3"/>
  <c r="E56" i="3"/>
  <c r="U27" i="3"/>
  <c r="L30" i="3"/>
  <c r="L53" i="3" s="1"/>
  <c r="L56" i="3" s="1"/>
  <c r="H56" i="3"/>
  <c r="G70" i="3"/>
  <c r="G80" i="3" s="1"/>
  <c r="M63" i="3"/>
  <c r="E70" i="3"/>
  <c r="E80" i="3" s="1"/>
  <c r="F63" i="3"/>
  <c r="F76" i="3" s="1"/>
  <c r="F70" i="3"/>
  <c r="F82" i="3" s="1"/>
  <c r="H70" i="3"/>
  <c r="H80" i="3" s="1"/>
  <c r="U5" i="3"/>
  <c r="U32" i="3" s="1"/>
  <c r="M62" i="3" s="1"/>
  <c r="T12" i="3"/>
  <c r="T36" i="3" s="1"/>
  <c r="G69" i="3" s="1"/>
  <c r="U39" i="3"/>
  <c r="T39" i="3"/>
  <c r="G34" i="3"/>
  <c r="G35" i="3" s="1"/>
  <c r="H43" i="3"/>
  <c r="H103" i="3" s="1"/>
  <c r="K30" i="3"/>
  <c r="K53" i="3" s="1"/>
  <c r="K56" i="3" s="1"/>
  <c r="K5" i="3"/>
  <c r="K32" i="3" s="1"/>
  <c r="K60" i="3" s="1"/>
  <c r="K63" i="3" s="1"/>
  <c r="U14" i="3"/>
  <c r="K70" i="3"/>
  <c r="K34" i="3"/>
  <c r="K35" i="3" s="1"/>
  <c r="K43" i="3"/>
  <c r="G56" i="3"/>
  <c r="G82" i="3"/>
  <c r="J30" i="3"/>
  <c r="J53" i="3" s="1"/>
  <c r="J56" i="3" s="1"/>
  <c r="J5" i="3"/>
  <c r="J32" i="3" s="1"/>
  <c r="J60" i="3" s="1"/>
  <c r="J63" i="3" s="1"/>
  <c r="J70" i="3"/>
  <c r="L43" i="3"/>
  <c r="L40" i="3"/>
  <c r="T14" i="3"/>
  <c r="T43" i="3" s="1"/>
  <c r="T7" i="3"/>
  <c r="T37" i="3" s="1"/>
  <c r="J34" i="3"/>
  <c r="J35" i="3" s="1"/>
  <c r="U12" i="3"/>
  <c r="U36" i="3" s="1"/>
  <c r="H69" i="3" s="1"/>
  <c r="P40" i="3"/>
  <c r="U19" i="3"/>
  <c r="U41" i="3" s="1"/>
  <c r="M29" i="3"/>
  <c r="H60" i="3" s="1"/>
  <c r="T19" i="3"/>
  <c r="T41" i="3" s="1"/>
  <c r="L29" i="3"/>
  <c r="G60" i="3" s="1"/>
  <c r="T23" i="1"/>
  <c r="T21" i="1"/>
  <c r="T20" i="1"/>
  <c r="T18" i="1"/>
  <c r="T17" i="1"/>
  <c r="T16" i="1"/>
  <c r="T14" i="1"/>
  <c r="T12" i="1"/>
  <c r="T11" i="1"/>
  <c r="T10" i="1"/>
  <c r="T8" i="1"/>
  <c r="T4" i="1"/>
  <c r="R42" i="1"/>
  <c r="R39" i="1"/>
  <c r="H90" i="1" s="1"/>
  <c r="R37" i="1"/>
  <c r="R34" i="1"/>
  <c r="R35" i="1" s="1"/>
  <c r="R31" i="1"/>
  <c r="M68" i="1" s="1"/>
  <c r="R30" i="1"/>
  <c r="M54" i="1" s="1"/>
  <c r="R29" i="1"/>
  <c r="H61" i="1" s="1"/>
  <c r="R27" i="1"/>
  <c r="R26" i="1"/>
  <c r="H54" i="1" s="1"/>
  <c r="R41" i="1"/>
  <c r="H100" i="1" s="1"/>
  <c r="R43" i="1"/>
  <c r="H105" i="1" s="1"/>
  <c r="R36" i="1"/>
  <c r="H68" i="1" s="1"/>
  <c r="R32" i="1"/>
  <c r="M61" i="1" s="1"/>
  <c r="M42" i="1"/>
  <c r="M41" i="1"/>
  <c r="H99" i="1" s="1"/>
  <c r="M39" i="1"/>
  <c r="H89" i="1" s="1"/>
  <c r="M37" i="1"/>
  <c r="M31" i="1"/>
  <c r="M67" i="1" s="1"/>
  <c r="M27" i="1"/>
  <c r="M26" i="1"/>
  <c r="H53" i="1" s="1"/>
  <c r="M40" i="1"/>
  <c r="H94" i="1" s="1"/>
  <c r="M36" i="1"/>
  <c r="H67" i="1" s="1"/>
  <c r="M32" i="1"/>
  <c r="M60" i="1" s="1"/>
  <c r="H42" i="1"/>
  <c r="H39" i="1"/>
  <c r="H88" i="1" s="1"/>
  <c r="H31" i="1"/>
  <c r="M66" i="1" s="1"/>
  <c r="H30" i="1"/>
  <c r="M52" i="1" s="1"/>
  <c r="H29" i="1"/>
  <c r="H59" i="1" s="1"/>
  <c r="H27" i="1"/>
  <c r="H26" i="1"/>
  <c r="H52" i="1" s="1"/>
  <c r="H41" i="1"/>
  <c r="H98" i="1" s="1"/>
  <c r="H36" i="1"/>
  <c r="H66" i="1" s="1"/>
  <c r="H32" i="1"/>
  <c r="M59" i="1" s="1"/>
  <c r="F5" i="1"/>
  <c r="F32" i="1" s="1"/>
  <c r="K59" i="1" s="1"/>
  <c r="U23" i="1"/>
  <c r="G14" i="1"/>
  <c r="G40" i="1" s="1"/>
  <c r="L14" i="1"/>
  <c r="L40" i="1" s="1"/>
  <c r="P14" i="1"/>
  <c r="P40" i="1" s="1"/>
  <c r="O14" i="1"/>
  <c r="O43" i="1" s="1"/>
  <c r="Q14" i="1"/>
  <c r="Q43" i="1" s="1"/>
  <c r="K14" i="1"/>
  <c r="K43" i="1" s="1"/>
  <c r="J14" i="1"/>
  <c r="J40" i="1" s="1"/>
  <c r="E14" i="1"/>
  <c r="E40" i="1" s="1"/>
  <c r="F14" i="1"/>
  <c r="Q19" i="1"/>
  <c r="Q41" i="1" s="1"/>
  <c r="G17" i="1"/>
  <c r="U17" i="1" s="1"/>
  <c r="F17" i="1"/>
  <c r="E17" i="1"/>
  <c r="E42" i="1"/>
  <c r="F42" i="1"/>
  <c r="L42" i="1"/>
  <c r="J42" i="1"/>
  <c r="K42" i="1"/>
  <c r="Q42" i="1"/>
  <c r="O42" i="1"/>
  <c r="P42" i="1"/>
  <c r="U4" i="1"/>
  <c r="U18" i="1"/>
  <c r="G42" i="1"/>
  <c r="E19" i="1"/>
  <c r="E41" i="1" s="1"/>
  <c r="F19" i="1"/>
  <c r="F41" i="1" s="1"/>
  <c r="L41" i="1"/>
  <c r="J41" i="1"/>
  <c r="K41" i="1"/>
  <c r="O19" i="1"/>
  <c r="O41" i="1" s="1"/>
  <c r="P19" i="1"/>
  <c r="P41" i="1" s="1"/>
  <c r="G19" i="1"/>
  <c r="G41" i="1" s="1"/>
  <c r="U21" i="1"/>
  <c r="U8" i="1"/>
  <c r="G7" i="1"/>
  <c r="G34" i="1" s="1"/>
  <c r="G35" i="1" s="1"/>
  <c r="P37" i="1"/>
  <c r="O37" i="1"/>
  <c r="Q37" i="1"/>
  <c r="K37" i="1"/>
  <c r="J37" i="1"/>
  <c r="L37" i="1"/>
  <c r="F7" i="1"/>
  <c r="F34" i="1" s="1"/>
  <c r="F35" i="1" s="1"/>
  <c r="E7" i="1"/>
  <c r="E37" i="1" s="1"/>
  <c r="G29" i="1"/>
  <c r="G59" i="1" s="1"/>
  <c r="L6" i="1"/>
  <c r="L34" i="1" s="1"/>
  <c r="L35" i="1" s="1"/>
  <c r="Q29" i="1"/>
  <c r="G61" i="1" s="1"/>
  <c r="J6" i="1"/>
  <c r="J34" i="1" s="1"/>
  <c r="J35" i="1" s="1"/>
  <c r="K6" i="1"/>
  <c r="K30" i="1" s="1"/>
  <c r="K53" i="1" s="1"/>
  <c r="K34" i="1"/>
  <c r="K35" i="1" s="1"/>
  <c r="Q34" i="1"/>
  <c r="Q35" i="1" s="1"/>
  <c r="O34" i="1"/>
  <c r="O35" i="1" s="1"/>
  <c r="P34" i="1"/>
  <c r="P35" i="1" s="1"/>
  <c r="E29" i="1"/>
  <c r="E59" i="1" s="1"/>
  <c r="O29" i="1"/>
  <c r="E61" i="1" s="1"/>
  <c r="F29" i="1"/>
  <c r="F59" i="1" s="1"/>
  <c r="P29" i="1"/>
  <c r="F61" i="1" s="1"/>
  <c r="L12" i="1"/>
  <c r="L36" i="1" s="1"/>
  <c r="G67" i="1" s="1"/>
  <c r="G12" i="1"/>
  <c r="Q12" i="1"/>
  <c r="Q36" i="1" s="1"/>
  <c r="G68" i="1" s="1"/>
  <c r="J12" i="1"/>
  <c r="E12" i="1"/>
  <c r="O12" i="1"/>
  <c r="O36" i="1" s="1"/>
  <c r="E68" i="1" s="1"/>
  <c r="K12" i="1"/>
  <c r="F12" i="1"/>
  <c r="P12" i="1"/>
  <c r="P36" i="1" s="1"/>
  <c r="F68" i="1" s="1"/>
  <c r="F31" i="1"/>
  <c r="K66" i="1" s="1"/>
  <c r="K31" i="1"/>
  <c r="K67" i="1" s="1"/>
  <c r="P31" i="1"/>
  <c r="K68" i="1" s="1"/>
  <c r="E31" i="1"/>
  <c r="J66" i="1" s="1"/>
  <c r="J31" i="1"/>
  <c r="J67" i="1" s="1"/>
  <c r="O31" i="1"/>
  <c r="J68" i="1"/>
  <c r="G31" i="1"/>
  <c r="L66" i="1" s="1"/>
  <c r="L31" i="1"/>
  <c r="L67" i="1" s="1"/>
  <c r="Q31" i="1"/>
  <c r="L68" i="1" s="1"/>
  <c r="P5" i="1"/>
  <c r="P32" i="1" s="1"/>
  <c r="K61" i="1" s="1"/>
  <c r="E5" i="1"/>
  <c r="E32" i="1" s="1"/>
  <c r="J59" i="1" s="1"/>
  <c r="O5" i="1"/>
  <c r="O32" i="1" s="1"/>
  <c r="J61" i="1" s="1"/>
  <c r="G5" i="1"/>
  <c r="G32" i="1" s="1"/>
  <c r="L59" i="1" s="1"/>
  <c r="Q5" i="1"/>
  <c r="Q32" i="1" s="1"/>
  <c r="L61" i="1" s="1"/>
  <c r="F30" i="1"/>
  <c r="K52" i="1" s="1"/>
  <c r="P30" i="1"/>
  <c r="K54" i="1" s="1"/>
  <c r="E30" i="1"/>
  <c r="J52" i="1" s="1"/>
  <c r="O30" i="1"/>
  <c r="J54" i="1" s="1"/>
  <c r="G30" i="1"/>
  <c r="L52" i="1" s="1"/>
  <c r="Q30" i="1"/>
  <c r="L54" i="1"/>
  <c r="E26" i="1"/>
  <c r="E52" i="1" s="1"/>
  <c r="J26" i="1"/>
  <c r="E53" i="1" s="1"/>
  <c r="O26" i="1"/>
  <c r="E54" i="1" s="1"/>
  <c r="F26" i="1"/>
  <c r="F52" i="1" s="1"/>
  <c r="K26" i="1"/>
  <c r="F53" i="1" s="1"/>
  <c r="P26" i="1"/>
  <c r="F54" i="1" s="1"/>
  <c r="G26" i="1"/>
  <c r="G52" i="1" s="1"/>
  <c r="L26" i="1"/>
  <c r="G53" i="1" s="1"/>
  <c r="Q26" i="1"/>
  <c r="G54" i="1" s="1"/>
  <c r="U11" i="1"/>
  <c r="U10" i="1"/>
  <c r="E27" i="1"/>
  <c r="F27" i="1"/>
  <c r="L27" i="1"/>
  <c r="J27" i="1"/>
  <c r="K27" i="1"/>
  <c r="Q27" i="1"/>
  <c r="O27" i="1"/>
  <c r="P27" i="1"/>
  <c r="E39" i="1"/>
  <c r="F39" i="1"/>
  <c r="L39" i="1"/>
  <c r="J39" i="1"/>
  <c r="K39" i="1"/>
  <c r="Q39" i="1"/>
  <c r="O39" i="1"/>
  <c r="P39" i="1"/>
  <c r="U16" i="1"/>
  <c r="U20" i="1"/>
  <c r="G39" i="1"/>
  <c r="G27" i="1"/>
  <c r="F84" i="7" l="1"/>
  <c r="F83" i="7"/>
  <c r="J36" i="1"/>
  <c r="E67" i="1" s="1"/>
  <c r="J46" i="1"/>
  <c r="F36" i="1"/>
  <c r="F66" i="1" s="1"/>
  <c r="F46" i="1"/>
  <c r="K36" i="1"/>
  <c r="F67" i="1" s="1"/>
  <c r="G36" i="1"/>
  <c r="G66" i="1" s="1"/>
  <c r="G46" i="1"/>
  <c r="E36" i="1"/>
  <c r="E66" i="1" s="1"/>
  <c r="E46" i="1"/>
  <c r="U39" i="1"/>
  <c r="U42" i="1"/>
  <c r="E43" i="1"/>
  <c r="U7" i="1"/>
  <c r="O40" i="1"/>
  <c r="F43" i="1"/>
  <c r="T26" i="1"/>
  <c r="H55" i="1" s="1"/>
  <c r="J43" i="1"/>
  <c r="F40" i="1"/>
  <c r="F75" i="8"/>
  <c r="F77" i="8"/>
  <c r="H63" i="8"/>
  <c r="F81" i="8"/>
  <c r="E81" i="8"/>
  <c r="G63" i="8"/>
  <c r="T40" i="8"/>
  <c r="G82" i="8"/>
  <c r="F70" i="8"/>
  <c r="F76" i="8"/>
  <c r="E70" i="8"/>
  <c r="E76" i="8"/>
  <c r="U37" i="8"/>
  <c r="G82" i="7"/>
  <c r="G84" i="7"/>
  <c r="G77" i="7"/>
  <c r="G78" i="7"/>
  <c r="G75" i="7"/>
  <c r="F78" i="7"/>
  <c r="H75" i="7"/>
  <c r="F81" i="7"/>
  <c r="H78" i="7"/>
  <c r="G81" i="7"/>
  <c r="H83" i="7"/>
  <c r="H77" i="7"/>
  <c r="G76" i="7"/>
  <c r="E76" i="7"/>
  <c r="F76" i="7"/>
  <c r="H82" i="7"/>
  <c r="E78" i="7"/>
  <c r="E77" i="7"/>
  <c r="F77" i="7"/>
  <c r="E83" i="7"/>
  <c r="E82" i="7"/>
  <c r="E81" i="7"/>
  <c r="H81" i="7"/>
  <c r="G82" i="6"/>
  <c r="G81" i="6"/>
  <c r="E83" i="6"/>
  <c r="F84" i="6"/>
  <c r="H82" i="6"/>
  <c r="F82" i="6"/>
  <c r="G84" i="6"/>
  <c r="E82" i="6"/>
  <c r="F81" i="6"/>
  <c r="H81" i="6"/>
  <c r="H84" i="6"/>
  <c r="G63" i="6"/>
  <c r="H63" i="6"/>
  <c r="H76" i="6" s="1"/>
  <c r="E81" i="6"/>
  <c r="F63" i="6"/>
  <c r="E63" i="6"/>
  <c r="H81" i="4"/>
  <c r="Y32" i="4"/>
  <c r="W34" i="4"/>
  <c r="W35" i="4" s="1"/>
  <c r="W29" i="4"/>
  <c r="W43" i="4"/>
  <c r="F81" i="4"/>
  <c r="W32" i="4"/>
  <c r="H83" i="4"/>
  <c r="E83" i="4"/>
  <c r="F82" i="4"/>
  <c r="H75" i="4"/>
  <c r="E81" i="4"/>
  <c r="E75" i="4"/>
  <c r="Y34" i="4"/>
  <c r="Y35" i="4" s="1"/>
  <c r="Y29" i="4"/>
  <c r="Y30" i="4"/>
  <c r="Y40" i="4"/>
  <c r="G81" i="4"/>
  <c r="F77" i="4"/>
  <c r="E76" i="4"/>
  <c r="F76" i="4"/>
  <c r="H76" i="4"/>
  <c r="U30" i="3"/>
  <c r="M55" i="3" s="1"/>
  <c r="E82" i="3"/>
  <c r="U29" i="3"/>
  <c r="H62" i="3" s="1"/>
  <c r="E75" i="3"/>
  <c r="F75" i="3"/>
  <c r="H82" i="3"/>
  <c r="T29" i="3"/>
  <c r="G62" i="3" s="1"/>
  <c r="T40" i="3"/>
  <c r="E77" i="3"/>
  <c r="E81" i="3"/>
  <c r="T5" i="3"/>
  <c r="T32" i="3" s="1"/>
  <c r="L62" i="3" s="1"/>
  <c r="L32" i="3"/>
  <c r="L60" i="3" s="1"/>
  <c r="L63" i="3" s="1"/>
  <c r="F81" i="3"/>
  <c r="H81" i="3"/>
  <c r="G81" i="3"/>
  <c r="F80" i="3"/>
  <c r="T34" i="3"/>
  <c r="T35" i="3" s="1"/>
  <c r="F77" i="3"/>
  <c r="H63" i="3"/>
  <c r="G63" i="3"/>
  <c r="G76" i="3" s="1"/>
  <c r="U43" i="3"/>
  <c r="U40" i="3"/>
  <c r="U26" i="1"/>
  <c r="G55" i="1" s="1"/>
  <c r="H56" i="1"/>
  <c r="T40" i="1"/>
  <c r="T39" i="1"/>
  <c r="T27" i="1"/>
  <c r="T43" i="1"/>
  <c r="T36" i="1"/>
  <c r="H69" i="1" s="1"/>
  <c r="T7" i="1"/>
  <c r="T37" i="1" s="1"/>
  <c r="T6" i="1"/>
  <c r="T19" i="1"/>
  <c r="T41" i="1" s="1"/>
  <c r="T31" i="1"/>
  <c r="M69" i="1" s="1"/>
  <c r="T5" i="1"/>
  <c r="T32" i="1" s="1"/>
  <c r="M62" i="1" s="1"/>
  <c r="M34" i="1"/>
  <c r="M35" i="1" s="1"/>
  <c r="T42" i="1"/>
  <c r="U19" i="1"/>
  <c r="U41" i="1" s="1"/>
  <c r="Q40" i="1"/>
  <c r="L43" i="1"/>
  <c r="R40" i="1"/>
  <c r="H95" i="1" s="1"/>
  <c r="M43" i="1"/>
  <c r="H104" i="1" s="1"/>
  <c r="E34" i="1"/>
  <c r="E35" i="1" s="1"/>
  <c r="U37" i="1"/>
  <c r="K56" i="1"/>
  <c r="G43" i="1"/>
  <c r="H43" i="1"/>
  <c r="H103" i="1" s="1"/>
  <c r="M70" i="1"/>
  <c r="M63" i="1"/>
  <c r="G37" i="1"/>
  <c r="M29" i="1"/>
  <c r="H60" i="1" s="1"/>
  <c r="H63" i="1" s="1"/>
  <c r="H77" i="1" s="1"/>
  <c r="J70" i="1"/>
  <c r="K29" i="1"/>
  <c r="F60" i="1" s="1"/>
  <c r="F63" i="1" s="1"/>
  <c r="F77" i="1" s="1"/>
  <c r="K5" i="1"/>
  <c r="K32" i="1" s="1"/>
  <c r="K60" i="1" s="1"/>
  <c r="K63" i="1" s="1"/>
  <c r="K70" i="1"/>
  <c r="L29" i="1"/>
  <c r="G60" i="1" s="1"/>
  <c r="G63" i="1" s="1"/>
  <c r="G77" i="1" s="1"/>
  <c r="M30" i="1"/>
  <c r="U12" i="1"/>
  <c r="U36" i="1" s="1"/>
  <c r="G69" i="1" s="1"/>
  <c r="K40" i="1"/>
  <c r="U14" i="1"/>
  <c r="U43" i="1" s="1"/>
  <c r="H40" i="1"/>
  <c r="H93" i="1" s="1"/>
  <c r="U27" i="1"/>
  <c r="F37" i="1"/>
  <c r="L70" i="1"/>
  <c r="E70" i="1"/>
  <c r="E81" i="1" s="1"/>
  <c r="H70" i="1"/>
  <c r="H82" i="1" s="1"/>
  <c r="F56" i="1"/>
  <c r="F70" i="1"/>
  <c r="F80" i="1" s="1"/>
  <c r="G56" i="1"/>
  <c r="E56" i="1"/>
  <c r="L5" i="1"/>
  <c r="H34" i="1"/>
  <c r="H35" i="1" s="1"/>
  <c r="U31" i="1"/>
  <c r="L69" i="1" s="1"/>
  <c r="J30" i="1"/>
  <c r="J53" i="1" s="1"/>
  <c r="J56" i="1" s="1"/>
  <c r="G70" i="1"/>
  <c r="G81" i="1" s="1"/>
  <c r="U6" i="1"/>
  <c r="L30" i="1"/>
  <c r="L53" i="1" s="1"/>
  <c r="L56" i="1" s="1"/>
  <c r="P43" i="1"/>
  <c r="J29" i="1"/>
  <c r="E60" i="1" s="1"/>
  <c r="J5" i="1"/>
  <c r="J32" i="1" s="1"/>
  <c r="J60" i="1" s="1"/>
  <c r="J63" i="1" s="1"/>
  <c r="M53" i="1" l="1"/>
  <c r="M56" i="1" s="1"/>
  <c r="H77" i="8"/>
  <c r="H75" i="8"/>
  <c r="F82" i="8"/>
  <c r="F80" i="8"/>
  <c r="G75" i="8"/>
  <c r="G77" i="8"/>
  <c r="E82" i="8"/>
  <c r="E80" i="8"/>
  <c r="H76" i="8"/>
  <c r="G76" i="8"/>
  <c r="G77" i="6"/>
  <c r="G78" i="6"/>
  <c r="G75" i="6"/>
  <c r="F77" i="6"/>
  <c r="F75" i="6"/>
  <c r="F78" i="6"/>
  <c r="E78" i="6"/>
  <c r="E77" i="6"/>
  <c r="E75" i="6"/>
  <c r="E76" i="6"/>
  <c r="F76" i="6"/>
  <c r="H78" i="6"/>
  <c r="H75" i="6"/>
  <c r="H77" i="6"/>
  <c r="G76" i="6"/>
  <c r="G82" i="4"/>
  <c r="G83" i="4"/>
  <c r="G75" i="4"/>
  <c r="G77" i="4"/>
  <c r="G76" i="4"/>
  <c r="G77" i="3"/>
  <c r="G75" i="3"/>
  <c r="H75" i="3"/>
  <c r="H77" i="3"/>
  <c r="H76" i="3"/>
  <c r="E82" i="1"/>
  <c r="H75" i="1"/>
  <c r="H76" i="1"/>
  <c r="T34" i="1"/>
  <c r="T35" i="1" s="1"/>
  <c r="T29" i="1"/>
  <c r="H62" i="1" s="1"/>
  <c r="T30" i="1"/>
  <c r="M55" i="1" s="1"/>
  <c r="F82" i="1"/>
  <c r="U40" i="1"/>
  <c r="E80" i="1"/>
  <c r="H81" i="1"/>
  <c r="G80" i="1"/>
  <c r="G82" i="1"/>
  <c r="F76" i="1"/>
  <c r="F75" i="1"/>
  <c r="E63" i="1"/>
  <c r="G75" i="1"/>
  <c r="H80" i="1"/>
  <c r="U30" i="1"/>
  <c r="L55" i="1" s="1"/>
  <c r="U34" i="1"/>
  <c r="U35" i="1" s="1"/>
  <c r="U29" i="1"/>
  <c r="G62" i="1" s="1"/>
  <c r="U5" i="1"/>
  <c r="U32" i="1" s="1"/>
  <c r="L62" i="1" s="1"/>
  <c r="L32" i="1"/>
  <c r="L60" i="1" s="1"/>
  <c r="L63" i="1" s="1"/>
  <c r="F81" i="1"/>
  <c r="G76" i="1"/>
  <c r="E77" i="1" l="1"/>
  <c r="E75" i="1"/>
  <c r="E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7" authorId="0" shapeId="0" xr:uid="{BD7F872C-CC99-8F40-A052-DE4A17E81A2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pretax income</t>
        </r>
      </text>
    </comment>
    <comment ref="S8" authorId="0" shapeId="0" xr:uid="{E36728DF-705F-EC43-8832-A5AE8F6086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income nei dati</t>
        </r>
      </text>
    </comment>
    <comment ref="S11" authorId="0" shapeId="0" xr:uid="{C2061A1C-AA1D-9A4A-B34F-1CD4D44C18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shareholder's equity</t>
        </r>
      </text>
    </comment>
    <comment ref="S12" authorId="0" shapeId="0" xr:uid="{33831E11-00F0-8A46-AB82-3E27B26ABB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liabilities</t>
        </r>
      </text>
    </comment>
    <comment ref="V14" authorId="0" shapeId="0" xr:uid="{076DB619-44CD-D247-9775-99CDAC4507F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segnala benedetta (pag.66, condensed statement of financial position)</t>
        </r>
      </text>
    </comment>
    <comment ref="S17" authorId="0" shapeId="0" xr:uid="{26C836F2-2388-F24D-BD7B-1B6CF93CF5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cash &amp; short term investments + lui conta anche marketable debt..</t>
        </r>
      </text>
    </comment>
    <comment ref="S19" authorId="0" shapeId="0" xr:uid="{F7D4C724-0F3F-D849-879B-DD83903820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ACCOUNT RECEIVABLE</t>
        </r>
      </text>
    </comment>
    <comment ref="S20" authorId="0" shapeId="0" xr:uid="{ED97A248-2A14-C746-B5A6-E800404F27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CURRENT LIABILITIES</t>
        </r>
      </text>
    </comment>
    <comment ref="S21" authorId="0" shapeId="0" xr:uid="{5994ACFD-0E5B-8C43-A6FE-6EA40D3CCC5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ACCOUNTS PAYABLE</t>
        </r>
      </text>
    </comment>
    <comment ref="S23" authorId="0" shapeId="0" xr:uid="{9DD627A1-5BB6-1F48-94F7-FFD70D1B56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operating cash flow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7" authorId="0" shapeId="0" xr:uid="{E894FF56-40E7-0F44-B116-703FD78889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pretax income</t>
        </r>
      </text>
    </comment>
    <comment ref="S8" authorId="0" shapeId="0" xr:uid="{62B9AA44-1020-AB41-9E65-0C46892D76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income nei dati</t>
        </r>
      </text>
    </comment>
    <comment ref="S11" authorId="0" shapeId="0" xr:uid="{CE404E16-E13C-264B-8BD0-4119708787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shareholder's equity</t>
        </r>
      </text>
    </comment>
    <comment ref="S12" authorId="0" shapeId="0" xr:uid="{7FCC1CDD-9A00-D147-98BA-A84C6985AA2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liabilities</t>
        </r>
      </text>
    </comment>
    <comment ref="T14" authorId="0" shapeId="0" xr:uid="{D812EFBA-10B3-9F42-86D8-C2FEAE08C7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segnala benedetta (pag.66, condensed statement of financial position)</t>
        </r>
      </text>
    </comment>
    <comment ref="S17" authorId="0" shapeId="0" xr:uid="{8AE85649-4900-9141-A358-3001ED75CA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cash &amp; short term investments + lui conta anche marketable debt..</t>
        </r>
      </text>
    </comment>
    <comment ref="S19" authorId="0" shapeId="0" xr:uid="{0E6A4FC0-9BAA-A442-A084-05F6403FC0F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ACCOUNT RECEIVABLE</t>
        </r>
      </text>
    </comment>
    <comment ref="S20" authorId="0" shapeId="0" xr:uid="{A8E30C38-C814-3C4C-974B-B100D385B4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CURRENT LIABILITIES</t>
        </r>
      </text>
    </comment>
    <comment ref="S21" authorId="0" shapeId="0" xr:uid="{0328BA31-7D6B-E84A-AE13-2E04483C03A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ACCOUNTS PAYABLE</t>
        </r>
      </text>
    </comment>
    <comment ref="S23" authorId="0" shapeId="0" xr:uid="{3B9159A7-0520-264A-84AE-34AD78C427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operating cash flow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7" authorId="0" shapeId="0" xr:uid="{598474B5-A25F-BA45-8AAB-A2A9A2B9A7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pretax income</t>
        </r>
      </text>
    </comment>
    <comment ref="S8" authorId="0" shapeId="0" xr:uid="{C99885BF-845E-0E44-AD7D-99F9ABD65C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income nei dati</t>
        </r>
      </text>
    </comment>
    <comment ref="S11" authorId="0" shapeId="0" xr:uid="{2A9FD222-90D5-384D-9732-C7D2F6255B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shareholder's equity</t>
        </r>
      </text>
    </comment>
    <comment ref="S12" authorId="0" shapeId="0" xr:uid="{8DC4FD66-7DAF-124B-A96E-3381A7FF08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liabilities</t>
        </r>
      </text>
    </comment>
    <comment ref="AD14" authorId="0" shapeId="0" xr:uid="{0CA36F84-EA67-E544-A512-9429B7C377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segnala benedetta (pag.66, condensed statement of financial position)</t>
        </r>
      </text>
    </comment>
    <comment ref="S17" authorId="0" shapeId="0" xr:uid="{10314681-ED0D-F84D-8833-CA18269849D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cash &amp; short term investments + lui conta anche marketable debt..</t>
        </r>
      </text>
    </comment>
    <comment ref="S19" authorId="0" shapeId="0" xr:uid="{5B064406-5425-5346-A382-8007F21CD6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ACCOUNT RECEIVABLE</t>
        </r>
      </text>
    </comment>
    <comment ref="S20" authorId="0" shapeId="0" xr:uid="{42F77893-7939-6E45-83CB-586B75E155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CURRENT LIABILITIES</t>
        </r>
      </text>
    </comment>
    <comment ref="S21" authorId="0" shapeId="0" xr:uid="{9DEAB972-DE7A-8243-8F50-262900C183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ACCOUNTS PAYABLE</t>
        </r>
      </text>
    </comment>
    <comment ref="S23" authorId="0" shapeId="0" xr:uid="{3D0067EE-1CE3-764D-9DB5-C3E8D00D0E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operating cash flow</t>
        </r>
      </text>
    </comment>
  </commentList>
</comments>
</file>

<file path=xl/sharedStrings.xml><?xml version="1.0" encoding="utf-8"?>
<sst xmlns="http://schemas.openxmlformats.org/spreadsheetml/2006/main" count="1411" uniqueCount="50">
  <si>
    <t>ROA</t>
  </si>
  <si>
    <t>FCA</t>
  </si>
  <si>
    <t>PSA</t>
  </si>
  <si>
    <t>VW</t>
  </si>
  <si>
    <t>EBITDAm</t>
  </si>
  <si>
    <t>EBIT</t>
  </si>
  <si>
    <t>ROE</t>
  </si>
  <si>
    <t>NPM</t>
  </si>
  <si>
    <t>EBITm</t>
  </si>
  <si>
    <t>ATR</t>
  </si>
  <si>
    <t>Revenues</t>
  </si>
  <si>
    <t>EBITDA</t>
  </si>
  <si>
    <t>EBT</t>
  </si>
  <si>
    <t>Net Profit</t>
  </si>
  <si>
    <t>Total Assets</t>
  </si>
  <si>
    <t>Equity</t>
  </si>
  <si>
    <t>Liabilities</t>
  </si>
  <si>
    <t>Current Assets</t>
  </si>
  <si>
    <t>Inventories</t>
  </si>
  <si>
    <t>Current Liabilities</t>
  </si>
  <si>
    <t>Cash Flow From Operations</t>
  </si>
  <si>
    <t>(000 €)</t>
  </si>
  <si>
    <t>Receivables (trade + other)</t>
  </si>
  <si>
    <t>Payables (trade)</t>
  </si>
  <si>
    <t>ICR*</t>
  </si>
  <si>
    <t>Gearing</t>
  </si>
  <si>
    <t>CR</t>
  </si>
  <si>
    <t>STELLANTIS**</t>
  </si>
  <si>
    <t>GEARING</t>
  </si>
  <si>
    <t>Average (PSA-FCA-VW)</t>
  </si>
  <si>
    <t>GEARINGnorm</t>
  </si>
  <si>
    <t>ROAnorm</t>
  </si>
  <si>
    <t>T*</t>
  </si>
  <si>
    <t>1-1/ICR*</t>
  </si>
  <si>
    <t>Debt (Financial) Liabilities</t>
  </si>
  <si>
    <t>CtoDebt</t>
  </si>
  <si>
    <t>NWCn</t>
  </si>
  <si>
    <t>Inventory Turnover Ratio</t>
  </si>
  <si>
    <t>Cash and equivalents</t>
  </si>
  <si>
    <t>NWC (normalized)</t>
  </si>
  <si>
    <t>Net Debt (normalized)</t>
  </si>
  <si>
    <t>Average all 4</t>
  </si>
  <si>
    <t>MERCEDES</t>
  </si>
  <si>
    <t>MERCEDES (DAIGn)</t>
  </si>
  <si>
    <t>N.B. Questa è la versione fixed</t>
  </si>
  <si>
    <t>Average</t>
  </si>
  <si>
    <t>DAG</t>
  </si>
  <si>
    <t>Operating cash flow/liabilities</t>
  </si>
  <si>
    <t>Cashflowtodebt_ratio</t>
  </si>
  <si>
    <t>CtoDebtRatio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</si>
</sst>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164" formatCode="_-* #,##0.00\ _€_-;\-* #,##0.00\ _€_-;_-* &quot;-&quot;??\ _€_-;_-@_-"/>
    <numFmt numFmtId="165" formatCode="0.0%"/>
    <numFmt numFmtId="166" formatCode="_-* #,##0\ _€_-;\-* #,##0\ _€_-;_-* &quot;-&quot;??\ _€_-;_-@_-"/>
    <numFmt numFmtId="170" formatCode="_-* #,##0.000\ _€_-;\-* #,##0.000\ _€_-;_-* &quot;-&quot;??\ _€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B05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6" fontId="0" fillId="0" borderId="1" xfId="0" quotePrefix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2" applyNumberFormat="1" applyFont="1" applyFill="1"/>
    <xf numFmtId="0" fontId="2" fillId="5" borderId="1" xfId="0" applyFont="1" applyFill="1" applyBorder="1" applyAlignment="1">
      <alignment horizontal="center"/>
    </xf>
    <xf numFmtId="166" fontId="0" fillId="0" borderId="1" xfId="1" applyNumberFormat="1" applyFont="1" applyBorder="1"/>
    <xf numFmtId="166" fontId="0" fillId="0" borderId="1" xfId="1" applyNumberFormat="1" applyFont="1" applyBorder="1" applyAlignment="1">
      <alignment horizontal="center"/>
    </xf>
    <xf numFmtId="166" fontId="3" fillId="0" borderId="1" xfId="1" applyNumberFormat="1" applyFont="1" applyBorder="1"/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Border="1"/>
    <xf numFmtId="166" fontId="0" fillId="0" borderId="0" xfId="1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0" fillId="0" borderId="1" xfId="0" applyFill="1" applyBorder="1"/>
    <xf numFmtId="165" fontId="0" fillId="0" borderId="1" xfId="2" applyNumberFormat="1" applyFont="1" applyFill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0" xfId="0" applyFont="1" applyFill="1"/>
    <xf numFmtId="165" fontId="2" fillId="0" borderId="0" xfId="2" applyNumberFormat="1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3" fillId="0" borderId="0" xfId="0" applyFont="1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164" fontId="0" fillId="0" borderId="0" xfId="1" applyFont="1" applyFill="1" applyAlignment="1">
      <alignment horizontal="center"/>
    </xf>
    <xf numFmtId="166" fontId="0" fillId="10" borderId="1" xfId="1" applyNumberFormat="1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0" fillId="11" borderId="1" xfId="1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6" fontId="0" fillId="12" borderId="1" xfId="0" quotePrefix="1" applyNumberFormat="1" applyFill="1" applyBorder="1" applyAlignment="1">
      <alignment horizontal="center"/>
    </xf>
    <xf numFmtId="166" fontId="0" fillId="12" borderId="1" xfId="1" applyNumberFormat="1" applyFont="1" applyFill="1" applyBorder="1" applyAlignment="1">
      <alignment horizontal="center"/>
    </xf>
    <xf numFmtId="166" fontId="0" fillId="12" borderId="0" xfId="1" applyNumberFormat="1" applyFont="1" applyFill="1" applyBorder="1" applyAlignment="1">
      <alignment horizontal="center"/>
    </xf>
    <xf numFmtId="165" fontId="0" fillId="12" borderId="1" xfId="2" applyNumberFormat="1" applyFont="1" applyFill="1" applyBorder="1" applyAlignment="1">
      <alignment horizontal="center"/>
    </xf>
    <xf numFmtId="165" fontId="0" fillId="12" borderId="0" xfId="2" applyNumberFormat="1" applyFont="1" applyFill="1" applyAlignment="1">
      <alignment horizontal="center"/>
    </xf>
    <xf numFmtId="164" fontId="0" fillId="12" borderId="1" xfId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9" fontId="0" fillId="12" borderId="1" xfId="2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6" fillId="0" borderId="0" xfId="0" applyFont="1"/>
    <xf numFmtId="0" fontId="2" fillId="13" borderId="1" xfId="0" applyFont="1" applyFill="1" applyBorder="1" applyAlignment="1">
      <alignment horizontal="center"/>
    </xf>
    <xf numFmtId="6" fontId="0" fillId="13" borderId="1" xfId="0" quotePrefix="1" applyNumberFormat="1" applyFill="1" applyBorder="1" applyAlignment="1">
      <alignment horizontal="center"/>
    </xf>
    <xf numFmtId="166" fontId="0" fillId="13" borderId="1" xfId="1" applyNumberFormat="1" applyFont="1" applyFill="1" applyBorder="1" applyAlignment="1">
      <alignment horizontal="center"/>
    </xf>
    <xf numFmtId="166" fontId="0" fillId="13" borderId="0" xfId="1" applyNumberFormat="1" applyFont="1" applyFill="1" applyBorder="1" applyAlignment="1">
      <alignment horizontal="center"/>
    </xf>
    <xf numFmtId="165" fontId="0" fillId="13" borderId="1" xfId="2" applyNumberFormat="1" applyFont="1" applyFill="1" applyBorder="1" applyAlignment="1">
      <alignment horizontal="center"/>
    </xf>
    <xf numFmtId="165" fontId="0" fillId="13" borderId="0" xfId="2" applyNumberFormat="1" applyFont="1" applyFill="1" applyAlignment="1">
      <alignment horizontal="center"/>
    </xf>
    <xf numFmtId="164" fontId="0" fillId="13" borderId="1" xfId="1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9" fontId="0" fillId="13" borderId="1" xfId="2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166" fontId="0" fillId="14" borderId="1" xfId="1" applyNumberFormat="1" applyFont="1" applyFill="1" applyBorder="1"/>
    <xf numFmtId="166" fontId="3" fillId="14" borderId="1" xfId="1" applyNumberFormat="1" applyFont="1" applyFill="1" applyBorder="1"/>
    <xf numFmtId="166" fontId="6" fillId="13" borderId="1" xfId="1" applyNumberFormat="1" applyFont="1" applyFill="1" applyBorder="1"/>
    <xf numFmtId="166" fontId="6" fillId="12" borderId="1" xfId="1" applyNumberFormat="1" applyFont="1" applyFill="1" applyBorder="1"/>
    <xf numFmtId="165" fontId="0" fillId="10" borderId="0" xfId="0" applyNumberFormat="1" applyFill="1" applyAlignment="1">
      <alignment horizontal="center"/>
    </xf>
    <xf numFmtId="0" fontId="3" fillId="10" borderId="0" xfId="0" applyFont="1" applyFill="1"/>
    <xf numFmtId="164" fontId="0" fillId="10" borderId="0" xfId="1" applyFont="1" applyFill="1" applyAlignment="1">
      <alignment horizontal="center"/>
    </xf>
    <xf numFmtId="0" fontId="9" fillId="0" borderId="0" xfId="0" applyFont="1"/>
    <xf numFmtId="166" fontId="0" fillId="15" borderId="1" xfId="1" applyNumberFormat="1" applyFont="1" applyFill="1" applyBorder="1" applyAlignment="1">
      <alignment horizontal="center"/>
    </xf>
    <xf numFmtId="166" fontId="6" fillId="15" borderId="1" xfId="1" applyNumberFormat="1" applyFont="1" applyFill="1" applyBorder="1"/>
    <xf numFmtId="166" fontId="0" fillId="0" borderId="1" xfId="1" applyNumberFormat="1" applyFont="1" applyFill="1" applyBorder="1"/>
    <xf numFmtId="166" fontId="3" fillId="0" borderId="1" xfId="1" applyNumberFormat="1" applyFont="1" applyFill="1" applyBorder="1"/>
    <xf numFmtId="0" fontId="10" fillId="16" borderId="0" xfId="0" applyFont="1" applyFill="1"/>
    <xf numFmtId="0" fontId="2" fillId="0" borderId="1" xfId="0" applyFont="1" applyFill="1" applyBorder="1" applyAlignment="1">
      <alignment horizontal="center"/>
    </xf>
    <xf numFmtId="6" fontId="0" fillId="0" borderId="1" xfId="0" quotePrefix="1" applyNumberFormat="1" applyFill="1" applyBorder="1" applyAlignment="1">
      <alignment horizontal="center"/>
    </xf>
    <xf numFmtId="166" fontId="6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center"/>
    </xf>
    <xf numFmtId="0" fontId="6" fillId="0" borderId="0" xfId="0" applyFont="1" applyFill="1"/>
    <xf numFmtId="166" fontId="3" fillId="0" borderId="1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/>
    <xf numFmtId="165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0" fillId="17" borderId="0" xfId="0" applyFill="1" applyBorder="1"/>
    <xf numFmtId="0" fontId="0" fillId="17" borderId="0" xfId="0" applyFill="1" applyAlignment="1">
      <alignment horizontal="center"/>
    </xf>
    <xf numFmtId="0" fontId="2" fillId="18" borderId="1" xfId="0" applyFont="1" applyFill="1" applyBorder="1" applyAlignment="1">
      <alignment horizontal="center"/>
    </xf>
    <xf numFmtId="170" fontId="0" fillId="18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9C79-3DD7-7B4E-A6BE-A184C4890567}">
  <dimension ref="D2:U105"/>
  <sheetViews>
    <sheetView topLeftCell="B12" zoomScale="88" zoomScaleNormal="118" workbookViewId="0">
      <selection activeCell="O46" sqref="O46:R46"/>
    </sheetView>
  </sheetViews>
  <sheetFormatPr baseColWidth="10" defaultColWidth="10.83203125" defaultRowHeight="16" x14ac:dyDescent="0.2"/>
  <cols>
    <col min="4" max="4" width="29.6640625" bestFit="1" customWidth="1"/>
    <col min="5" max="5" width="12.1640625" style="1" bestFit="1" customWidth="1"/>
    <col min="6" max="6" width="12" style="1" hidden="1" customWidth="1"/>
    <col min="7" max="8" width="12.6640625" style="1" bestFit="1" customWidth="1"/>
    <col min="9" max="9" width="29.6640625" customWidth="1"/>
    <col min="10" max="10" width="13" customWidth="1"/>
    <col min="11" max="11" width="13" hidden="1" customWidth="1"/>
    <col min="12" max="13" width="13" customWidth="1"/>
    <col min="14" max="14" width="29.6640625" bestFit="1" customWidth="1"/>
    <col min="15" max="15" width="13" bestFit="1" customWidth="1"/>
    <col min="16" max="16" width="13" hidden="1" customWidth="1"/>
    <col min="17" max="18" width="13" bestFit="1" customWidth="1"/>
    <col min="19" max="19" width="29.6640625" bestFit="1" customWidth="1"/>
    <col min="20" max="21" width="13" bestFit="1" customWidth="1"/>
  </cols>
  <sheetData>
    <row r="2" spans="4:21" x14ac:dyDescent="0.2">
      <c r="D2" s="2"/>
      <c r="E2" s="4">
        <v>2018</v>
      </c>
      <c r="F2" s="4">
        <v>2017</v>
      </c>
      <c r="G2" s="4">
        <v>2019</v>
      </c>
      <c r="H2" s="4">
        <v>2020</v>
      </c>
      <c r="I2" s="2"/>
      <c r="J2" s="4">
        <v>2018</v>
      </c>
      <c r="K2" s="4">
        <v>2017</v>
      </c>
      <c r="L2" s="4">
        <v>2019</v>
      </c>
      <c r="M2" s="4">
        <v>2020</v>
      </c>
      <c r="N2" s="2"/>
      <c r="O2" s="4">
        <v>2018</v>
      </c>
      <c r="P2" s="4">
        <v>2017</v>
      </c>
      <c r="Q2" s="4">
        <v>2019</v>
      </c>
      <c r="R2" s="4">
        <v>2020</v>
      </c>
      <c r="S2" s="2"/>
      <c r="T2" s="4">
        <v>2020</v>
      </c>
      <c r="U2" s="4">
        <v>2019</v>
      </c>
    </row>
    <row r="3" spans="4:21" x14ac:dyDescent="0.2">
      <c r="D3" s="3" t="s">
        <v>2</v>
      </c>
      <c r="E3" s="5" t="s">
        <v>21</v>
      </c>
      <c r="F3" s="5" t="s">
        <v>21</v>
      </c>
      <c r="G3" s="5" t="s">
        <v>21</v>
      </c>
      <c r="H3" s="5" t="s">
        <v>21</v>
      </c>
      <c r="I3" s="6" t="s">
        <v>1</v>
      </c>
      <c r="J3" s="5" t="s">
        <v>21</v>
      </c>
      <c r="K3" s="5" t="s">
        <v>21</v>
      </c>
      <c r="L3" s="5" t="s">
        <v>21</v>
      </c>
      <c r="M3" s="5" t="s">
        <v>21</v>
      </c>
      <c r="N3" s="7" t="s">
        <v>3</v>
      </c>
      <c r="O3" s="5" t="s">
        <v>21</v>
      </c>
      <c r="P3" s="5" t="s">
        <v>21</v>
      </c>
      <c r="Q3" s="5" t="s">
        <v>21</v>
      </c>
      <c r="R3" s="5" t="s">
        <v>21</v>
      </c>
      <c r="S3" s="11" t="s">
        <v>27</v>
      </c>
      <c r="T3" s="5" t="s">
        <v>21</v>
      </c>
      <c r="U3" s="5" t="s">
        <v>21</v>
      </c>
    </row>
    <row r="4" spans="4:21" x14ac:dyDescent="0.2">
      <c r="D4" s="12" t="s">
        <v>10</v>
      </c>
      <c r="E4" s="13">
        <v>74027</v>
      </c>
      <c r="F4" s="44">
        <v>62256</v>
      </c>
      <c r="G4" s="13">
        <v>74731</v>
      </c>
      <c r="H4" s="13">
        <v>60734</v>
      </c>
      <c r="I4" s="12" t="s">
        <v>10</v>
      </c>
      <c r="J4" s="13">
        <v>110412</v>
      </c>
      <c r="K4" s="40">
        <v>105730</v>
      </c>
      <c r="L4" s="13">
        <v>108187</v>
      </c>
      <c r="M4" s="13">
        <v>86676</v>
      </c>
      <c r="N4" s="12" t="s">
        <v>10</v>
      </c>
      <c r="O4" s="13">
        <v>235849</v>
      </c>
      <c r="P4" s="40">
        <v>229550</v>
      </c>
      <c r="Q4" s="13">
        <v>252632</v>
      </c>
      <c r="R4" s="13">
        <v>222884</v>
      </c>
      <c r="S4" s="12" t="s">
        <v>10</v>
      </c>
      <c r="T4" s="13">
        <f>H4+M4</f>
        <v>147410</v>
      </c>
      <c r="U4" s="13">
        <f>G4+L4</f>
        <v>182918</v>
      </c>
    </row>
    <row r="5" spans="4:21" x14ac:dyDescent="0.2">
      <c r="D5" s="14" t="s">
        <v>11</v>
      </c>
      <c r="E5" s="13">
        <f>E6+2995</f>
        <v>7395</v>
      </c>
      <c r="F5" s="44">
        <f>F6+2735</f>
        <v>5809</v>
      </c>
      <c r="G5" s="13">
        <f>G6+3717</f>
        <v>8385</v>
      </c>
      <c r="H5" s="42">
        <f>H6+4058</f>
        <v>7112</v>
      </c>
      <c r="I5" s="14" t="s">
        <v>11</v>
      </c>
      <c r="J5" s="13">
        <f>J6+5507</f>
        <v>10436</v>
      </c>
      <c r="K5" s="40">
        <f>K6+5474</f>
        <v>11404</v>
      </c>
      <c r="L5" s="13">
        <f>L6+5445</f>
        <v>10262</v>
      </c>
      <c r="M5" s="42">
        <f>M6+5143</f>
        <v>7308</v>
      </c>
      <c r="N5" s="14" t="s">
        <v>11</v>
      </c>
      <c r="O5" s="13">
        <f>O6+11034+3668+170+7689</f>
        <v>36481</v>
      </c>
      <c r="P5" s="40">
        <f>P6+10562+3734+136+7734</f>
        <v>35984</v>
      </c>
      <c r="Q5" s="13">
        <f>Q6+12046+3665+300+8428</f>
        <v>41399</v>
      </c>
      <c r="R5" s="43">
        <f>R6+12765+4637+454+9214</f>
        <v>36745</v>
      </c>
      <c r="S5" s="14" t="s">
        <v>11</v>
      </c>
      <c r="T5" s="13">
        <f>H5+M5</f>
        <v>14420</v>
      </c>
      <c r="U5" s="13">
        <f>G5+L5</f>
        <v>18647</v>
      </c>
    </row>
    <row r="6" spans="4:21" x14ac:dyDescent="0.2">
      <c r="D6" s="12" t="s">
        <v>5</v>
      </c>
      <c r="E6" s="13">
        <v>4400</v>
      </c>
      <c r="F6" s="44">
        <v>3074</v>
      </c>
      <c r="G6" s="13">
        <v>4668</v>
      </c>
      <c r="H6" s="13">
        <v>3054</v>
      </c>
      <c r="I6" s="12" t="s">
        <v>5</v>
      </c>
      <c r="J6" s="13">
        <f>J4-95011-7318-3051-103</f>
        <v>4929</v>
      </c>
      <c r="K6" s="40">
        <f>K4-89710-7177-2903+76-86</f>
        <v>5930</v>
      </c>
      <c r="L6" s="13">
        <f>L4-93164-6455-3612+15-154</f>
        <v>4817</v>
      </c>
      <c r="M6" s="13">
        <f>M4-75962-5501-2979+4-73</f>
        <v>2165</v>
      </c>
      <c r="N6" s="12" t="s">
        <v>5</v>
      </c>
      <c r="O6" s="13">
        <v>13920</v>
      </c>
      <c r="P6" s="40">
        <v>13818</v>
      </c>
      <c r="Q6" s="13">
        <v>16960</v>
      </c>
      <c r="R6" s="13">
        <v>9675</v>
      </c>
      <c r="S6" s="12" t="s">
        <v>5</v>
      </c>
      <c r="T6" s="13">
        <f>H6+M6</f>
        <v>5219</v>
      </c>
      <c r="U6" s="13">
        <f>G6+L6</f>
        <v>9485</v>
      </c>
    </row>
    <row r="7" spans="4:21" x14ac:dyDescent="0.2">
      <c r="D7" s="12" t="s">
        <v>12</v>
      </c>
      <c r="E7" s="13">
        <f>3954-44</f>
        <v>3910</v>
      </c>
      <c r="F7" s="44">
        <f>2836+217</f>
        <v>3053</v>
      </c>
      <c r="G7" s="13">
        <f>4324-24</f>
        <v>4300</v>
      </c>
      <c r="H7" s="13">
        <v>2737</v>
      </c>
      <c r="I7" s="12" t="s">
        <v>12</v>
      </c>
      <c r="J7" s="13">
        <v>4108</v>
      </c>
      <c r="K7" s="40">
        <v>5879</v>
      </c>
      <c r="L7" s="13">
        <v>4021</v>
      </c>
      <c r="M7" s="13">
        <v>1356</v>
      </c>
      <c r="N7" s="12" t="s">
        <v>12</v>
      </c>
      <c r="O7" s="13">
        <v>15643</v>
      </c>
      <c r="P7" s="40">
        <v>13673</v>
      </c>
      <c r="Q7" s="13">
        <v>18356</v>
      </c>
      <c r="R7" s="13">
        <v>11667</v>
      </c>
      <c r="S7" s="12" t="s">
        <v>12</v>
      </c>
      <c r="T7" s="13">
        <f>H7+M7</f>
        <v>4093</v>
      </c>
      <c r="U7" s="13">
        <f>G7+L7</f>
        <v>8321</v>
      </c>
    </row>
    <row r="8" spans="4:21" x14ac:dyDescent="0.2">
      <c r="D8" s="12" t="s">
        <v>13</v>
      </c>
      <c r="E8" s="13">
        <v>3295</v>
      </c>
      <c r="F8" s="44">
        <v>2347</v>
      </c>
      <c r="G8" s="13">
        <v>3584</v>
      </c>
      <c r="H8" s="13">
        <v>2022</v>
      </c>
      <c r="I8" s="12" t="s">
        <v>13</v>
      </c>
      <c r="J8" s="13">
        <v>3632</v>
      </c>
      <c r="K8" s="40">
        <v>3510</v>
      </c>
      <c r="L8" s="13">
        <v>6630</v>
      </c>
      <c r="M8" s="13">
        <v>24</v>
      </c>
      <c r="N8" s="12" t="s">
        <v>13</v>
      </c>
      <c r="O8" s="13">
        <v>12153</v>
      </c>
      <c r="P8" s="40">
        <v>11463</v>
      </c>
      <c r="Q8" s="13">
        <v>14029</v>
      </c>
      <c r="R8" s="13">
        <v>8824</v>
      </c>
      <c r="S8" s="12" t="s">
        <v>13</v>
      </c>
      <c r="T8" s="13">
        <f>H8+M8</f>
        <v>2046</v>
      </c>
      <c r="U8" s="13">
        <f>G8+L8</f>
        <v>10214</v>
      </c>
    </row>
    <row r="9" spans="4:21" x14ac:dyDescent="0.2">
      <c r="D9" s="12"/>
      <c r="E9" s="13"/>
      <c r="F9" s="44"/>
      <c r="G9" s="13"/>
      <c r="H9" s="13"/>
      <c r="I9" s="12"/>
      <c r="J9" s="13"/>
      <c r="K9" s="40"/>
      <c r="L9" s="13"/>
      <c r="M9" s="13"/>
      <c r="N9" s="12"/>
      <c r="O9" s="13"/>
      <c r="P9" s="40"/>
      <c r="Q9" s="13"/>
      <c r="R9" s="13"/>
      <c r="S9" s="12"/>
      <c r="T9" s="13"/>
      <c r="U9" s="13"/>
    </row>
    <row r="10" spans="4:21" x14ac:dyDescent="0.2">
      <c r="D10" s="12" t="s">
        <v>14</v>
      </c>
      <c r="E10" s="13">
        <v>61952</v>
      </c>
      <c r="F10" s="44">
        <v>57915</v>
      </c>
      <c r="G10" s="13">
        <v>69766</v>
      </c>
      <c r="H10" s="13">
        <v>73510</v>
      </c>
      <c r="I10" s="12" t="s">
        <v>14</v>
      </c>
      <c r="J10" s="13">
        <v>96873</v>
      </c>
      <c r="K10" s="40">
        <v>96299</v>
      </c>
      <c r="L10" s="13">
        <v>98044</v>
      </c>
      <c r="M10" s="13">
        <v>99730</v>
      </c>
      <c r="N10" s="12" t="s">
        <v>14</v>
      </c>
      <c r="O10" s="13">
        <v>458156</v>
      </c>
      <c r="P10" s="40">
        <v>422193</v>
      </c>
      <c r="Q10" s="13">
        <v>488071</v>
      </c>
      <c r="R10" s="13">
        <v>497114</v>
      </c>
      <c r="S10" s="12" t="s">
        <v>14</v>
      </c>
      <c r="T10" s="13">
        <f>H10+M10</f>
        <v>173240</v>
      </c>
      <c r="U10" s="13">
        <f>G10+L10</f>
        <v>167810</v>
      </c>
    </row>
    <row r="11" spans="4:21" x14ac:dyDescent="0.2">
      <c r="D11" s="12" t="s">
        <v>15</v>
      </c>
      <c r="E11" s="13">
        <v>19594</v>
      </c>
      <c r="F11" s="44">
        <v>16706</v>
      </c>
      <c r="G11" s="13">
        <v>21801</v>
      </c>
      <c r="H11" s="13">
        <v>23874</v>
      </c>
      <c r="I11" s="12" t="s">
        <v>15</v>
      </c>
      <c r="J11" s="13">
        <v>24903</v>
      </c>
      <c r="K11" s="40">
        <v>20987</v>
      </c>
      <c r="L11" s="13">
        <v>28675</v>
      </c>
      <c r="M11" s="13">
        <v>25861</v>
      </c>
      <c r="N11" s="12" t="s">
        <v>15</v>
      </c>
      <c r="O11" s="13">
        <v>117342</v>
      </c>
      <c r="P11" s="40">
        <v>109077</v>
      </c>
      <c r="Q11" s="13">
        <v>123651</v>
      </c>
      <c r="R11" s="13">
        <v>128783</v>
      </c>
      <c r="S11" s="12" t="s">
        <v>15</v>
      </c>
      <c r="T11" s="13">
        <f>H11+M11</f>
        <v>49735</v>
      </c>
      <c r="U11" s="13">
        <f>G11+L11</f>
        <v>50476</v>
      </c>
    </row>
    <row r="12" spans="4:21" x14ac:dyDescent="0.2">
      <c r="D12" s="12" t="s">
        <v>16</v>
      </c>
      <c r="E12" s="13">
        <f>E10-E11</f>
        <v>42358</v>
      </c>
      <c r="F12" s="44">
        <f>F10-F11</f>
        <v>41209</v>
      </c>
      <c r="G12" s="13">
        <f>G10-G11</f>
        <v>47965</v>
      </c>
      <c r="H12" s="13">
        <f>H10-H11</f>
        <v>49636</v>
      </c>
      <c r="I12" s="12" t="s">
        <v>16</v>
      </c>
      <c r="J12" s="13">
        <f>J10-J11</f>
        <v>71970</v>
      </c>
      <c r="K12" s="40">
        <f>K10-K11</f>
        <v>75312</v>
      </c>
      <c r="L12" s="13">
        <f>L10-L11</f>
        <v>69369</v>
      </c>
      <c r="M12" s="13">
        <f>M10-M11</f>
        <v>73869</v>
      </c>
      <c r="N12" s="12" t="s">
        <v>16</v>
      </c>
      <c r="O12" s="13">
        <f>O10-O11</f>
        <v>340814</v>
      </c>
      <c r="P12" s="40">
        <f>P10-P11</f>
        <v>313116</v>
      </c>
      <c r="Q12" s="13">
        <f>Q10-Q11</f>
        <v>364420</v>
      </c>
      <c r="R12" s="13">
        <f>R10-R11</f>
        <v>368331</v>
      </c>
      <c r="S12" s="12" t="s">
        <v>16</v>
      </c>
      <c r="T12" s="13">
        <f>H12+M12</f>
        <v>123505</v>
      </c>
      <c r="U12" s="13">
        <f>G12+L12</f>
        <v>117334</v>
      </c>
    </row>
    <row r="13" spans="4:21" x14ac:dyDescent="0.2">
      <c r="D13" s="12"/>
      <c r="E13" s="13"/>
      <c r="F13" s="44"/>
      <c r="G13" s="13"/>
      <c r="H13" s="13"/>
      <c r="I13" s="12"/>
      <c r="J13" s="13"/>
      <c r="K13" s="40"/>
      <c r="L13" s="13"/>
      <c r="M13" s="13"/>
      <c r="N13" s="12"/>
      <c r="O13" s="13"/>
      <c r="P13" s="40"/>
      <c r="Q13" s="13"/>
      <c r="R13" s="13"/>
      <c r="S13" s="12"/>
      <c r="T13" s="13"/>
      <c r="U13" s="13"/>
    </row>
    <row r="14" spans="4:21" x14ac:dyDescent="0.2">
      <c r="D14" s="14" t="s">
        <v>34</v>
      </c>
      <c r="E14" s="13">
        <f>5257+327+2182</f>
        <v>7766</v>
      </c>
      <c r="F14" s="44">
        <f>4778+407+2531</f>
        <v>7716</v>
      </c>
      <c r="G14" s="13">
        <f>8917+272+2520</f>
        <v>11709</v>
      </c>
      <c r="H14" s="13">
        <f>11083+236+2409</f>
        <v>13728</v>
      </c>
      <c r="I14" s="14" t="s">
        <v>34</v>
      </c>
      <c r="J14" s="13">
        <f>8667+3+5861+204</f>
        <v>14735</v>
      </c>
      <c r="K14" s="40">
        <f>10726+1+7245+138</f>
        <v>18110</v>
      </c>
      <c r="L14" s="13">
        <f>8025+124+4876+194</f>
        <v>13219</v>
      </c>
      <c r="M14" s="13">
        <f>17036+280+4081+353</f>
        <v>21750</v>
      </c>
      <c r="N14" s="14" t="s">
        <v>34</v>
      </c>
      <c r="O14" s="13">
        <f>101126+3219+89757+9416</f>
        <v>203518</v>
      </c>
      <c r="P14" s="40">
        <f>81628+2665+81844+8570</f>
        <v>174707</v>
      </c>
      <c r="Q14" s="13">
        <f>113556+4499+87912+10858</f>
        <v>216825</v>
      </c>
      <c r="R14" s="13">
        <f>114809+4257+88648+10590</f>
        <v>218304</v>
      </c>
      <c r="S14" s="14" t="s">
        <v>34</v>
      </c>
      <c r="T14" s="13">
        <f>H14+M14</f>
        <v>35478</v>
      </c>
      <c r="U14" s="13">
        <f>G14+L14</f>
        <v>24928</v>
      </c>
    </row>
    <row r="15" spans="4:21" x14ac:dyDescent="0.2">
      <c r="D15" s="12"/>
      <c r="E15" s="13"/>
      <c r="F15" s="44"/>
      <c r="G15" s="13"/>
      <c r="H15" s="13"/>
      <c r="I15" s="12"/>
      <c r="J15" s="13"/>
      <c r="K15" s="40"/>
      <c r="L15" s="13"/>
      <c r="M15" s="13"/>
      <c r="N15" s="12"/>
      <c r="O15" s="13"/>
      <c r="P15" s="40"/>
      <c r="Q15" s="13"/>
      <c r="R15" s="13"/>
      <c r="S15" s="12"/>
      <c r="T15" s="13"/>
      <c r="U15" s="13"/>
    </row>
    <row r="16" spans="4:21" x14ac:dyDescent="0.2">
      <c r="D16" s="12" t="s">
        <v>17</v>
      </c>
      <c r="E16" s="13">
        <v>28146</v>
      </c>
      <c r="F16" s="44">
        <v>26611</v>
      </c>
      <c r="G16" s="13">
        <v>31327</v>
      </c>
      <c r="H16" s="13">
        <v>35251</v>
      </c>
      <c r="I16" s="12">
        <f>M4-75962-5501-2979+4-73</f>
        <v>2165</v>
      </c>
      <c r="J16" s="13">
        <v>38292</v>
      </c>
      <c r="K16" s="40">
        <v>36274</v>
      </c>
      <c r="L16" s="13">
        <v>34932</v>
      </c>
      <c r="M16" s="13">
        <v>40053</v>
      </c>
      <c r="N16" s="12" t="s">
        <v>17</v>
      </c>
      <c r="O16" s="13">
        <v>183536</v>
      </c>
      <c r="P16" s="40">
        <v>160112</v>
      </c>
      <c r="Q16" s="13">
        <v>187463</v>
      </c>
      <c r="R16" s="13">
        <v>194944</v>
      </c>
      <c r="S16" s="12" t="s">
        <v>17</v>
      </c>
      <c r="T16" s="13">
        <f>H16+M16</f>
        <v>75304</v>
      </c>
      <c r="U16" s="13">
        <f>G16+L16</f>
        <v>66259</v>
      </c>
    </row>
    <row r="17" spans="4:21" x14ac:dyDescent="0.2">
      <c r="D17" s="12" t="s">
        <v>38</v>
      </c>
      <c r="E17" s="13">
        <f>14961+465</f>
        <v>15426</v>
      </c>
      <c r="F17" s="44">
        <f>11582+312</f>
        <v>11894</v>
      </c>
      <c r="G17" s="13">
        <f>17379+454</f>
        <v>17833</v>
      </c>
      <c r="H17" s="13">
        <f>22303+590</f>
        <v>22893</v>
      </c>
      <c r="I17" s="12" t="s">
        <v>38</v>
      </c>
      <c r="J17" s="13">
        <v>12450</v>
      </c>
      <c r="K17" s="40">
        <v>12638</v>
      </c>
      <c r="L17" s="13">
        <v>15041</v>
      </c>
      <c r="M17" s="13">
        <v>23846</v>
      </c>
      <c r="N17" s="12" t="s">
        <v>38</v>
      </c>
      <c r="O17" s="13">
        <v>28938</v>
      </c>
      <c r="P17" s="40">
        <v>18457</v>
      </c>
      <c r="Q17" s="13">
        <v>25923</v>
      </c>
      <c r="R17" s="13">
        <v>33909</v>
      </c>
      <c r="S17" s="12" t="s">
        <v>38</v>
      </c>
      <c r="T17" s="13">
        <f>H17+M17</f>
        <v>46739</v>
      </c>
      <c r="U17" s="13">
        <f>G17+L17</f>
        <v>32874</v>
      </c>
    </row>
    <row r="18" spans="4:21" x14ac:dyDescent="0.2">
      <c r="D18" s="12" t="s">
        <v>18</v>
      </c>
      <c r="E18" s="13">
        <v>6710</v>
      </c>
      <c r="F18" s="44">
        <v>7289</v>
      </c>
      <c r="G18" s="13">
        <v>6269</v>
      </c>
      <c r="H18" s="13">
        <v>5366</v>
      </c>
      <c r="I18" s="12" t="s">
        <v>18</v>
      </c>
      <c r="J18" s="13">
        <v>10694</v>
      </c>
      <c r="K18" s="40">
        <v>12922</v>
      </c>
      <c r="L18" s="13">
        <v>9722</v>
      </c>
      <c r="M18" s="13">
        <v>8094</v>
      </c>
      <c r="N18" s="12" t="s">
        <v>18</v>
      </c>
      <c r="O18" s="13">
        <v>45745</v>
      </c>
      <c r="P18" s="40">
        <v>40415</v>
      </c>
      <c r="Q18" s="13">
        <v>46742</v>
      </c>
      <c r="R18" s="13">
        <v>43823</v>
      </c>
      <c r="S18" s="12" t="s">
        <v>18</v>
      </c>
      <c r="T18" s="13">
        <f>H18+M18</f>
        <v>13460</v>
      </c>
      <c r="U18" s="13">
        <f>G18+L18</f>
        <v>15991</v>
      </c>
    </row>
    <row r="19" spans="4:21" x14ac:dyDescent="0.2">
      <c r="D19" s="12" t="s">
        <v>22</v>
      </c>
      <c r="E19" s="13">
        <f>1904+2470</f>
        <v>4374</v>
      </c>
      <c r="F19" s="44">
        <f>2426+2496</f>
        <v>4922</v>
      </c>
      <c r="G19" s="13">
        <f>2503+2922</f>
        <v>5425</v>
      </c>
      <c r="H19" s="13">
        <f>3147+2789</f>
        <v>5936</v>
      </c>
      <c r="I19" s="12" t="s">
        <v>22</v>
      </c>
      <c r="J19" s="13">
        <v>7188</v>
      </c>
      <c r="K19" s="40">
        <v>7887</v>
      </c>
      <c r="L19" s="13">
        <v>6628</v>
      </c>
      <c r="M19" s="13">
        <v>5545</v>
      </c>
      <c r="N19" s="12" t="s">
        <v>22</v>
      </c>
      <c r="O19" s="13">
        <f>17888+6203</f>
        <v>24091</v>
      </c>
      <c r="P19" s="40">
        <f>13357+5346</f>
        <v>18703</v>
      </c>
      <c r="Q19" s="13">
        <f>17941+7272</f>
        <v>25213</v>
      </c>
      <c r="R19" s="13">
        <f>16243+7381</f>
        <v>23624</v>
      </c>
      <c r="S19" s="12" t="s">
        <v>22</v>
      </c>
      <c r="T19" s="13">
        <f>H19+M19</f>
        <v>11481</v>
      </c>
      <c r="U19" s="13">
        <f>G19+L19</f>
        <v>12053</v>
      </c>
    </row>
    <row r="20" spans="4:21" x14ac:dyDescent="0.2">
      <c r="D20" s="12" t="s">
        <v>19</v>
      </c>
      <c r="E20" s="13">
        <v>30002</v>
      </c>
      <c r="F20" s="44">
        <v>29658</v>
      </c>
      <c r="G20" s="13">
        <v>31700</v>
      </c>
      <c r="H20" s="13">
        <v>30813</v>
      </c>
      <c r="I20" s="12" t="s">
        <v>19</v>
      </c>
      <c r="J20" s="13">
        <v>46474</v>
      </c>
      <c r="K20" s="40">
        <v>47269</v>
      </c>
      <c r="L20" s="13">
        <v>43354</v>
      </c>
      <c r="M20" s="13">
        <v>39037</v>
      </c>
      <c r="N20" s="12" t="s">
        <v>19</v>
      </c>
      <c r="O20" s="13">
        <v>167968</v>
      </c>
      <c r="P20" s="40">
        <v>160389</v>
      </c>
      <c r="Q20" s="13">
        <v>167924</v>
      </c>
      <c r="R20" s="13">
        <v>165410</v>
      </c>
      <c r="S20" s="12" t="s">
        <v>19</v>
      </c>
      <c r="T20" s="13">
        <f>H20+M20</f>
        <v>69850</v>
      </c>
      <c r="U20" s="13">
        <f>G20+L20</f>
        <v>75054</v>
      </c>
    </row>
    <row r="21" spans="4:21" x14ac:dyDescent="0.2">
      <c r="D21" s="12" t="s">
        <v>23</v>
      </c>
      <c r="E21" s="13">
        <v>13551</v>
      </c>
      <c r="F21" s="44">
        <v>13362</v>
      </c>
      <c r="G21" s="13">
        <v>14505</v>
      </c>
      <c r="H21" s="13">
        <v>15166</v>
      </c>
      <c r="I21" s="12" t="s">
        <v>23</v>
      </c>
      <c r="J21" s="13">
        <v>19229</v>
      </c>
      <c r="K21" s="40">
        <v>21939</v>
      </c>
      <c r="L21" s="13">
        <v>21616</v>
      </c>
      <c r="M21" s="13">
        <v>20576</v>
      </c>
      <c r="N21" s="12" t="s">
        <v>23</v>
      </c>
      <c r="O21" s="13">
        <v>23607</v>
      </c>
      <c r="P21" s="40">
        <v>23046</v>
      </c>
      <c r="Q21" s="13">
        <v>22745</v>
      </c>
      <c r="R21" s="13">
        <v>22677</v>
      </c>
      <c r="S21" s="12" t="s">
        <v>23</v>
      </c>
      <c r="T21" s="13">
        <f>H21+M21</f>
        <v>35742</v>
      </c>
      <c r="U21" s="13">
        <f>G21+L21</f>
        <v>36121</v>
      </c>
    </row>
    <row r="22" spans="4:21" x14ac:dyDescent="0.2">
      <c r="D22" s="12"/>
      <c r="E22" s="13"/>
      <c r="F22" s="44"/>
      <c r="G22" s="13"/>
      <c r="H22" s="13"/>
      <c r="I22" s="12"/>
      <c r="J22" s="13"/>
      <c r="K22" s="40"/>
      <c r="L22" s="13"/>
      <c r="M22" s="13"/>
      <c r="N22" s="12"/>
      <c r="O22" s="13"/>
      <c r="P22" s="40"/>
      <c r="Q22" s="13"/>
      <c r="R22" s="13"/>
      <c r="S22" s="12"/>
      <c r="T22" s="13"/>
      <c r="U22" s="13"/>
    </row>
    <row r="23" spans="4:21" x14ac:dyDescent="0.2">
      <c r="D23" s="12" t="s">
        <v>20</v>
      </c>
      <c r="E23" s="13">
        <v>8395</v>
      </c>
      <c r="F23" s="44">
        <v>5459</v>
      </c>
      <c r="G23" s="13">
        <v>8705</v>
      </c>
      <c r="H23" s="13">
        <v>6202</v>
      </c>
      <c r="I23" s="12" t="s">
        <v>20</v>
      </c>
      <c r="J23" s="13">
        <v>9948</v>
      </c>
      <c r="K23" s="40">
        <v>10385</v>
      </c>
      <c r="L23" s="13">
        <v>10462</v>
      </c>
      <c r="M23" s="13">
        <v>9183</v>
      </c>
      <c r="N23" s="12" t="s">
        <v>20</v>
      </c>
      <c r="O23" s="13">
        <v>7272</v>
      </c>
      <c r="P23" s="40">
        <v>-1185</v>
      </c>
      <c r="Q23" s="13">
        <v>17983</v>
      </c>
      <c r="R23" s="13">
        <v>24901</v>
      </c>
      <c r="S23" s="12" t="s">
        <v>20</v>
      </c>
      <c r="T23" s="13">
        <f>H23+M23</f>
        <v>15385</v>
      </c>
      <c r="U23" s="13">
        <f>G23+L23</f>
        <v>19167</v>
      </c>
    </row>
    <row r="24" spans="4:21" x14ac:dyDescent="0.2">
      <c r="D24" s="16"/>
      <c r="E24" s="17"/>
      <c r="F24" s="17"/>
      <c r="G24" s="17"/>
      <c r="H24" s="17"/>
      <c r="I24" s="16"/>
      <c r="J24" s="17"/>
      <c r="K24" s="17"/>
      <c r="L24" s="17"/>
      <c r="M24" s="17"/>
      <c r="N24" s="16"/>
      <c r="O24" s="17"/>
      <c r="P24" s="17"/>
      <c r="Q24" s="17"/>
      <c r="R24" s="17"/>
      <c r="S24" s="16"/>
      <c r="T24" s="17"/>
      <c r="U24" s="17"/>
    </row>
    <row r="25" spans="4:21" x14ac:dyDescent="0.2">
      <c r="D25" s="3" t="s">
        <v>2</v>
      </c>
      <c r="E25" s="4">
        <v>2018</v>
      </c>
      <c r="F25" s="4">
        <v>2017</v>
      </c>
      <c r="G25" s="4">
        <v>2019</v>
      </c>
      <c r="H25" s="4">
        <v>2020</v>
      </c>
      <c r="I25" s="6" t="s">
        <v>1</v>
      </c>
      <c r="J25" s="4">
        <v>2018</v>
      </c>
      <c r="K25" s="4">
        <v>2017</v>
      </c>
      <c r="L25" s="4">
        <v>2019</v>
      </c>
      <c r="M25" s="4">
        <v>2020</v>
      </c>
      <c r="N25" s="7" t="s">
        <v>3</v>
      </c>
      <c r="O25" s="4">
        <v>2018</v>
      </c>
      <c r="P25" s="4">
        <v>2017</v>
      </c>
      <c r="Q25" s="4">
        <v>2019</v>
      </c>
      <c r="R25" s="4">
        <v>2019</v>
      </c>
      <c r="S25" s="11" t="s">
        <v>27</v>
      </c>
      <c r="T25" s="4">
        <v>2019</v>
      </c>
      <c r="U25" s="4">
        <v>2019</v>
      </c>
    </row>
    <row r="26" spans="4:21" x14ac:dyDescent="0.2">
      <c r="D26" s="2" t="s">
        <v>6</v>
      </c>
      <c r="E26" s="18">
        <f>E8/E11</f>
        <v>0.16816372358885373</v>
      </c>
      <c r="F26" s="18">
        <f>F8/F11</f>
        <v>0.14048844726445589</v>
      </c>
      <c r="G26" s="20">
        <f>G8/G11</f>
        <v>0.1643961286179533</v>
      </c>
      <c r="H26" s="20">
        <f>H8/H11</f>
        <v>8.4694646896205081E-2</v>
      </c>
      <c r="I26" s="2" t="s">
        <v>6</v>
      </c>
      <c r="J26" s="18">
        <f>J8/J11</f>
        <v>0.14584588202224633</v>
      </c>
      <c r="K26" s="18">
        <f>K8/K11</f>
        <v>0.16724639062276647</v>
      </c>
      <c r="L26" s="18">
        <f>L8/L11</f>
        <v>0.23121185701830863</v>
      </c>
      <c r="M26" s="18">
        <f>M8/M11</f>
        <v>9.2803835891883536E-4</v>
      </c>
      <c r="N26" s="2" t="s">
        <v>6</v>
      </c>
      <c r="O26" s="18">
        <f>O8/O11</f>
        <v>0.10356905455847011</v>
      </c>
      <c r="P26" s="18">
        <f>P8/P11</f>
        <v>0.10509089908963393</v>
      </c>
      <c r="Q26" s="18">
        <f>Q8/Q11</f>
        <v>0.11345642170301898</v>
      </c>
      <c r="R26" s="18">
        <f>R8/R11</f>
        <v>6.8518360342591803E-2</v>
      </c>
      <c r="S26" s="2" t="s">
        <v>6</v>
      </c>
      <c r="T26" s="18">
        <f>T8/T11</f>
        <v>4.1138031567306728E-2</v>
      </c>
      <c r="U26" s="18">
        <f>U8/U11</f>
        <v>0.20235359378714637</v>
      </c>
    </row>
    <row r="27" spans="4:21" x14ac:dyDescent="0.2">
      <c r="D27" s="2" t="s">
        <v>7</v>
      </c>
      <c r="E27" s="18">
        <f>E8/E4</f>
        <v>4.4510786604887408E-2</v>
      </c>
      <c r="F27" s="18">
        <f>F8/F4</f>
        <v>3.7699177589308658E-2</v>
      </c>
      <c r="G27" s="18">
        <f>G8/G4</f>
        <v>4.7958678460076808E-2</v>
      </c>
      <c r="H27" s="18">
        <f>H8/H4</f>
        <v>3.3292719070043136E-2</v>
      </c>
      <c r="I27" s="2" t="s">
        <v>7</v>
      </c>
      <c r="J27" s="18">
        <f>J8/J4</f>
        <v>3.2894975183856826E-2</v>
      </c>
      <c r="K27" s="18">
        <f>K8/K4</f>
        <v>3.3197767899366314E-2</v>
      </c>
      <c r="L27" s="18">
        <f>L8/L4</f>
        <v>6.1282778892103484E-2</v>
      </c>
      <c r="M27" s="18">
        <f>M8/M4</f>
        <v>2.7689325764917625E-4</v>
      </c>
      <c r="N27" s="2" t="s">
        <v>7</v>
      </c>
      <c r="O27" s="18">
        <f>O8/O4</f>
        <v>5.1528732366895771E-2</v>
      </c>
      <c r="P27" s="18">
        <f>P8/P4</f>
        <v>4.9936832934001307E-2</v>
      </c>
      <c r="Q27" s="18">
        <f>Q8/Q4</f>
        <v>5.5531365781057031E-2</v>
      </c>
      <c r="R27" s="18">
        <f>R8/R4</f>
        <v>3.9590100680174441E-2</v>
      </c>
      <c r="S27" s="2" t="s">
        <v>7</v>
      </c>
      <c r="T27" s="18">
        <f>T8/T4</f>
        <v>1.3879655382945525E-2</v>
      </c>
      <c r="U27" s="18">
        <f>U8/U4</f>
        <v>5.5839228506762595E-2</v>
      </c>
    </row>
    <row r="28" spans="4:21" x14ac:dyDescent="0.2">
      <c r="E28" s="15"/>
      <c r="F28" s="15"/>
      <c r="G28" s="15"/>
      <c r="H28" s="15"/>
      <c r="J28" s="15"/>
      <c r="K28" s="15"/>
      <c r="L28" s="15"/>
      <c r="M28" s="15"/>
      <c r="O28" s="15"/>
      <c r="P28" s="15"/>
      <c r="Q28" s="15"/>
      <c r="R28" s="15"/>
      <c r="T28" s="15"/>
      <c r="U28" s="15"/>
    </row>
    <row r="29" spans="4:21" x14ac:dyDescent="0.2">
      <c r="D29" s="19" t="s">
        <v>0</v>
      </c>
      <c r="E29" s="20">
        <f>E6/E10</f>
        <v>7.1022727272727279E-2</v>
      </c>
      <c r="F29" s="20">
        <f>F6/F10</f>
        <v>5.3077786411119744E-2</v>
      </c>
      <c r="G29" s="20">
        <f>G6/G10</f>
        <v>6.6909382793911079E-2</v>
      </c>
      <c r="H29" s="20">
        <f>H6/H10</f>
        <v>4.1545367977145968E-2</v>
      </c>
      <c r="I29" s="19" t="s">
        <v>0</v>
      </c>
      <c r="J29" s="20">
        <f>J6/J10</f>
        <v>5.0881050447493109E-2</v>
      </c>
      <c r="K29" s="20">
        <f>K6/K10</f>
        <v>6.1579040280792113E-2</v>
      </c>
      <c r="L29" s="20">
        <f>L6/L10</f>
        <v>4.9131002407082534E-2</v>
      </c>
      <c r="M29" s="20">
        <f>M6/M10</f>
        <v>2.1708613255790633E-2</v>
      </c>
      <c r="N29" s="19" t="s">
        <v>0</v>
      </c>
      <c r="O29" s="20">
        <f>O6/O10</f>
        <v>3.0382664419979222E-2</v>
      </c>
      <c r="P29" s="20">
        <f>P6/P10</f>
        <v>3.2729107304005516E-2</v>
      </c>
      <c r="Q29" s="20">
        <f>Q6/Q10</f>
        <v>3.4749042659776956E-2</v>
      </c>
      <c r="R29" s="20">
        <f>R6/R10</f>
        <v>1.9462336606894996E-2</v>
      </c>
      <c r="S29" s="19" t="s">
        <v>0</v>
      </c>
      <c r="T29" s="20">
        <f>T6/T10</f>
        <v>3.0125836989148003E-2</v>
      </c>
      <c r="U29" s="20">
        <f>U6/U10</f>
        <v>5.6522257314820336E-2</v>
      </c>
    </row>
    <row r="30" spans="4:21" x14ac:dyDescent="0.2">
      <c r="D30" s="19" t="s">
        <v>8</v>
      </c>
      <c r="E30" s="20">
        <f>E6/E4</f>
        <v>5.9437772704553742E-2</v>
      </c>
      <c r="F30" s="20">
        <f>F6/F4</f>
        <v>4.9376766897969673E-2</v>
      </c>
      <c r="G30" s="20">
        <f>G6/G4</f>
        <v>6.2464037681818789E-2</v>
      </c>
      <c r="H30" s="20">
        <f>H6/H4</f>
        <v>5.0284848684427175E-2</v>
      </c>
      <c r="I30" s="19" t="s">
        <v>8</v>
      </c>
      <c r="J30" s="20">
        <f>J6/J4</f>
        <v>4.4641886751440062E-2</v>
      </c>
      <c r="K30" s="20">
        <f>K6/K4</f>
        <v>5.6086257448217158E-2</v>
      </c>
      <c r="L30" s="20">
        <f>L6/L4</f>
        <v>4.4524758057807312E-2</v>
      </c>
      <c r="M30" s="20">
        <f>M6/M4</f>
        <v>2.4978079283769439E-2</v>
      </c>
      <c r="N30" s="19" t="s">
        <v>8</v>
      </c>
      <c r="O30" s="20">
        <f>O6/O4</f>
        <v>5.9020814164995397E-2</v>
      </c>
      <c r="P30" s="20">
        <f>P6/P4</f>
        <v>6.019603572206491E-2</v>
      </c>
      <c r="Q30" s="20">
        <f>Q6/Q4</f>
        <v>6.7133221444630922E-2</v>
      </c>
      <c r="R30" s="20">
        <f>R6/R4</f>
        <v>4.3408230290195797E-2</v>
      </c>
      <c r="S30" s="19" t="s">
        <v>8</v>
      </c>
      <c r="T30" s="20">
        <f>T6/T4</f>
        <v>3.5404653686995455E-2</v>
      </c>
      <c r="U30" s="20">
        <f>U6/U4</f>
        <v>5.1853836145157942E-2</v>
      </c>
    </row>
    <row r="31" spans="4:21" x14ac:dyDescent="0.2">
      <c r="D31" s="19" t="s">
        <v>9</v>
      </c>
      <c r="E31" s="21">
        <f>E4/E10</f>
        <v>1.1949089617768596</v>
      </c>
      <c r="F31" s="21">
        <f>F4/F10</f>
        <v>1.074954674954675</v>
      </c>
      <c r="G31" s="21">
        <f>G4/G10</f>
        <v>1.0711664707737294</v>
      </c>
      <c r="H31" s="21">
        <f>H4/H10</f>
        <v>0.82620051693647123</v>
      </c>
      <c r="I31" s="19" t="s">
        <v>9</v>
      </c>
      <c r="J31" s="21">
        <f>J4/J10</f>
        <v>1.1397603047288718</v>
      </c>
      <c r="K31" s="21">
        <f>K4/K10</f>
        <v>1.0979345579912565</v>
      </c>
      <c r="L31" s="21">
        <f>L4/L10</f>
        <v>1.1034535514666883</v>
      </c>
      <c r="M31" s="21">
        <f>M4/M10</f>
        <v>0.86910658778702499</v>
      </c>
      <c r="N31" s="19" t="s">
        <v>9</v>
      </c>
      <c r="O31" s="21">
        <f>O4/O10</f>
        <v>0.51477880896463213</v>
      </c>
      <c r="P31" s="21">
        <f>P4/P10</f>
        <v>0.54370868299569153</v>
      </c>
      <c r="Q31" s="21">
        <f>Q4/Q10</f>
        <v>0.51761321610995126</v>
      </c>
      <c r="R31" s="21">
        <f>R4/R10</f>
        <v>0.44835591031433436</v>
      </c>
      <c r="S31" s="19" t="s">
        <v>9</v>
      </c>
      <c r="T31" s="21">
        <f>T4/T10</f>
        <v>0.85090048487647196</v>
      </c>
      <c r="U31" s="21">
        <f>U4/U10</f>
        <v>1.0900303915142124</v>
      </c>
    </row>
    <row r="32" spans="4:21" x14ac:dyDescent="0.2">
      <c r="D32" s="19" t="s">
        <v>4</v>
      </c>
      <c r="E32" s="20">
        <f>E5/E4</f>
        <v>9.9895983897767035E-2</v>
      </c>
      <c r="F32" s="20">
        <f>F5/F4</f>
        <v>9.3308275507581598E-2</v>
      </c>
      <c r="G32" s="20">
        <f>G5/G4</f>
        <v>0.11220243272537501</v>
      </c>
      <c r="H32" s="20">
        <f>H5/H4</f>
        <v>0.1171008002107551</v>
      </c>
      <c r="I32" s="19" t="s">
        <v>4</v>
      </c>
      <c r="J32" s="20">
        <f>J5/J4</f>
        <v>9.4518711734231792E-2</v>
      </c>
      <c r="K32" s="20">
        <f>K5/K4</f>
        <v>0.10785964248557647</v>
      </c>
      <c r="L32" s="20">
        <f>L5/L4</f>
        <v>9.4854280089104973E-2</v>
      </c>
      <c r="M32" s="20">
        <f>M5/M4</f>
        <v>8.4313996954174172E-2</v>
      </c>
      <c r="N32" s="19" t="s">
        <v>4</v>
      </c>
      <c r="O32" s="20">
        <f>O5/O4</f>
        <v>0.1546794771230745</v>
      </c>
      <c r="P32" s="20">
        <f>P5/P4</f>
        <v>0.15675887606186015</v>
      </c>
      <c r="Q32" s="20">
        <f>Q5/Q4</f>
        <v>0.1638707685487191</v>
      </c>
      <c r="R32" s="20">
        <f>R5/R4</f>
        <v>0.16486154232695036</v>
      </c>
      <c r="S32" s="19" t="s">
        <v>4</v>
      </c>
      <c r="T32" s="20">
        <f>T5/T4</f>
        <v>9.7822400108540805E-2</v>
      </c>
      <c r="U32" s="20">
        <f>U5/U4</f>
        <v>0.10194185372680654</v>
      </c>
    </row>
    <row r="33" spans="4:21" x14ac:dyDescent="0.2">
      <c r="D33" s="8"/>
      <c r="E33" s="9"/>
      <c r="F33" s="9"/>
      <c r="G33" s="9"/>
      <c r="H33" s="9"/>
      <c r="I33" s="8"/>
      <c r="J33" s="9"/>
      <c r="K33" s="9"/>
      <c r="L33" s="9"/>
      <c r="M33" s="9"/>
      <c r="N33" s="8"/>
      <c r="O33" s="9"/>
      <c r="P33" s="9"/>
      <c r="Q33" s="9"/>
      <c r="R33" s="9"/>
      <c r="S33" s="8"/>
      <c r="T33" s="9"/>
      <c r="U33" s="9"/>
    </row>
    <row r="34" spans="4:21" x14ac:dyDescent="0.2">
      <c r="D34" s="19" t="s">
        <v>24</v>
      </c>
      <c r="E34" s="22">
        <f>E6/(E6-E7)</f>
        <v>8.9795918367346932</v>
      </c>
      <c r="F34" s="22">
        <f>F6/(F6-F7)</f>
        <v>146.38095238095238</v>
      </c>
      <c r="G34" s="22">
        <f>G6/(G6-G7)</f>
        <v>12.684782608695652</v>
      </c>
      <c r="H34" s="22">
        <f>H6/(H6-H7)</f>
        <v>9.6340694006309153</v>
      </c>
      <c r="I34" s="19" t="s">
        <v>24</v>
      </c>
      <c r="J34" s="22">
        <f>J6/(J6-J7)</f>
        <v>6.0036540803897687</v>
      </c>
      <c r="K34" s="22">
        <f>K6/(K6-K7)</f>
        <v>116.27450980392157</v>
      </c>
      <c r="L34" s="22">
        <f>L6/(L6-L7)</f>
        <v>6.0515075376884422</v>
      </c>
      <c r="M34" s="22">
        <f>M6/(M6-M7)</f>
        <v>2.6761433868974041</v>
      </c>
      <c r="N34" s="19" t="s">
        <v>24</v>
      </c>
      <c r="O34" s="22">
        <f>O6/(O6-O7)</f>
        <v>-8.0789320951828199</v>
      </c>
      <c r="P34" s="22">
        <f>P6/(P6-P7)</f>
        <v>95.296551724137927</v>
      </c>
      <c r="Q34" s="22">
        <f>Q6/(Q6-Q7)</f>
        <v>-12.148997134670488</v>
      </c>
      <c r="R34" s="22">
        <f>R6/(R6-R7)</f>
        <v>-4.8569277108433733</v>
      </c>
      <c r="S34" s="19" t="s">
        <v>24</v>
      </c>
      <c r="T34" s="22">
        <f>T6/(T6-T7)</f>
        <v>4.6349911190053286</v>
      </c>
      <c r="U34" s="22">
        <f>U6/(U6-U7)</f>
        <v>8.148625429553265</v>
      </c>
    </row>
    <row r="35" spans="4:21" x14ac:dyDescent="0.2">
      <c r="D35" s="19" t="s">
        <v>33</v>
      </c>
      <c r="E35" s="22">
        <f t="shared" ref="E35:F35" si="0">1-(1/E34)</f>
        <v>0.88863636363636367</v>
      </c>
      <c r="F35" s="22">
        <f t="shared" si="0"/>
        <v>0.9931685100845804</v>
      </c>
      <c r="G35" s="22">
        <f>1-(1/G34)</f>
        <v>0.921165381319623</v>
      </c>
      <c r="H35" s="22">
        <f>1-(1/H34)</f>
        <v>0.89620170268500332</v>
      </c>
      <c r="I35" s="19" t="s">
        <v>33</v>
      </c>
      <c r="J35" s="22">
        <f t="shared" ref="J35:K35" si="1">1-(1/J34)</f>
        <v>0.83343477378778652</v>
      </c>
      <c r="K35" s="22">
        <f t="shared" si="1"/>
        <v>0.99139966273187186</v>
      </c>
      <c r="L35" s="22">
        <f>1-(1/L34)</f>
        <v>0.83475192028233347</v>
      </c>
      <c r="M35" s="22">
        <f t="shared" ref="M35" si="2">1-(1/M34)</f>
        <v>0.62632794457274832</v>
      </c>
      <c r="N35" s="19" t="s">
        <v>33</v>
      </c>
      <c r="O35" s="22">
        <f t="shared" ref="O35" si="3">1-(1/O34)</f>
        <v>1.123778735632184</v>
      </c>
      <c r="P35" s="22">
        <f t="shared" ref="P35" si="4">1-(1/P34)</f>
        <v>0.98950644087422202</v>
      </c>
      <c r="Q35" s="22">
        <f>1-(1/Q34)</f>
        <v>1.082311320754717</v>
      </c>
      <c r="R35" s="22">
        <f t="shared" ref="R35" si="5">1-(1/R34)</f>
        <v>1.2058914728682171</v>
      </c>
      <c r="S35" s="19" t="s">
        <v>33</v>
      </c>
      <c r="T35" s="22">
        <f t="shared" ref="T35:U35" si="6">1-(1/T34)</f>
        <v>0.78424985629430921</v>
      </c>
      <c r="U35" s="22">
        <f t="shared" si="6"/>
        <v>0.87727991565629937</v>
      </c>
    </row>
    <row r="36" spans="4:21" x14ac:dyDescent="0.2">
      <c r="D36" s="19" t="s">
        <v>25</v>
      </c>
      <c r="E36" s="23">
        <f>E12/E11</f>
        <v>2.1617842196590793</v>
      </c>
      <c r="F36" s="23">
        <f>F12/F11</f>
        <v>2.4667185442356039</v>
      </c>
      <c r="G36" s="23">
        <f>G12/G11</f>
        <v>2.2001284344754826</v>
      </c>
      <c r="H36" s="23">
        <f>H12/H11</f>
        <v>2.0790818463600571</v>
      </c>
      <c r="I36" s="19" t="s">
        <v>25</v>
      </c>
      <c r="J36" s="23">
        <f>J12/J11</f>
        <v>2.8900132514154921</v>
      </c>
      <c r="K36" s="23">
        <f>K12/K11</f>
        <v>3.5885071711059227</v>
      </c>
      <c r="L36" s="23">
        <f>L12/L11</f>
        <v>2.4191455972101132</v>
      </c>
      <c r="M36" s="23">
        <f>M12/M11</f>
        <v>2.8563860639573102</v>
      </c>
      <c r="N36" s="19" t="s">
        <v>25</v>
      </c>
      <c r="O36" s="23">
        <f>O12/O11</f>
        <v>2.9044502394709482</v>
      </c>
      <c r="P36" s="23">
        <f>P12/P11</f>
        <v>2.8705960009901261</v>
      </c>
      <c r="Q36" s="23">
        <f>Q12/Q11</f>
        <v>2.9471658134588479</v>
      </c>
      <c r="R36" s="23">
        <f>R12/R11</f>
        <v>2.8600902293004511</v>
      </c>
      <c r="S36" s="19" t="s">
        <v>25</v>
      </c>
      <c r="T36" s="23">
        <f>T12/T11</f>
        <v>2.4832612848094904</v>
      </c>
      <c r="U36" s="23">
        <f>U12/U11</f>
        <v>2.3245502813218164</v>
      </c>
    </row>
    <row r="37" spans="4:21" x14ac:dyDescent="0.2">
      <c r="D37" s="19" t="s">
        <v>32</v>
      </c>
      <c r="E37" s="20">
        <f>E8/E7</f>
        <v>0.84271099744245526</v>
      </c>
      <c r="F37" s="20">
        <f>F8/F7</f>
        <v>0.7687520471667213</v>
      </c>
      <c r="G37" s="20">
        <f>G8/G7</f>
        <v>0.83348837209302329</v>
      </c>
      <c r="H37" s="20">
        <f>H8/H7</f>
        <v>0.73876507124588964</v>
      </c>
      <c r="I37" s="19" t="s">
        <v>32</v>
      </c>
      <c r="J37" s="20">
        <f>J8/J7</f>
        <v>0.88412852969814992</v>
      </c>
      <c r="K37" s="20">
        <f>K8/K7</f>
        <v>0.59704031297839766</v>
      </c>
      <c r="L37" s="20">
        <f>L8/L7</f>
        <v>1.6488435712509326</v>
      </c>
      <c r="M37" s="20">
        <f>M8/M7</f>
        <v>1.7699115044247787E-2</v>
      </c>
      <c r="N37" s="19" t="s">
        <v>32</v>
      </c>
      <c r="O37" s="20">
        <f>O8/O7</f>
        <v>0.77689701463913574</v>
      </c>
      <c r="P37" s="20">
        <f>P8/P7</f>
        <v>0.83836758575294379</v>
      </c>
      <c r="Q37" s="20">
        <f>Q8/Q7</f>
        <v>0.76427326214861624</v>
      </c>
      <c r="R37" s="20">
        <f>R8/R7</f>
        <v>0.75632124796434386</v>
      </c>
      <c r="S37" s="19" t="s">
        <v>32</v>
      </c>
      <c r="T37" s="20">
        <f>T8/T7</f>
        <v>0.4998778402150012</v>
      </c>
      <c r="U37" s="20">
        <f>U8/U7</f>
        <v>1.2274966951087609</v>
      </c>
    </row>
    <row r="38" spans="4:21" x14ac:dyDescent="0.2">
      <c r="D38" s="8"/>
      <c r="E38" s="9"/>
      <c r="F38" s="9"/>
      <c r="G38" s="9"/>
      <c r="H38" s="9"/>
      <c r="I38" s="8"/>
      <c r="J38" s="9"/>
      <c r="K38" s="9"/>
      <c r="L38" s="9"/>
      <c r="M38" s="9"/>
      <c r="N38" s="8"/>
      <c r="O38" s="9"/>
      <c r="P38" s="9"/>
      <c r="Q38" s="9"/>
      <c r="R38" s="9"/>
      <c r="S38" s="8"/>
      <c r="T38" s="9"/>
      <c r="U38" s="9"/>
    </row>
    <row r="39" spans="4:21" x14ac:dyDescent="0.2">
      <c r="D39" s="19" t="s">
        <v>26</v>
      </c>
      <c r="E39" s="21">
        <f>E16/E20</f>
        <v>0.93813745750283317</v>
      </c>
      <c r="F39" s="21">
        <f>F16/F20</f>
        <v>0.89726212151864593</v>
      </c>
      <c r="G39" s="21">
        <f>G16/G20</f>
        <v>0.98823343848580447</v>
      </c>
      <c r="H39" s="21">
        <f>H16/H20</f>
        <v>1.1440301171583422</v>
      </c>
      <c r="I39" s="19" t="s">
        <v>26</v>
      </c>
      <c r="J39" s="21">
        <f>J16/J20</f>
        <v>0.82394457115806685</v>
      </c>
      <c r="K39" s="21">
        <f>K16/K20</f>
        <v>0.76739512153842904</v>
      </c>
      <c r="L39" s="21">
        <f>L16/L20</f>
        <v>0.80573880149467181</v>
      </c>
      <c r="M39" s="21">
        <f>M16/M20</f>
        <v>1.0260265901580552</v>
      </c>
      <c r="N39" s="19" t="s">
        <v>26</v>
      </c>
      <c r="O39" s="21">
        <f>O16/O20</f>
        <v>1.0926843208230139</v>
      </c>
      <c r="P39" s="21">
        <f>P16/P20</f>
        <v>0.99827294889300389</v>
      </c>
      <c r="Q39" s="21">
        <f>Q16/Q20</f>
        <v>1.1163562087611063</v>
      </c>
      <c r="R39" s="21">
        <f>R16/R20</f>
        <v>1.1785502690284746</v>
      </c>
      <c r="S39" s="19" t="s">
        <v>26</v>
      </c>
      <c r="T39" s="21">
        <f>T16/T20</f>
        <v>1.0780816034359342</v>
      </c>
      <c r="U39" s="21">
        <f>U16/U20</f>
        <v>0.88281770458603137</v>
      </c>
    </row>
    <row r="40" spans="4:21" x14ac:dyDescent="0.2">
      <c r="D40" s="19" t="s">
        <v>35</v>
      </c>
      <c r="E40" s="21">
        <f t="shared" ref="E40:F40" si="7">E23/E14</f>
        <v>1.080994076744785</v>
      </c>
      <c r="F40" s="21">
        <f t="shared" si="7"/>
        <v>0.7074909279419388</v>
      </c>
      <c r="G40" s="21">
        <f>G23/G14</f>
        <v>0.74344521308395251</v>
      </c>
      <c r="H40" s="21">
        <f>H23/H14</f>
        <v>0.45177738927738925</v>
      </c>
      <c r="I40" s="19" t="s">
        <v>35</v>
      </c>
      <c r="J40" s="21">
        <f t="shared" ref="J40:K40" si="8">J23/J14</f>
        <v>0.67512724804886326</v>
      </c>
      <c r="K40" s="21">
        <f t="shared" si="8"/>
        <v>0.57344008834897842</v>
      </c>
      <c r="L40" s="21">
        <f>L23/L14</f>
        <v>0.79143656857553524</v>
      </c>
      <c r="M40" s="21">
        <f>M23/M14</f>
        <v>0.42220689655172416</v>
      </c>
      <c r="N40" s="19" t="s">
        <v>35</v>
      </c>
      <c r="O40" s="21">
        <f t="shared" ref="O40:U40" si="9">O23/O14</f>
        <v>3.5731483210330289E-2</v>
      </c>
      <c r="P40" s="21">
        <f t="shared" si="9"/>
        <v>-6.7827848912751067E-3</v>
      </c>
      <c r="Q40" s="21">
        <f>Q23/Q14</f>
        <v>8.2937853107344639E-2</v>
      </c>
      <c r="R40" s="21">
        <f>R23/R14</f>
        <v>0.11406570653767224</v>
      </c>
      <c r="S40" s="19" t="s">
        <v>35</v>
      </c>
      <c r="T40" s="21">
        <f t="shared" ref="T40" si="10">T23/T14</f>
        <v>0.43364902192908283</v>
      </c>
      <c r="U40" s="21">
        <f t="shared" si="9"/>
        <v>0.76889441591784335</v>
      </c>
    </row>
    <row r="41" spans="4:21" x14ac:dyDescent="0.2">
      <c r="D41" s="19" t="s">
        <v>39</v>
      </c>
      <c r="E41" s="20">
        <f t="shared" ref="E41:U41" si="11">(E19+E18-E21)/E4</f>
        <v>-3.3325678468666839E-2</v>
      </c>
      <c r="F41" s="20">
        <f t="shared" si="11"/>
        <v>-1.8488177846312001E-2</v>
      </c>
      <c r="G41" s="20">
        <f>(G19+G18-G21)/G4</f>
        <v>-3.7614912151583683E-2</v>
      </c>
      <c r="H41" s="20">
        <f>(H19+H18-H21)/H4</f>
        <v>-6.3621694602693707E-2</v>
      </c>
      <c r="I41" s="19" t="s">
        <v>36</v>
      </c>
      <c r="J41" s="20">
        <f t="shared" si="11"/>
        <v>-1.219976089555483E-2</v>
      </c>
      <c r="K41" s="20">
        <f t="shared" si="11"/>
        <v>-1.0687600491818784E-2</v>
      </c>
      <c r="L41" s="20">
        <f>(L19+L18-L21)/L4</f>
        <v>-4.8674979433758217E-2</v>
      </c>
      <c r="M41" s="20">
        <f t="shared" ref="M41" si="12">(M19+M18-M21)/M4</f>
        <v>-8.0033688679680651E-2</v>
      </c>
      <c r="N41" s="19" t="s">
        <v>36</v>
      </c>
      <c r="O41" s="20">
        <f t="shared" si="11"/>
        <v>0.19601100704264168</v>
      </c>
      <c r="P41" s="20">
        <f t="shared" si="11"/>
        <v>0.15714223480723155</v>
      </c>
      <c r="Q41" s="20">
        <f>(Q19+Q18-Q21)/Q4</f>
        <v>0.19478925868456887</v>
      </c>
      <c r="R41" s="20">
        <f t="shared" ref="R41" si="13">(R19+R18-R21)/R4</f>
        <v>0.200866818614167</v>
      </c>
      <c r="S41" s="19" t="s">
        <v>36</v>
      </c>
      <c r="T41" s="20">
        <f t="shared" ref="T41" si="14">(T19+T18-T21)/T4</f>
        <v>-7.3271826877416735E-2</v>
      </c>
      <c r="U41" s="20">
        <f t="shared" si="11"/>
        <v>-4.4156397948807664E-2</v>
      </c>
    </row>
    <row r="42" spans="4:21" x14ac:dyDescent="0.2">
      <c r="D42" s="19" t="s">
        <v>37</v>
      </c>
      <c r="E42" s="21">
        <f t="shared" ref="E42:U42" si="15">E4/E18</f>
        <v>11.032339791356184</v>
      </c>
      <c r="F42" s="21">
        <f t="shared" si="15"/>
        <v>8.5410893126629173</v>
      </c>
      <c r="G42" s="21">
        <f>G4/G18</f>
        <v>11.920721008135269</v>
      </c>
      <c r="H42" s="21">
        <f>H4/H18</f>
        <v>11.318300409988819</v>
      </c>
      <c r="I42" s="19" t="s">
        <v>37</v>
      </c>
      <c r="J42" s="21">
        <f t="shared" si="15"/>
        <v>10.324668038152234</v>
      </c>
      <c r="K42" s="21">
        <f t="shared" si="15"/>
        <v>8.1821699427333225</v>
      </c>
      <c r="L42" s="21">
        <f>L4/L18</f>
        <v>11.128060069944455</v>
      </c>
      <c r="M42" s="21">
        <f t="shared" ref="M42" si="16">M4/M18</f>
        <v>10.708673091178651</v>
      </c>
      <c r="N42" s="19" t="s">
        <v>37</v>
      </c>
      <c r="O42" s="21">
        <f t="shared" si="15"/>
        <v>5.1557328669799976</v>
      </c>
      <c r="P42" s="21">
        <f t="shared" si="15"/>
        <v>5.679821848323642</v>
      </c>
      <c r="Q42" s="21">
        <f>Q4/Q18</f>
        <v>5.4048179367592315</v>
      </c>
      <c r="R42" s="21">
        <f t="shared" ref="R42" si="17">R4/R18</f>
        <v>5.0860050658330103</v>
      </c>
      <c r="S42" s="19" t="s">
        <v>37</v>
      </c>
      <c r="T42" s="21">
        <f t="shared" ref="T42" si="18">T4/T18</f>
        <v>10.951708766716196</v>
      </c>
      <c r="U42" s="21">
        <f t="shared" si="15"/>
        <v>11.438809330248265</v>
      </c>
    </row>
    <row r="43" spans="4:21" x14ac:dyDescent="0.2">
      <c r="D43" s="19" t="s">
        <v>40</v>
      </c>
      <c r="E43" s="20">
        <f t="shared" ref="E43:F43" si="19">(E14-E17)/E10</f>
        <v>-0.12364411157024793</v>
      </c>
      <c r="F43" s="20">
        <f t="shared" si="19"/>
        <v>-7.2140205473538804E-2</v>
      </c>
      <c r="G43" s="20">
        <f>(G14-G17)/G10</f>
        <v>-8.7779147435713675E-2</v>
      </c>
      <c r="H43" s="20">
        <f>(H14-H17)/H10</f>
        <v>-0.12467691470548224</v>
      </c>
      <c r="I43" s="19" t="s">
        <v>40</v>
      </c>
      <c r="J43" s="20">
        <f t="shared" ref="J43:K43" si="20">(J14-J17)/J10</f>
        <v>2.3587583743664386E-2</v>
      </c>
      <c r="K43" s="20">
        <f t="shared" si="20"/>
        <v>5.6823019969054714E-2</v>
      </c>
      <c r="L43" s="20">
        <f>(L14-L17)/L10</f>
        <v>-1.8583493125535474E-2</v>
      </c>
      <c r="M43" s="20">
        <f>(M14-M17)/M10</f>
        <v>-2.1016745212072595E-2</v>
      </c>
      <c r="N43" s="19" t="s">
        <v>40</v>
      </c>
      <c r="O43" s="20">
        <f t="shared" ref="O43:U43" si="21">(O14-O17)/O10</f>
        <v>0.38104924960057274</v>
      </c>
      <c r="P43" s="20">
        <f t="shared" si="21"/>
        <v>0.37009140369451887</v>
      </c>
      <c r="Q43" s="20">
        <f>(Q14-Q17)/Q10</f>
        <v>0.3911357159101852</v>
      </c>
      <c r="R43" s="20">
        <f>(R14-R17)/R10</f>
        <v>0.37093101381172128</v>
      </c>
      <c r="S43" s="19" t="s">
        <v>40</v>
      </c>
      <c r="T43" s="20">
        <f t="shared" ref="T43" si="22">(T14-T17)/T10</f>
        <v>-6.5002308935580691E-2</v>
      </c>
      <c r="U43" s="20">
        <f t="shared" si="21"/>
        <v>-4.7351170967165249E-2</v>
      </c>
    </row>
    <row r="44" spans="4:21" x14ac:dyDescent="0.2">
      <c r="D44" s="8"/>
      <c r="E44" s="9"/>
      <c r="F44" s="9"/>
      <c r="G44" s="9"/>
      <c r="H44" s="9"/>
      <c r="I44" s="10"/>
      <c r="L44" s="10"/>
      <c r="M44" s="10"/>
    </row>
    <row r="45" spans="4:21" x14ac:dyDescent="0.2">
      <c r="D45" s="8"/>
      <c r="E45" s="9"/>
      <c r="F45" s="9"/>
      <c r="G45" s="9"/>
      <c r="H45" s="9"/>
      <c r="I45" s="10"/>
      <c r="L45" s="10"/>
      <c r="M45" s="10"/>
    </row>
    <row r="46" spans="4:21" x14ac:dyDescent="0.2">
      <c r="D46" s="88" t="s">
        <v>47</v>
      </c>
      <c r="E46" s="9">
        <f>E23/E12</f>
        <v>0.19819160489163795</v>
      </c>
      <c r="F46" s="9">
        <f t="shared" ref="F46:H46" si="23">F23/F12</f>
        <v>0.13247106214661847</v>
      </c>
      <c r="G46" s="9">
        <f t="shared" si="23"/>
        <v>0.18148650057333474</v>
      </c>
      <c r="H46" s="9">
        <f t="shared" si="23"/>
        <v>0.12494963333064711</v>
      </c>
      <c r="I46" s="10"/>
      <c r="J46" s="9">
        <f>J23/J12</f>
        <v>0.13822426010837849</v>
      </c>
      <c r="K46" s="9">
        <f t="shared" ref="K46:M46" si="24">K23/K12</f>
        <v>0.13789303165498193</v>
      </c>
      <c r="L46" s="9">
        <f t="shared" si="24"/>
        <v>0.15081664720552407</v>
      </c>
      <c r="M46" s="9">
        <f t="shared" si="24"/>
        <v>0.12431466515046907</v>
      </c>
      <c r="O46" s="9">
        <f>O23/O12</f>
        <v>2.1337151642831575E-2</v>
      </c>
      <c r="P46" s="9">
        <f t="shared" ref="P46:R46" si="25">P23/P12</f>
        <v>-3.7845399149197103E-3</v>
      </c>
      <c r="Q46" s="9">
        <f t="shared" si="25"/>
        <v>4.9346907414521704E-2</v>
      </c>
      <c r="R46" s="9">
        <f t="shared" si="25"/>
        <v>6.7604953153549391E-2</v>
      </c>
    </row>
    <row r="47" spans="4:21" x14ac:dyDescent="0.2">
      <c r="D47" s="8"/>
      <c r="E47" s="9"/>
      <c r="F47" s="9"/>
      <c r="G47" s="9"/>
      <c r="H47" s="9"/>
      <c r="I47" s="10"/>
      <c r="L47" s="10"/>
      <c r="M47" s="10"/>
    </row>
    <row r="48" spans="4:21" x14ac:dyDescent="0.2">
      <c r="D48" s="8"/>
      <c r="E48" s="9"/>
      <c r="F48" s="9"/>
      <c r="G48" s="9"/>
      <c r="H48" s="9"/>
      <c r="I48" s="10"/>
      <c r="L48" s="10"/>
      <c r="M48" s="10"/>
    </row>
    <row r="49" spans="4:13" x14ac:dyDescent="0.2">
      <c r="D49" s="8"/>
      <c r="E49" s="9"/>
      <c r="F49" s="9"/>
      <c r="G49" s="9"/>
      <c r="H49" s="9"/>
      <c r="I49" s="10"/>
      <c r="L49" s="10"/>
      <c r="M49" s="10"/>
    </row>
    <row r="50" spans="4:13" x14ac:dyDescent="0.2">
      <c r="D50" s="8"/>
      <c r="E50" s="9"/>
      <c r="F50" s="9"/>
      <c r="G50" s="9"/>
      <c r="H50" s="9"/>
      <c r="I50" s="10"/>
      <c r="L50" s="10"/>
      <c r="M50" s="10"/>
    </row>
    <row r="51" spans="4:13" x14ac:dyDescent="0.2">
      <c r="D51" s="24" t="s">
        <v>6</v>
      </c>
      <c r="E51" s="4">
        <v>2018</v>
      </c>
      <c r="F51" s="4">
        <v>2017</v>
      </c>
      <c r="G51" s="4">
        <v>2019</v>
      </c>
      <c r="H51" s="4">
        <v>2020</v>
      </c>
      <c r="I51" s="24" t="s">
        <v>8</v>
      </c>
      <c r="J51" s="4">
        <v>2018</v>
      </c>
      <c r="K51" s="4">
        <v>2017</v>
      </c>
      <c r="L51" s="4">
        <v>2019</v>
      </c>
      <c r="M51" s="4">
        <v>2020</v>
      </c>
    </row>
    <row r="52" spans="4:13" x14ac:dyDescent="0.2">
      <c r="D52" s="3" t="s">
        <v>2</v>
      </c>
      <c r="E52" s="34">
        <f>E26</f>
        <v>0.16816372358885373</v>
      </c>
      <c r="F52" s="34">
        <f>F26</f>
        <v>0.14048844726445589</v>
      </c>
      <c r="G52" s="34">
        <f>G26</f>
        <v>0.1643961286179533</v>
      </c>
      <c r="H52" s="34">
        <f>H26</f>
        <v>8.4694646896205081E-2</v>
      </c>
      <c r="I52" s="3" t="s">
        <v>2</v>
      </c>
      <c r="J52" s="34">
        <f>E30</f>
        <v>5.9437772704553742E-2</v>
      </c>
      <c r="K52" s="34">
        <f>F30</f>
        <v>4.9376766897969673E-2</v>
      </c>
      <c r="L52" s="34">
        <f>G30</f>
        <v>6.2464037681818789E-2</v>
      </c>
      <c r="M52" s="34">
        <f>H30</f>
        <v>5.0284848684427175E-2</v>
      </c>
    </row>
    <row r="53" spans="4:13" x14ac:dyDescent="0.2">
      <c r="D53" s="6" t="s">
        <v>1</v>
      </c>
      <c r="E53" s="34">
        <f>J26</f>
        <v>0.14584588202224633</v>
      </c>
      <c r="F53" s="34">
        <f>K26</f>
        <v>0.16724639062276647</v>
      </c>
      <c r="G53" s="34">
        <f>L26</f>
        <v>0.23121185701830863</v>
      </c>
      <c r="H53" s="34">
        <f>M26</f>
        <v>9.2803835891883536E-4</v>
      </c>
      <c r="I53" s="6" t="s">
        <v>1</v>
      </c>
      <c r="J53" s="34">
        <f>J30</f>
        <v>4.4641886751440062E-2</v>
      </c>
      <c r="K53" s="34">
        <f>K30</f>
        <v>5.6086257448217158E-2</v>
      </c>
      <c r="L53" s="34">
        <f>L30</f>
        <v>4.4524758057807312E-2</v>
      </c>
      <c r="M53" s="34">
        <f>M30</f>
        <v>2.4978079283769439E-2</v>
      </c>
    </row>
    <row r="54" spans="4:13" x14ac:dyDescent="0.2">
      <c r="D54" s="7" t="s">
        <v>3</v>
      </c>
      <c r="E54" s="34">
        <f>O26</f>
        <v>0.10356905455847011</v>
      </c>
      <c r="F54" s="34">
        <f>P26</f>
        <v>0.10509089908963393</v>
      </c>
      <c r="G54" s="34">
        <f>Q26</f>
        <v>0.11345642170301898</v>
      </c>
      <c r="H54" s="34">
        <f>R26</f>
        <v>6.8518360342591803E-2</v>
      </c>
      <c r="I54" s="7" t="s">
        <v>3</v>
      </c>
      <c r="J54" s="34">
        <f>O30</f>
        <v>5.9020814164995397E-2</v>
      </c>
      <c r="K54" s="34">
        <f>P30</f>
        <v>6.019603572206491E-2</v>
      </c>
      <c r="L54" s="34">
        <f>Q30</f>
        <v>6.7133221444630922E-2</v>
      </c>
      <c r="M54" s="34">
        <f>R30</f>
        <v>4.3408230290195797E-2</v>
      </c>
    </row>
    <row r="55" spans="4:13" hidden="1" x14ac:dyDescent="0.2">
      <c r="D55" s="11" t="s">
        <v>27</v>
      </c>
      <c r="E55" s="9"/>
      <c r="F55" s="9"/>
      <c r="G55" s="34">
        <f>U26</f>
        <v>0.20235359378714637</v>
      </c>
      <c r="H55" s="34">
        <f>T26</f>
        <v>4.1138031567306728E-2</v>
      </c>
      <c r="I55" s="11" t="s">
        <v>27</v>
      </c>
      <c r="J55" s="9"/>
      <c r="K55" s="9"/>
      <c r="L55" s="34">
        <f>U30</f>
        <v>5.1853836145157942E-2</v>
      </c>
      <c r="M55" s="34">
        <f>T30</f>
        <v>3.5404653686995455E-2</v>
      </c>
    </row>
    <row r="56" spans="4:13" x14ac:dyDescent="0.2">
      <c r="D56" s="35" t="s">
        <v>45</v>
      </c>
      <c r="E56" s="34">
        <f t="shared" ref="E56:F56" si="26">AVERAGE(E52:E54)</f>
        <v>0.13919288672319005</v>
      </c>
      <c r="F56" s="34">
        <f t="shared" si="26"/>
        <v>0.13760857899228543</v>
      </c>
      <c r="G56" s="34">
        <f>AVERAGE(G52:G54)</f>
        <v>0.1696881357797603</v>
      </c>
      <c r="H56" s="34">
        <f>AVERAGE(H52:H54)</f>
        <v>5.1380348532571903E-2</v>
      </c>
      <c r="I56" s="35" t="s">
        <v>45</v>
      </c>
      <c r="J56" s="34">
        <f t="shared" ref="J56:K56" si="27">AVERAGE(J52:J54)</f>
        <v>5.4366824540329733E-2</v>
      </c>
      <c r="K56" s="34">
        <f t="shared" si="27"/>
        <v>5.5219686689417243E-2</v>
      </c>
      <c r="L56" s="34">
        <f>AVERAGE(L52:L54)</f>
        <v>5.8040672394752336E-2</v>
      </c>
      <c r="M56" s="34">
        <f>AVERAGE(M52:M54)</f>
        <v>3.9557052752797472E-2</v>
      </c>
    </row>
    <row r="57" spans="4:13" x14ac:dyDescent="0.2">
      <c r="D57" s="8"/>
      <c r="E57" s="9"/>
      <c r="F57" s="9"/>
      <c r="G57" s="9"/>
      <c r="H57" s="9"/>
      <c r="I57" s="8"/>
      <c r="L57" s="8"/>
      <c r="M57" s="8"/>
    </row>
    <row r="58" spans="4:13" x14ac:dyDescent="0.2">
      <c r="D58" s="25" t="s">
        <v>0</v>
      </c>
      <c r="E58" s="4">
        <v>2018</v>
      </c>
      <c r="F58" s="4">
        <v>2017</v>
      </c>
      <c r="G58" s="4">
        <v>2019</v>
      </c>
      <c r="H58" s="4">
        <v>2020</v>
      </c>
      <c r="I58" s="24" t="s">
        <v>4</v>
      </c>
      <c r="J58" s="4">
        <v>2018</v>
      </c>
      <c r="K58" s="4">
        <v>2017</v>
      </c>
      <c r="L58" s="4">
        <v>2019</v>
      </c>
      <c r="M58" s="4">
        <v>2020</v>
      </c>
    </row>
    <row r="59" spans="4:13" x14ac:dyDescent="0.2">
      <c r="D59" s="3" t="s">
        <v>2</v>
      </c>
      <c r="E59" s="34">
        <f>E29</f>
        <v>7.1022727272727279E-2</v>
      </c>
      <c r="F59" s="34">
        <f>F29</f>
        <v>5.3077786411119744E-2</v>
      </c>
      <c r="G59" s="34">
        <f>G29</f>
        <v>6.6909382793911079E-2</v>
      </c>
      <c r="H59" s="34">
        <f>H29</f>
        <v>4.1545367977145968E-2</v>
      </c>
      <c r="I59" s="3" t="s">
        <v>2</v>
      </c>
      <c r="J59" s="34">
        <f>E32</f>
        <v>9.9895983897767035E-2</v>
      </c>
      <c r="K59" s="34">
        <f>F32</f>
        <v>9.3308275507581598E-2</v>
      </c>
      <c r="L59" s="34">
        <f>G32</f>
        <v>0.11220243272537501</v>
      </c>
      <c r="M59" s="34">
        <f>H32</f>
        <v>0.1171008002107551</v>
      </c>
    </row>
    <row r="60" spans="4:13" x14ac:dyDescent="0.2">
      <c r="D60" s="6" t="s">
        <v>1</v>
      </c>
      <c r="E60" s="34">
        <f>J29</f>
        <v>5.0881050447493109E-2</v>
      </c>
      <c r="F60" s="34">
        <f>K29</f>
        <v>6.1579040280792113E-2</v>
      </c>
      <c r="G60" s="34">
        <f>L29</f>
        <v>4.9131002407082534E-2</v>
      </c>
      <c r="H60" s="34">
        <f>M29</f>
        <v>2.1708613255790633E-2</v>
      </c>
      <c r="I60" s="6" t="s">
        <v>1</v>
      </c>
      <c r="J60" s="34">
        <f>J32</f>
        <v>9.4518711734231792E-2</v>
      </c>
      <c r="K60" s="34">
        <f>K32</f>
        <v>0.10785964248557647</v>
      </c>
      <c r="L60" s="34">
        <f>L32</f>
        <v>9.4854280089104973E-2</v>
      </c>
      <c r="M60" s="34">
        <f>M32</f>
        <v>8.4313996954174172E-2</v>
      </c>
    </row>
    <row r="61" spans="4:13" x14ac:dyDescent="0.2">
      <c r="D61" s="7" t="s">
        <v>3</v>
      </c>
      <c r="E61" s="37">
        <f>O29</f>
        <v>3.0382664419979222E-2</v>
      </c>
      <c r="F61" s="37">
        <f>P29</f>
        <v>3.2729107304005516E-2</v>
      </c>
      <c r="G61" s="37">
        <f>Q29</f>
        <v>3.4749042659776956E-2</v>
      </c>
      <c r="H61" s="37">
        <f>R29</f>
        <v>1.9462336606894996E-2</v>
      </c>
      <c r="I61" s="7" t="s">
        <v>3</v>
      </c>
      <c r="J61" s="34">
        <f>O32</f>
        <v>0.1546794771230745</v>
      </c>
      <c r="K61" s="34">
        <f>P32</f>
        <v>0.15675887606186015</v>
      </c>
      <c r="L61" s="34">
        <f>Q32</f>
        <v>0.1638707685487191</v>
      </c>
      <c r="M61" s="34">
        <f>R32</f>
        <v>0.16486154232695036</v>
      </c>
    </row>
    <row r="62" spans="4:13" hidden="1" x14ac:dyDescent="0.2">
      <c r="D62" s="11" t="s">
        <v>27</v>
      </c>
      <c r="G62" s="37">
        <f>U29</f>
        <v>5.6522257314820336E-2</v>
      </c>
      <c r="H62" s="37">
        <f>T29</f>
        <v>3.0125836989148003E-2</v>
      </c>
      <c r="I62" s="11" t="s">
        <v>27</v>
      </c>
      <c r="J62" s="9"/>
      <c r="K62" s="9"/>
      <c r="L62" s="34">
        <f>U32</f>
        <v>0.10194185372680654</v>
      </c>
      <c r="M62" s="34">
        <f>T32</f>
        <v>9.7822400108540805E-2</v>
      </c>
    </row>
    <row r="63" spans="4:13" x14ac:dyDescent="0.2">
      <c r="D63" s="35" t="s">
        <v>45</v>
      </c>
      <c r="E63" s="34">
        <f t="shared" ref="E63:F63" si="28">AVERAGE(E59:E61)</f>
        <v>5.0762147380066534E-2</v>
      </c>
      <c r="F63" s="34">
        <f t="shared" si="28"/>
        <v>4.9128644665305789E-2</v>
      </c>
      <c r="G63" s="34">
        <f>AVERAGE(G59:G61)</f>
        <v>5.0263142620256857E-2</v>
      </c>
      <c r="H63" s="34">
        <f>AVERAGE(H59:H61)</f>
        <v>2.7572105946610536E-2</v>
      </c>
      <c r="I63" s="35" t="s">
        <v>45</v>
      </c>
      <c r="J63" s="34">
        <f t="shared" ref="J63:K63" si="29">AVERAGE(J59:J61)</f>
        <v>0.1163647242516911</v>
      </c>
      <c r="K63" s="34">
        <f t="shared" si="29"/>
        <v>0.11930893135167275</v>
      </c>
      <c r="L63" s="34">
        <f>AVERAGE(L59:L61)</f>
        <v>0.12364249378773302</v>
      </c>
      <c r="M63" s="34">
        <f>AVERAGE(M59:M61)</f>
        <v>0.12209211316395989</v>
      </c>
    </row>
    <row r="65" spans="4:13" x14ac:dyDescent="0.2">
      <c r="D65" s="26" t="s">
        <v>28</v>
      </c>
      <c r="E65" s="28">
        <v>2018</v>
      </c>
      <c r="F65" s="28">
        <v>2017</v>
      </c>
      <c r="G65" s="27">
        <v>2019</v>
      </c>
      <c r="H65" s="4">
        <v>2020</v>
      </c>
      <c r="I65" s="24" t="s">
        <v>9</v>
      </c>
      <c r="J65" s="4">
        <v>2018</v>
      </c>
      <c r="K65" s="4">
        <v>2017</v>
      </c>
      <c r="L65" s="4">
        <v>2019</v>
      </c>
      <c r="M65" s="4">
        <v>2020</v>
      </c>
    </row>
    <row r="66" spans="4:13" x14ac:dyDescent="0.2">
      <c r="D66" s="29" t="s">
        <v>2</v>
      </c>
      <c r="E66" s="38">
        <f>E36</f>
        <v>2.1617842196590793</v>
      </c>
      <c r="F66" s="38">
        <f>F36</f>
        <v>2.4667185442356039</v>
      </c>
      <c r="G66" s="38">
        <f>G36</f>
        <v>2.2001284344754826</v>
      </c>
      <c r="H66" s="38">
        <f>H36</f>
        <v>2.0790818463600571</v>
      </c>
      <c r="I66" s="3" t="s">
        <v>2</v>
      </c>
      <c r="J66" s="36">
        <f>E31</f>
        <v>1.1949089617768596</v>
      </c>
      <c r="K66" s="36">
        <f>F31</f>
        <v>1.074954674954675</v>
      </c>
      <c r="L66" s="36">
        <f>G31</f>
        <v>1.0711664707737294</v>
      </c>
      <c r="M66" s="36">
        <f>H31</f>
        <v>0.82620051693647123</v>
      </c>
    </row>
    <row r="67" spans="4:13" x14ac:dyDescent="0.2">
      <c r="D67" s="31" t="s">
        <v>1</v>
      </c>
      <c r="E67" s="38">
        <f>J36</f>
        <v>2.8900132514154921</v>
      </c>
      <c r="F67" s="38">
        <f>K36</f>
        <v>3.5885071711059227</v>
      </c>
      <c r="G67" s="38">
        <f>L36</f>
        <v>2.4191455972101132</v>
      </c>
      <c r="H67" s="38">
        <f>M36</f>
        <v>2.8563860639573102</v>
      </c>
      <c r="I67" s="6" t="s">
        <v>1</v>
      </c>
      <c r="J67" s="36">
        <f>J31</f>
        <v>1.1397603047288718</v>
      </c>
      <c r="K67" s="36">
        <f>K31</f>
        <v>1.0979345579912565</v>
      </c>
      <c r="L67" s="36">
        <f>L31</f>
        <v>1.1034535514666883</v>
      </c>
      <c r="M67" s="36">
        <f>M31</f>
        <v>0.86910658778702499</v>
      </c>
    </row>
    <row r="68" spans="4:13" x14ac:dyDescent="0.2">
      <c r="D68" s="32" t="s">
        <v>3</v>
      </c>
      <c r="E68" s="38">
        <f>O36</f>
        <v>2.9044502394709482</v>
      </c>
      <c r="F68" s="38">
        <f>P36</f>
        <v>2.8705960009901261</v>
      </c>
      <c r="G68" s="38">
        <f>Q36</f>
        <v>2.9471658134588479</v>
      </c>
      <c r="H68" s="38">
        <f>R36</f>
        <v>2.8600902293004511</v>
      </c>
      <c r="I68" s="7" t="s">
        <v>3</v>
      </c>
      <c r="J68" s="36">
        <f>O31</f>
        <v>0.51477880896463213</v>
      </c>
      <c r="K68" s="36">
        <f>P31</f>
        <v>0.54370868299569153</v>
      </c>
      <c r="L68" s="36">
        <f>Q31</f>
        <v>0.51761321610995126</v>
      </c>
      <c r="M68" s="36">
        <f>R31</f>
        <v>0.44835591031433436</v>
      </c>
    </row>
    <row r="69" spans="4:13" hidden="1" x14ac:dyDescent="0.2">
      <c r="D69" s="33" t="s">
        <v>27</v>
      </c>
      <c r="E69" s="30"/>
      <c r="F69" s="30"/>
      <c r="G69" s="38">
        <f>U36</f>
        <v>2.3245502813218164</v>
      </c>
      <c r="H69" s="38">
        <f>T36</f>
        <v>2.4832612848094904</v>
      </c>
      <c r="I69" s="11" t="s">
        <v>27</v>
      </c>
      <c r="J69" s="9"/>
      <c r="K69" s="9"/>
      <c r="L69" s="36">
        <f>U31</f>
        <v>1.0900303915142124</v>
      </c>
      <c r="M69" s="36">
        <f>T31</f>
        <v>0.85090048487647196</v>
      </c>
    </row>
    <row r="70" spans="4:13" x14ac:dyDescent="0.2">
      <c r="D70" s="35" t="s">
        <v>45</v>
      </c>
      <c r="E70" s="39">
        <f t="shared" ref="E70:F70" si="30">AVERAGE(E66:E68)</f>
        <v>2.65208257018184</v>
      </c>
      <c r="F70" s="39">
        <f t="shared" si="30"/>
        <v>2.9752739054438844</v>
      </c>
      <c r="G70" s="39">
        <f>AVERAGE(G66:G68)</f>
        <v>2.5221466150481477</v>
      </c>
      <c r="H70" s="39">
        <f>AVERAGE(H66:H68)</f>
        <v>2.5985193798726063</v>
      </c>
      <c r="I70" s="35" t="s">
        <v>45</v>
      </c>
      <c r="J70" s="39">
        <f t="shared" ref="J70:K70" si="31">AVERAGE(J66:J68)</f>
        <v>0.94981602515678765</v>
      </c>
      <c r="K70" s="39">
        <f t="shared" si="31"/>
        <v>0.90553263864720768</v>
      </c>
      <c r="L70" s="39">
        <f>AVERAGE(L66:L68)</f>
        <v>0.89741107945012288</v>
      </c>
      <c r="M70" s="39">
        <f>AVERAGE(M66:M68)</f>
        <v>0.71455433834594351</v>
      </c>
    </row>
    <row r="74" spans="4:13" x14ac:dyDescent="0.2">
      <c r="D74" s="25" t="s">
        <v>31</v>
      </c>
      <c r="E74" s="4">
        <v>2018</v>
      </c>
      <c r="F74" s="4">
        <v>2017</v>
      </c>
      <c r="G74" s="4">
        <v>2019</v>
      </c>
      <c r="H74" s="4">
        <v>2020</v>
      </c>
    </row>
    <row r="75" spans="4:13" x14ac:dyDescent="0.2">
      <c r="D75" s="3" t="s">
        <v>2</v>
      </c>
      <c r="E75" s="39">
        <f t="shared" ref="E75:F75" si="32">E59/E$63</f>
        <v>1.3991277150071224</v>
      </c>
      <c r="F75" s="39">
        <f t="shared" si="32"/>
        <v>1.0803836900593922</v>
      </c>
      <c r="G75" s="39">
        <f>G59/G$63</f>
        <v>1.3311818423177049</v>
      </c>
      <c r="H75" s="39">
        <f>H59/H$63</f>
        <v>1.5067897989944137</v>
      </c>
    </row>
    <row r="76" spans="4:13" x14ac:dyDescent="0.2">
      <c r="D76" s="6" t="s">
        <v>1</v>
      </c>
      <c r="E76" s="39">
        <f t="shared" ref="E76:F77" si="33">E60/E$63</f>
        <v>1.0023423569246652</v>
      </c>
      <c r="F76" s="39">
        <f t="shared" si="33"/>
        <v>1.253424365770845</v>
      </c>
      <c r="G76" s="39">
        <f>G60/G$63</f>
        <v>0.97747573760503281</v>
      </c>
      <c r="H76" s="39">
        <f>H60/H$63</f>
        <v>0.78733968663207221</v>
      </c>
    </row>
    <row r="77" spans="4:13" x14ac:dyDescent="0.2">
      <c r="D77" s="7" t="s">
        <v>3</v>
      </c>
      <c r="E77" s="39">
        <f t="shared" si="33"/>
        <v>0.59852992806821248</v>
      </c>
      <c r="F77" s="39">
        <f t="shared" si="33"/>
        <v>0.66619194416976291</v>
      </c>
      <c r="G77" s="39">
        <f>G61/G$63</f>
        <v>0.69134242007726221</v>
      </c>
      <c r="H77" s="39">
        <f>H61/H$63</f>
        <v>0.70587051437351378</v>
      </c>
    </row>
    <row r="79" spans="4:13" x14ac:dyDescent="0.2">
      <c r="D79" s="26" t="s">
        <v>30</v>
      </c>
      <c r="E79" s="28">
        <v>2018</v>
      </c>
      <c r="F79" s="28">
        <v>2017</v>
      </c>
      <c r="G79" s="27">
        <v>2019</v>
      </c>
      <c r="H79" s="4">
        <v>2020</v>
      </c>
    </row>
    <row r="80" spans="4:13" x14ac:dyDescent="0.2">
      <c r="D80" s="29" t="s">
        <v>2</v>
      </c>
      <c r="E80" s="38">
        <f t="shared" ref="E80:F80" si="34">E66/E$70</f>
        <v>0.81512704165574168</v>
      </c>
      <c r="F80" s="38">
        <f t="shared" si="34"/>
        <v>0.82907275855249085</v>
      </c>
      <c r="G80" s="38">
        <f>G66/G$70</f>
        <v>0.8723237663300879</v>
      </c>
      <c r="H80" s="38">
        <f>H66/H$70</f>
        <v>0.80010249777778653</v>
      </c>
    </row>
    <row r="81" spans="4:8" x14ac:dyDescent="0.2">
      <c r="D81" s="31" t="s">
        <v>1</v>
      </c>
      <c r="E81" s="38">
        <f t="shared" ref="E81:F81" si="35">E67/E$70</f>
        <v>1.089714658174213</v>
      </c>
      <c r="F81" s="38">
        <f t="shared" si="35"/>
        <v>1.2061098524542564</v>
      </c>
      <c r="G81" s="38">
        <f>G67/G$70</f>
        <v>0.95916136785090578</v>
      </c>
      <c r="H81" s="38">
        <f>H67/H$70</f>
        <v>1.0992360057354453</v>
      </c>
    </row>
    <row r="82" spans="4:8" x14ac:dyDescent="0.2">
      <c r="D82" s="32" t="s">
        <v>3</v>
      </c>
      <c r="E82" s="38">
        <f t="shared" ref="E82:F82" si="36">E68/E$70</f>
        <v>1.0951583001700451</v>
      </c>
      <c r="F82" s="38">
        <f t="shared" si="36"/>
        <v>0.96481738899325264</v>
      </c>
      <c r="G82" s="38">
        <f>G68/G$70</f>
        <v>1.1685148658190065</v>
      </c>
      <c r="H82" s="38">
        <f>H68/H$70</f>
        <v>1.100661496486768</v>
      </c>
    </row>
    <row r="87" spans="4:8" x14ac:dyDescent="0.2">
      <c r="D87" s="25" t="s">
        <v>26</v>
      </c>
      <c r="E87" s="4">
        <v>2018</v>
      </c>
      <c r="F87" s="4">
        <v>2017</v>
      </c>
      <c r="G87" s="4">
        <v>2019</v>
      </c>
      <c r="H87" s="4">
        <v>2020</v>
      </c>
    </row>
    <row r="88" spans="4:8" x14ac:dyDescent="0.2">
      <c r="D88" s="3" t="s">
        <v>2</v>
      </c>
      <c r="E88" s="39">
        <v>0.93813745750283317</v>
      </c>
      <c r="F88" s="39">
        <v>0.89726212151864593</v>
      </c>
      <c r="G88" s="39">
        <v>0.98823343848580447</v>
      </c>
      <c r="H88" s="39">
        <f>H39</f>
        <v>1.1440301171583422</v>
      </c>
    </row>
    <row r="89" spans="4:8" x14ac:dyDescent="0.2">
      <c r="D89" s="6" t="s">
        <v>1</v>
      </c>
      <c r="E89" s="39">
        <v>0.82394457115806685</v>
      </c>
      <c r="F89" s="39">
        <v>0.76739512153842904</v>
      </c>
      <c r="G89" s="39">
        <v>0.80573880149467181</v>
      </c>
      <c r="H89" s="39">
        <f>M39</f>
        <v>1.0260265901580552</v>
      </c>
    </row>
    <row r="90" spans="4:8" x14ac:dyDescent="0.2">
      <c r="D90" s="7" t="s">
        <v>3</v>
      </c>
      <c r="E90" s="41">
        <v>1.0926843208230139</v>
      </c>
      <c r="F90" s="41">
        <v>0.99827294889300389</v>
      </c>
      <c r="G90" s="41">
        <v>1.1163562087611063</v>
      </c>
      <c r="H90" s="41">
        <f>R39</f>
        <v>1.1785502690284746</v>
      </c>
    </row>
    <row r="92" spans="4:8" x14ac:dyDescent="0.2">
      <c r="D92" s="25" t="s">
        <v>35</v>
      </c>
      <c r="E92" s="4">
        <v>2018</v>
      </c>
      <c r="F92" s="4">
        <v>2017</v>
      </c>
      <c r="G92" s="4">
        <v>2019</v>
      </c>
      <c r="H92" s="4">
        <v>2020</v>
      </c>
    </row>
    <row r="93" spans="4:8" x14ac:dyDescent="0.2">
      <c r="D93" s="3" t="s">
        <v>2</v>
      </c>
      <c r="E93" s="39">
        <v>1.080994076744785</v>
      </c>
      <c r="F93" s="39">
        <v>0.7074909279419388</v>
      </c>
      <c r="G93" s="39">
        <v>0.74344521308395251</v>
      </c>
      <c r="H93" s="39">
        <f>H40</f>
        <v>0.45177738927738925</v>
      </c>
    </row>
    <row r="94" spans="4:8" x14ac:dyDescent="0.2">
      <c r="D94" s="6" t="s">
        <v>1</v>
      </c>
      <c r="E94" s="39">
        <v>0.67512724804886326</v>
      </c>
      <c r="F94" s="39">
        <v>0.57344008834897842</v>
      </c>
      <c r="G94" s="39">
        <v>0.79143656857553524</v>
      </c>
      <c r="H94" s="39">
        <f>M40</f>
        <v>0.42220689655172416</v>
      </c>
    </row>
    <row r="95" spans="4:8" x14ac:dyDescent="0.2">
      <c r="D95" s="7" t="s">
        <v>3</v>
      </c>
      <c r="E95" s="41">
        <v>3.5731483210330289E-2</v>
      </c>
      <c r="F95" s="41">
        <v>-6.7827848912751067E-3</v>
      </c>
      <c r="G95" s="41">
        <v>8.2937853107344639E-2</v>
      </c>
      <c r="H95" s="41">
        <f>R40</f>
        <v>0.11406570653767224</v>
      </c>
    </row>
    <row r="97" spans="4:13" x14ac:dyDescent="0.2">
      <c r="D97" s="25" t="s">
        <v>39</v>
      </c>
      <c r="E97" s="4">
        <v>2018</v>
      </c>
      <c r="F97" s="4">
        <v>2017</v>
      </c>
      <c r="G97" s="4">
        <v>2019</v>
      </c>
      <c r="H97" s="4">
        <v>2020</v>
      </c>
      <c r="I97" s="25" t="s">
        <v>37</v>
      </c>
      <c r="J97" s="4">
        <v>2018</v>
      </c>
      <c r="K97" s="4">
        <v>2017</v>
      </c>
      <c r="L97" s="4">
        <v>2019</v>
      </c>
      <c r="M97" s="4">
        <v>2020</v>
      </c>
    </row>
    <row r="98" spans="4:13" x14ac:dyDescent="0.2">
      <c r="D98" s="3" t="s">
        <v>2</v>
      </c>
      <c r="E98" s="34">
        <v>-3.3325678468666839E-2</v>
      </c>
      <c r="F98" s="34">
        <v>-1.8488177846312001E-2</v>
      </c>
      <c r="G98" s="34">
        <v>-3.7614912151583683E-2</v>
      </c>
      <c r="H98" s="34">
        <f>H41</f>
        <v>-6.3621694602693707E-2</v>
      </c>
      <c r="I98" s="3" t="s">
        <v>2</v>
      </c>
      <c r="J98" s="39">
        <v>11.032339791356184</v>
      </c>
      <c r="K98" s="39">
        <v>8.5410893126629173</v>
      </c>
      <c r="L98" s="39">
        <v>11.920721008135269</v>
      </c>
      <c r="M98" s="39">
        <v>11.32</v>
      </c>
    </row>
    <row r="99" spans="4:13" x14ac:dyDescent="0.2">
      <c r="D99" s="6" t="s">
        <v>1</v>
      </c>
      <c r="E99" s="34">
        <v>-1.219976089555483E-2</v>
      </c>
      <c r="F99" s="34">
        <v>-1.0687600491818784E-2</v>
      </c>
      <c r="G99" s="34">
        <v>-4.8674979433758217E-2</v>
      </c>
      <c r="H99" s="34">
        <f>M41</f>
        <v>-8.0033688679680651E-2</v>
      </c>
      <c r="I99" s="6" t="s">
        <v>1</v>
      </c>
      <c r="J99" s="39">
        <v>10.324668038152234</v>
      </c>
      <c r="K99" s="39">
        <v>8.1821699427333225</v>
      </c>
      <c r="L99" s="39">
        <v>11.128060069944455</v>
      </c>
      <c r="M99" s="39">
        <v>10.71</v>
      </c>
    </row>
    <row r="100" spans="4:13" x14ac:dyDescent="0.2">
      <c r="D100" s="7" t="s">
        <v>3</v>
      </c>
      <c r="E100" s="37">
        <v>0.19601100704264168</v>
      </c>
      <c r="F100" s="37">
        <v>0.15714223480723155</v>
      </c>
      <c r="G100" s="37">
        <v>0.19478925868456887</v>
      </c>
      <c r="H100" s="37">
        <f>R41</f>
        <v>0.200866818614167</v>
      </c>
      <c r="I100" s="7" t="s">
        <v>3</v>
      </c>
      <c r="J100" s="41">
        <v>5.1557328669799976</v>
      </c>
      <c r="K100" s="41">
        <v>5.679821848323642</v>
      </c>
      <c r="L100" s="41">
        <v>5.4048179367592315</v>
      </c>
      <c r="M100" s="41">
        <v>5.09</v>
      </c>
    </row>
    <row r="102" spans="4:13" x14ac:dyDescent="0.2">
      <c r="D102" s="25" t="s">
        <v>40</v>
      </c>
      <c r="E102" s="4">
        <v>2018</v>
      </c>
      <c r="F102" s="4">
        <v>2017</v>
      </c>
      <c r="G102" s="4">
        <v>2019</v>
      </c>
      <c r="H102" s="4">
        <v>2020</v>
      </c>
    </row>
    <row r="103" spans="4:13" x14ac:dyDescent="0.2">
      <c r="D103" s="3" t="s">
        <v>2</v>
      </c>
      <c r="E103" s="34">
        <v>-0.12364411157024793</v>
      </c>
      <c r="F103" s="34">
        <v>-7.2140205473538804E-2</v>
      </c>
      <c r="G103" s="34">
        <v>-8.7779147435713675E-2</v>
      </c>
      <c r="H103" s="34">
        <f>H43</f>
        <v>-0.12467691470548224</v>
      </c>
    </row>
    <row r="104" spans="4:13" x14ac:dyDescent="0.2">
      <c r="D104" s="6" t="s">
        <v>1</v>
      </c>
      <c r="E104" s="34">
        <v>2.3587583743664386E-2</v>
      </c>
      <c r="F104" s="34">
        <v>5.6823019969054714E-2</v>
      </c>
      <c r="G104" s="34">
        <v>-1.8583493125535474E-2</v>
      </c>
      <c r="H104" s="34">
        <f>M43</f>
        <v>-2.1016745212072595E-2</v>
      </c>
    </row>
    <row r="105" spans="4:13" x14ac:dyDescent="0.2">
      <c r="D105" s="7" t="s">
        <v>3</v>
      </c>
      <c r="E105" s="37">
        <v>0.38104924960057274</v>
      </c>
      <c r="F105" s="37">
        <v>0.37009140369451887</v>
      </c>
      <c r="G105" s="37">
        <v>0.3911357159101852</v>
      </c>
      <c r="H105" s="37">
        <f>R43</f>
        <v>0.37093101381172128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213B-AA6C-9043-A677-193407B75817}">
  <dimension ref="D2:U105"/>
  <sheetViews>
    <sheetView topLeftCell="A35" zoomScale="118" zoomScaleNormal="118" workbookViewId="0">
      <selection activeCell="J98" sqref="J98:J101"/>
    </sheetView>
  </sheetViews>
  <sheetFormatPr baseColWidth="10" defaultColWidth="10.83203125" defaultRowHeight="16" x14ac:dyDescent="0.2"/>
  <cols>
    <col min="4" max="4" width="29.6640625" bestFit="1" customWidth="1"/>
    <col min="5" max="6" width="12.6640625" style="1" bestFit="1" customWidth="1"/>
    <col min="7" max="7" width="12.1640625" style="1" bestFit="1" customWidth="1"/>
    <col min="8" max="8" width="12" style="1" bestFit="1" customWidth="1"/>
    <col min="9" max="9" width="29.6640625" customWidth="1"/>
    <col min="10" max="13" width="13" customWidth="1"/>
    <col min="14" max="14" width="29.6640625" bestFit="1" customWidth="1"/>
    <col min="15" max="18" width="13" bestFit="1" customWidth="1"/>
    <col min="19" max="19" width="29.6640625" bestFit="1" customWidth="1"/>
    <col min="20" max="21" width="13" bestFit="1" customWidth="1"/>
  </cols>
  <sheetData>
    <row r="2" spans="4:21" x14ac:dyDescent="0.2">
      <c r="D2" s="2"/>
      <c r="E2" s="4">
        <v>2020</v>
      </c>
      <c r="F2" s="4">
        <v>2019</v>
      </c>
      <c r="G2" s="4">
        <v>2018</v>
      </c>
      <c r="H2" s="4">
        <v>2017</v>
      </c>
      <c r="I2" s="2"/>
      <c r="J2" s="4">
        <v>2020</v>
      </c>
      <c r="K2" s="4">
        <v>2019</v>
      </c>
      <c r="L2" s="4">
        <v>2018</v>
      </c>
      <c r="M2" s="4">
        <v>2017</v>
      </c>
      <c r="N2" s="2"/>
      <c r="O2" s="4">
        <v>2020</v>
      </c>
      <c r="P2" s="4">
        <v>2019</v>
      </c>
      <c r="Q2" s="4">
        <v>2018</v>
      </c>
      <c r="R2" s="4">
        <v>2017</v>
      </c>
      <c r="S2" s="2"/>
      <c r="T2" s="4">
        <v>2020</v>
      </c>
      <c r="U2" s="4">
        <v>2019</v>
      </c>
    </row>
    <row r="3" spans="4:21" x14ac:dyDescent="0.2">
      <c r="D3" s="3" t="s">
        <v>2</v>
      </c>
      <c r="E3" s="5" t="s">
        <v>21</v>
      </c>
      <c r="F3" s="5" t="s">
        <v>21</v>
      </c>
      <c r="G3" s="5" t="s">
        <v>21</v>
      </c>
      <c r="H3" s="5" t="s">
        <v>21</v>
      </c>
      <c r="I3" s="6" t="s">
        <v>1</v>
      </c>
      <c r="J3" s="5" t="s">
        <v>21</v>
      </c>
      <c r="K3" s="5" t="s">
        <v>21</v>
      </c>
      <c r="L3" s="5" t="s">
        <v>21</v>
      </c>
      <c r="M3" s="5" t="s">
        <v>21</v>
      </c>
      <c r="N3" s="7" t="s">
        <v>3</v>
      </c>
      <c r="O3" s="5" t="s">
        <v>21</v>
      </c>
      <c r="P3" s="5" t="s">
        <v>21</v>
      </c>
      <c r="Q3" s="5" t="s">
        <v>21</v>
      </c>
      <c r="R3" s="5" t="s">
        <v>21</v>
      </c>
      <c r="S3" s="11" t="s">
        <v>27</v>
      </c>
      <c r="T3" s="5" t="s">
        <v>21</v>
      </c>
      <c r="U3" s="5" t="s">
        <v>21</v>
      </c>
    </row>
    <row r="4" spans="4:21" x14ac:dyDescent="0.2">
      <c r="D4" s="12" t="s">
        <v>10</v>
      </c>
      <c r="E4" s="13">
        <v>60734</v>
      </c>
      <c r="F4" s="13">
        <v>74731</v>
      </c>
      <c r="G4" s="13">
        <v>74027</v>
      </c>
      <c r="H4" s="44">
        <v>62256</v>
      </c>
      <c r="I4" s="12" t="s">
        <v>10</v>
      </c>
      <c r="J4" s="13">
        <v>86676</v>
      </c>
      <c r="K4" s="13">
        <v>108187</v>
      </c>
      <c r="L4" s="13">
        <v>110412</v>
      </c>
      <c r="M4" s="40">
        <v>105730</v>
      </c>
      <c r="N4" s="12" t="s">
        <v>10</v>
      </c>
      <c r="O4" s="13">
        <v>222884</v>
      </c>
      <c r="P4" s="13">
        <v>252632</v>
      </c>
      <c r="Q4" s="13">
        <v>235849</v>
      </c>
      <c r="R4" s="40">
        <v>229550</v>
      </c>
      <c r="S4" s="12" t="s">
        <v>10</v>
      </c>
      <c r="T4" s="13">
        <f>E4+J4</f>
        <v>147410</v>
      </c>
      <c r="U4" s="13">
        <f>F4+K4</f>
        <v>182918</v>
      </c>
    </row>
    <row r="5" spans="4:21" x14ac:dyDescent="0.2">
      <c r="D5" s="14" t="s">
        <v>11</v>
      </c>
      <c r="E5" s="42">
        <f>E6+4058</f>
        <v>7112</v>
      </c>
      <c r="F5" s="13">
        <f>F6+3717</f>
        <v>8385</v>
      </c>
      <c r="G5" s="13">
        <f>G6+2995</f>
        <v>7395</v>
      </c>
      <c r="H5" s="44">
        <f>H6+2735</f>
        <v>5809</v>
      </c>
      <c r="I5" s="14" t="s">
        <v>11</v>
      </c>
      <c r="J5" s="42">
        <f>J6+5143</f>
        <v>7308</v>
      </c>
      <c r="K5" s="13">
        <f>K6+5445</f>
        <v>10262</v>
      </c>
      <c r="L5" s="13">
        <f>L6+5507</f>
        <v>10436</v>
      </c>
      <c r="M5" s="40">
        <f>M6+5474</f>
        <v>11404</v>
      </c>
      <c r="N5" s="14" t="s">
        <v>11</v>
      </c>
      <c r="O5" s="43">
        <f>O6+12765+4637+454+9214</f>
        <v>36745</v>
      </c>
      <c r="P5" s="13">
        <f>P6+12046+3665+300+8428</f>
        <v>41399</v>
      </c>
      <c r="Q5" s="13">
        <f>Q6+11034+3668+170+7689</f>
        <v>36481</v>
      </c>
      <c r="R5" s="40">
        <f>R6+10562+3734+136+7734</f>
        <v>35984</v>
      </c>
      <c r="S5" s="14" t="s">
        <v>11</v>
      </c>
      <c r="T5" s="13">
        <f t="shared" ref="T5:U23" si="0">E5+J5</f>
        <v>14420</v>
      </c>
      <c r="U5" s="13">
        <f t="shared" si="0"/>
        <v>18647</v>
      </c>
    </row>
    <row r="6" spans="4:21" x14ac:dyDescent="0.2">
      <c r="D6" s="12" t="s">
        <v>5</v>
      </c>
      <c r="E6" s="13">
        <v>3054</v>
      </c>
      <c r="F6" s="13">
        <v>4668</v>
      </c>
      <c r="G6" s="13">
        <v>4400</v>
      </c>
      <c r="H6" s="44">
        <v>3074</v>
      </c>
      <c r="I6" s="12" t="s">
        <v>5</v>
      </c>
      <c r="J6" s="13">
        <f>J4-75962-5501-2979+4-73</f>
        <v>2165</v>
      </c>
      <c r="K6" s="13">
        <f>K4-93164-6455-3612+15-154</f>
        <v>4817</v>
      </c>
      <c r="L6" s="13">
        <f>L4-95011-7318-3051-103</f>
        <v>4929</v>
      </c>
      <c r="M6" s="40">
        <f>M4-89710-7177-2903+76-86</f>
        <v>5930</v>
      </c>
      <c r="N6" s="12" t="s">
        <v>5</v>
      </c>
      <c r="O6" s="13">
        <v>9675</v>
      </c>
      <c r="P6" s="13">
        <v>16960</v>
      </c>
      <c r="Q6" s="13">
        <v>13920</v>
      </c>
      <c r="R6" s="40">
        <v>13818</v>
      </c>
      <c r="S6" s="12" t="s">
        <v>5</v>
      </c>
      <c r="T6" s="13">
        <f t="shared" si="0"/>
        <v>5219</v>
      </c>
      <c r="U6" s="13">
        <f t="shared" si="0"/>
        <v>9485</v>
      </c>
    </row>
    <row r="7" spans="4:21" x14ac:dyDescent="0.2">
      <c r="D7" s="12" t="s">
        <v>12</v>
      </c>
      <c r="E7" s="13">
        <v>2737</v>
      </c>
      <c r="F7" s="13">
        <f>4324-24</f>
        <v>4300</v>
      </c>
      <c r="G7" s="13">
        <f>3954-44</f>
        <v>3910</v>
      </c>
      <c r="H7" s="44">
        <f>2836+217</f>
        <v>3053</v>
      </c>
      <c r="I7" s="12" t="s">
        <v>12</v>
      </c>
      <c r="J7" s="13">
        <v>1356</v>
      </c>
      <c r="K7" s="13">
        <v>4021</v>
      </c>
      <c r="L7" s="13">
        <v>4108</v>
      </c>
      <c r="M7" s="40">
        <v>5879</v>
      </c>
      <c r="N7" s="12" t="s">
        <v>12</v>
      </c>
      <c r="O7" s="13">
        <v>11667</v>
      </c>
      <c r="P7" s="13">
        <v>18356</v>
      </c>
      <c r="Q7" s="13">
        <v>15643</v>
      </c>
      <c r="R7" s="40">
        <v>13673</v>
      </c>
      <c r="S7" s="12" t="s">
        <v>12</v>
      </c>
      <c r="T7" s="13">
        <f t="shared" si="0"/>
        <v>4093</v>
      </c>
      <c r="U7" s="13">
        <f t="shared" si="0"/>
        <v>8321</v>
      </c>
    </row>
    <row r="8" spans="4:21" x14ac:dyDescent="0.2">
      <c r="D8" s="12" t="s">
        <v>13</v>
      </c>
      <c r="E8" s="13">
        <v>2022</v>
      </c>
      <c r="F8" s="13">
        <v>3584</v>
      </c>
      <c r="G8" s="13">
        <v>3295</v>
      </c>
      <c r="H8" s="44">
        <v>2347</v>
      </c>
      <c r="I8" s="12" t="s">
        <v>13</v>
      </c>
      <c r="J8" s="13">
        <v>24</v>
      </c>
      <c r="K8" s="13">
        <v>6630</v>
      </c>
      <c r="L8" s="13">
        <v>3632</v>
      </c>
      <c r="M8" s="40">
        <v>3510</v>
      </c>
      <c r="N8" s="12" t="s">
        <v>13</v>
      </c>
      <c r="O8" s="13">
        <v>8824</v>
      </c>
      <c r="P8" s="13">
        <v>14029</v>
      </c>
      <c r="Q8" s="13">
        <v>12153</v>
      </c>
      <c r="R8" s="40">
        <v>11463</v>
      </c>
      <c r="S8" s="12" t="s">
        <v>13</v>
      </c>
      <c r="T8" s="13">
        <f t="shared" si="0"/>
        <v>2046</v>
      </c>
      <c r="U8" s="13">
        <f t="shared" si="0"/>
        <v>10214</v>
      </c>
    </row>
    <row r="9" spans="4:21" x14ac:dyDescent="0.2">
      <c r="D9" s="12"/>
      <c r="E9" s="13"/>
      <c r="F9" s="13"/>
      <c r="G9" s="13"/>
      <c r="H9" s="44"/>
      <c r="I9" s="12"/>
      <c r="J9" s="13"/>
      <c r="K9" s="13"/>
      <c r="L9" s="13"/>
      <c r="M9" s="40"/>
      <c r="N9" s="12"/>
      <c r="O9" s="13"/>
      <c r="P9" s="13"/>
      <c r="Q9" s="13"/>
      <c r="R9" s="40"/>
      <c r="S9" s="12"/>
      <c r="T9" s="13"/>
      <c r="U9" s="13"/>
    </row>
    <row r="10" spans="4:21" x14ac:dyDescent="0.2">
      <c r="D10" s="12" t="s">
        <v>14</v>
      </c>
      <c r="E10" s="13">
        <v>73510</v>
      </c>
      <c r="F10" s="13">
        <v>69766</v>
      </c>
      <c r="G10" s="13">
        <v>61952</v>
      </c>
      <c r="H10" s="44">
        <v>57915</v>
      </c>
      <c r="I10" s="12" t="s">
        <v>14</v>
      </c>
      <c r="J10" s="13">
        <v>99730</v>
      </c>
      <c r="K10" s="13">
        <v>98044</v>
      </c>
      <c r="L10" s="13">
        <v>96873</v>
      </c>
      <c r="M10" s="40">
        <v>96299</v>
      </c>
      <c r="N10" s="12" t="s">
        <v>14</v>
      </c>
      <c r="O10" s="13">
        <v>497114</v>
      </c>
      <c r="P10" s="13">
        <v>488071</v>
      </c>
      <c r="Q10" s="13">
        <v>458156</v>
      </c>
      <c r="R10" s="40">
        <v>422193</v>
      </c>
      <c r="S10" s="12" t="s">
        <v>14</v>
      </c>
      <c r="T10" s="13">
        <f t="shared" si="0"/>
        <v>173240</v>
      </c>
      <c r="U10" s="13">
        <f t="shared" si="0"/>
        <v>167810</v>
      </c>
    </row>
    <row r="11" spans="4:21" x14ac:dyDescent="0.2">
      <c r="D11" s="12" t="s">
        <v>15</v>
      </c>
      <c r="E11" s="13">
        <v>23874</v>
      </c>
      <c r="F11" s="13">
        <v>21801</v>
      </c>
      <c r="G11" s="13">
        <v>19594</v>
      </c>
      <c r="H11" s="44">
        <v>16706</v>
      </c>
      <c r="I11" s="12" t="s">
        <v>15</v>
      </c>
      <c r="J11" s="13">
        <v>25861</v>
      </c>
      <c r="K11" s="13">
        <v>28675</v>
      </c>
      <c r="L11" s="13">
        <v>24903</v>
      </c>
      <c r="M11" s="40">
        <v>20987</v>
      </c>
      <c r="N11" s="12" t="s">
        <v>15</v>
      </c>
      <c r="O11" s="13">
        <v>128783</v>
      </c>
      <c r="P11" s="13">
        <v>123651</v>
      </c>
      <c r="Q11" s="13">
        <v>117342</v>
      </c>
      <c r="R11" s="40">
        <v>109077</v>
      </c>
      <c r="S11" s="12" t="s">
        <v>15</v>
      </c>
      <c r="T11" s="13">
        <f t="shared" si="0"/>
        <v>49735</v>
      </c>
      <c r="U11" s="13">
        <f t="shared" si="0"/>
        <v>50476</v>
      </c>
    </row>
    <row r="12" spans="4:21" x14ac:dyDescent="0.2">
      <c r="D12" s="12" t="s">
        <v>16</v>
      </c>
      <c r="E12" s="13">
        <f>E10-E11</f>
        <v>49636</v>
      </c>
      <c r="F12" s="13">
        <f>F10-F11</f>
        <v>47965</v>
      </c>
      <c r="G12" s="13">
        <f>G10-G11</f>
        <v>42358</v>
      </c>
      <c r="H12" s="44">
        <f>H10-H11</f>
        <v>41209</v>
      </c>
      <c r="I12" s="12" t="s">
        <v>16</v>
      </c>
      <c r="J12" s="13">
        <f>J10-J11</f>
        <v>73869</v>
      </c>
      <c r="K12" s="13">
        <f>K10-K11</f>
        <v>69369</v>
      </c>
      <c r="L12" s="13">
        <f>L10-L11</f>
        <v>71970</v>
      </c>
      <c r="M12" s="40">
        <f>M10-M11</f>
        <v>75312</v>
      </c>
      <c r="N12" s="12" t="s">
        <v>16</v>
      </c>
      <c r="O12" s="13">
        <f>O10-O11</f>
        <v>368331</v>
      </c>
      <c r="P12" s="13">
        <f>P10-P11</f>
        <v>364420</v>
      </c>
      <c r="Q12" s="13">
        <f>Q10-Q11</f>
        <v>340814</v>
      </c>
      <c r="R12" s="40">
        <f>R10-R11</f>
        <v>313116</v>
      </c>
      <c r="S12" s="12" t="s">
        <v>16</v>
      </c>
      <c r="T12" s="13">
        <f t="shared" si="0"/>
        <v>123505</v>
      </c>
      <c r="U12" s="13">
        <f t="shared" si="0"/>
        <v>117334</v>
      </c>
    </row>
    <row r="13" spans="4:21" x14ac:dyDescent="0.2">
      <c r="D13" s="12"/>
      <c r="E13" s="13"/>
      <c r="F13" s="13"/>
      <c r="G13" s="13"/>
      <c r="H13" s="44"/>
      <c r="I13" s="12"/>
      <c r="J13" s="13"/>
      <c r="K13" s="13"/>
      <c r="L13" s="13"/>
      <c r="M13" s="40"/>
      <c r="N13" s="12"/>
      <c r="O13" s="13"/>
      <c r="P13" s="13"/>
      <c r="Q13" s="13"/>
      <c r="R13" s="40"/>
      <c r="S13" s="12"/>
      <c r="T13" s="13"/>
      <c r="U13" s="13"/>
    </row>
    <row r="14" spans="4:21" x14ac:dyDescent="0.2">
      <c r="D14" s="14" t="s">
        <v>34</v>
      </c>
      <c r="E14" s="13">
        <f>11083+236+2409</f>
        <v>13728</v>
      </c>
      <c r="F14" s="13">
        <f>8917+272+2520</f>
        <v>11709</v>
      </c>
      <c r="G14" s="13">
        <f>5257+327+2182</f>
        <v>7766</v>
      </c>
      <c r="H14" s="44">
        <f>4778+407+2531</f>
        <v>7716</v>
      </c>
      <c r="I14" s="14" t="s">
        <v>34</v>
      </c>
      <c r="J14" s="13">
        <f>17036+280+4081+353</f>
        <v>21750</v>
      </c>
      <c r="K14" s="13">
        <f>8025+124+4876+194</f>
        <v>13219</v>
      </c>
      <c r="L14" s="13">
        <f>8667+3+5861+204</f>
        <v>14735</v>
      </c>
      <c r="M14" s="40">
        <f>10726+1+7245+138</f>
        <v>18110</v>
      </c>
      <c r="N14" s="14" t="s">
        <v>34</v>
      </c>
      <c r="O14" s="13">
        <f>114809+4257+88648+10590</f>
        <v>218304</v>
      </c>
      <c r="P14" s="13">
        <f>113556+4499+87912+10858</f>
        <v>216825</v>
      </c>
      <c r="Q14" s="13">
        <f>101126+3219+89757+9416</f>
        <v>203518</v>
      </c>
      <c r="R14" s="40">
        <f>81628+2665+81844+8570</f>
        <v>174707</v>
      </c>
      <c r="S14" s="14" t="s">
        <v>34</v>
      </c>
      <c r="T14" s="13">
        <f>E14+J14</f>
        <v>35478</v>
      </c>
      <c r="U14" s="13">
        <f>F14+K14</f>
        <v>24928</v>
      </c>
    </row>
    <row r="15" spans="4:21" x14ac:dyDescent="0.2">
      <c r="D15" s="12"/>
      <c r="E15" s="13"/>
      <c r="F15" s="13"/>
      <c r="G15" s="13"/>
      <c r="H15" s="44"/>
      <c r="I15" s="12"/>
      <c r="J15" s="13"/>
      <c r="K15" s="13"/>
      <c r="L15" s="13"/>
      <c r="M15" s="40"/>
      <c r="N15" s="12"/>
      <c r="O15" s="13"/>
      <c r="P15" s="13"/>
      <c r="Q15" s="13"/>
      <c r="R15" s="40"/>
      <c r="S15" s="12"/>
      <c r="T15" s="13"/>
      <c r="U15" s="13"/>
    </row>
    <row r="16" spans="4:21" x14ac:dyDescent="0.2">
      <c r="D16" s="12" t="s">
        <v>17</v>
      </c>
      <c r="E16" s="13">
        <v>35251</v>
      </c>
      <c r="F16" s="13">
        <v>31327</v>
      </c>
      <c r="G16" s="13">
        <v>28146</v>
      </c>
      <c r="H16" s="44">
        <v>26611</v>
      </c>
      <c r="I16" s="12">
        <f>J4-75962-5501-2979+4-73</f>
        <v>2165</v>
      </c>
      <c r="J16" s="13">
        <v>40053</v>
      </c>
      <c r="K16" s="13">
        <v>34932</v>
      </c>
      <c r="L16" s="13">
        <v>38292</v>
      </c>
      <c r="M16" s="40">
        <v>36274</v>
      </c>
      <c r="N16" s="12" t="s">
        <v>17</v>
      </c>
      <c r="O16" s="13">
        <v>194944</v>
      </c>
      <c r="P16" s="13">
        <v>187463</v>
      </c>
      <c r="Q16" s="13">
        <v>183536</v>
      </c>
      <c r="R16" s="40">
        <v>160112</v>
      </c>
      <c r="S16" s="12" t="s">
        <v>17</v>
      </c>
      <c r="T16" s="13">
        <f t="shared" si="0"/>
        <v>75304</v>
      </c>
      <c r="U16" s="13">
        <f t="shared" si="0"/>
        <v>66259</v>
      </c>
    </row>
    <row r="17" spans="4:21" x14ac:dyDescent="0.2">
      <c r="D17" s="12" t="s">
        <v>38</v>
      </c>
      <c r="E17" s="13">
        <f>22303+590</f>
        <v>22893</v>
      </c>
      <c r="F17" s="13">
        <f>17379+454</f>
        <v>17833</v>
      </c>
      <c r="G17" s="13">
        <f>14961+465</f>
        <v>15426</v>
      </c>
      <c r="H17" s="44">
        <f>11582+312</f>
        <v>11894</v>
      </c>
      <c r="I17" s="12" t="s">
        <v>38</v>
      </c>
      <c r="J17" s="13">
        <v>23846</v>
      </c>
      <c r="K17" s="13">
        <v>15041</v>
      </c>
      <c r="L17" s="13">
        <v>12450</v>
      </c>
      <c r="M17" s="40">
        <v>12638</v>
      </c>
      <c r="N17" s="12" t="s">
        <v>38</v>
      </c>
      <c r="O17" s="13">
        <v>33909</v>
      </c>
      <c r="P17" s="13">
        <v>25923</v>
      </c>
      <c r="Q17" s="13">
        <v>28938</v>
      </c>
      <c r="R17" s="40">
        <v>18457</v>
      </c>
      <c r="S17" s="12" t="s">
        <v>38</v>
      </c>
      <c r="T17" s="13">
        <f t="shared" si="0"/>
        <v>46739</v>
      </c>
      <c r="U17" s="13">
        <f t="shared" si="0"/>
        <v>32874</v>
      </c>
    </row>
    <row r="18" spans="4:21" x14ac:dyDescent="0.2">
      <c r="D18" s="12" t="s">
        <v>18</v>
      </c>
      <c r="E18" s="13">
        <v>5366</v>
      </c>
      <c r="F18" s="13">
        <v>6269</v>
      </c>
      <c r="G18" s="13">
        <v>6710</v>
      </c>
      <c r="H18" s="44">
        <v>7289</v>
      </c>
      <c r="I18" s="12" t="s">
        <v>18</v>
      </c>
      <c r="J18" s="13">
        <v>8094</v>
      </c>
      <c r="K18" s="13">
        <v>9722</v>
      </c>
      <c r="L18" s="13">
        <v>10694</v>
      </c>
      <c r="M18" s="40">
        <v>12922</v>
      </c>
      <c r="N18" s="12" t="s">
        <v>18</v>
      </c>
      <c r="O18" s="13">
        <v>43823</v>
      </c>
      <c r="P18" s="13">
        <v>46742</v>
      </c>
      <c r="Q18" s="13">
        <v>45745</v>
      </c>
      <c r="R18" s="40">
        <v>40415</v>
      </c>
      <c r="S18" s="12" t="s">
        <v>18</v>
      </c>
      <c r="T18" s="13">
        <f t="shared" si="0"/>
        <v>13460</v>
      </c>
      <c r="U18" s="13">
        <f t="shared" si="0"/>
        <v>15991</v>
      </c>
    </row>
    <row r="19" spans="4:21" x14ac:dyDescent="0.2">
      <c r="D19" s="12" t="s">
        <v>22</v>
      </c>
      <c r="E19" s="13">
        <f>3147+2789</f>
        <v>5936</v>
      </c>
      <c r="F19" s="13">
        <f>2503+2922</f>
        <v>5425</v>
      </c>
      <c r="G19" s="13">
        <f>1904+2470</f>
        <v>4374</v>
      </c>
      <c r="H19" s="44">
        <f>2426+2496</f>
        <v>4922</v>
      </c>
      <c r="I19" s="12" t="s">
        <v>22</v>
      </c>
      <c r="J19" s="13">
        <v>5545</v>
      </c>
      <c r="K19" s="13">
        <v>6628</v>
      </c>
      <c r="L19" s="13">
        <v>7188</v>
      </c>
      <c r="M19" s="40">
        <v>7887</v>
      </c>
      <c r="N19" s="12" t="s">
        <v>22</v>
      </c>
      <c r="O19" s="13">
        <f>16243+7381</f>
        <v>23624</v>
      </c>
      <c r="P19" s="13">
        <f>17941+7272</f>
        <v>25213</v>
      </c>
      <c r="Q19" s="13">
        <f>17888+6203</f>
        <v>24091</v>
      </c>
      <c r="R19" s="40">
        <f>13357+5346</f>
        <v>18703</v>
      </c>
      <c r="S19" s="12" t="s">
        <v>22</v>
      </c>
      <c r="T19" s="13">
        <f t="shared" si="0"/>
        <v>11481</v>
      </c>
      <c r="U19" s="13">
        <f t="shared" si="0"/>
        <v>12053</v>
      </c>
    </row>
    <row r="20" spans="4:21" x14ac:dyDescent="0.2">
      <c r="D20" s="12" t="s">
        <v>19</v>
      </c>
      <c r="E20" s="13">
        <v>30813</v>
      </c>
      <c r="F20" s="13">
        <v>31700</v>
      </c>
      <c r="G20" s="13">
        <v>30002</v>
      </c>
      <c r="H20" s="44">
        <v>29658</v>
      </c>
      <c r="I20" s="12" t="s">
        <v>19</v>
      </c>
      <c r="J20" s="13">
        <v>39037</v>
      </c>
      <c r="K20" s="13">
        <v>43354</v>
      </c>
      <c r="L20" s="13">
        <v>46474</v>
      </c>
      <c r="M20" s="40">
        <v>47269</v>
      </c>
      <c r="N20" s="12" t="s">
        <v>19</v>
      </c>
      <c r="O20" s="13">
        <v>165410</v>
      </c>
      <c r="P20" s="13">
        <v>167924</v>
      </c>
      <c r="Q20" s="13">
        <v>167968</v>
      </c>
      <c r="R20" s="40">
        <v>160389</v>
      </c>
      <c r="S20" s="12" t="s">
        <v>19</v>
      </c>
      <c r="T20" s="13">
        <f t="shared" si="0"/>
        <v>69850</v>
      </c>
      <c r="U20" s="13">
        <f t="shared" si="0"/>
        <v>75054</v>
      </c>
    </row>
    <row r="21" spans="4:21" x14ac:dyDescent="0.2">
      <c r="D21" s="12" t="s">
        <v>23</v>
      </c>
      <c r="E21" s="13">
        <v>15166</v>
      </c>
      <c r="F21" s="13">
        <v>14505</v>
      </c>
      <c r="G21" s="13">
        <v>13551</v>
      </c>
      <c r="H21" s="44">
        <v>13362</v>
      </c>
      <c r="I21" s="12" t="s">
        <v>23</v>
      </c>
      <c r="J21" s="13">
        <v>20576</v>
      </c>
      <c r="K21" s="13">
        <v>21616</v>
      </c>
      <c r="L21" s="13">
        <v>19229</v>
      </c>
      <c r="M21" s="40">
        <v>21939</v>
      </c>
      <c r="N21" s="12" t="s">
        <v>23</v>
      </c>
      <c r="O21" s="13">
        <v>22677</v>
      </c>
      <c r="P21" s="13">
        <v>22745</v>
      </c>
      <c r="Q21" s="13">
        <v>23607</v>
      </c>
      <c r="R21" s="40">
        <v>23046</v>
      </c>
      <c r="S21" s="12" t="s">
        <v>23</v>
      </c>
      <c r="T21" s="13">
        <f t="shared" si="0"/>
        <v>35742</v>
      </c>
      <c r="U21" s="13">
        <f t="shared" si="0"/>
        <v>36121</v>
      </c>
    </row>
    <row r="22" spans="4:21" x14ac:dyDescent="0.2">
      <c r="D22" s="12"/>
      <c r="E22" s="13"/>
      <c r="F22" s="13"/>
      <c r="G22" s="13"/>
      <c r="H22" s="44"/>
      <c r="I22" s="12"/>
      <c r="J22" s="13"/>
      <c r="K22" s="13"/>
      <c r="L22" s="13"/>
      <c r="M22" s="40"/>
      <c r="N22" s="12"/>
      <c r="O22" s="13"/>
      <c r="P22" s="13"/>
      <c r="Q22" s="13"/>
      <c r="R22" s="40"/>
      <c r="S22" s="12"/>
      <c r="T22" s="13"/>
      <c r="U22" s="13"/>
    </row>
    <row r="23" spans="4:21" x14ac:dyDescent="0.2">
      <c r="D23" s="12" t="s">
        <v>20</v>
      </c>
      <c r="E23" s="13">
        <v>6202</v>
      </c>
      <c r="F23" s="13">
        <v>8705</v>
      </c>
      <c r="G23" s="13">
        <v>8395</v>
      </c>
      <c r="H23" s="44">
        <v>5459</v>
      </c>
      <c r="I23" s="12" t="s">
        <v>20</v>
      </c>
      <c r="J23" s="13">
        <v>9183</v>
      </c>
      <c r="K23" s="13">
        <v>10462</v>
      </c>
      <c r="L23" s="13">
        <v>9948</v>
      </c>
      <c r="M23" s="40">
        <v>10385</v>
      </c>
      <c r="N23" s="12" t="s">
        <v>20</v>
      </c>
      <c r="O23" s="13">
        <v>24901</v>
      </c>
      <c r="P23" s="13">
        <v>17983</v>
      </c>
      <c r="Q23" s="13">
        <v>7272</v>
      </c>
      <c r="R23" s="40">
        <v>-1185</v>
      </c>
      <c r="S23" s="12" t="s">
        <v>20</v>
      </c>
      <c r="T23" s="13">
        <f t="shared" si="0"/>
        <v>15385</v>
      </c>
      <c r="U23" s="13">
        <f t="shared" si="0"/>
        <v>19167</v>
      </c>
    </row>
    <row r="24" spans="4:21" x14ac:dyDescent="0.2">
      <c r="D24" s="16"/>
      <c r="E24" s="17"/>
      <c r="F24" s="17"/>
      <c r="G24" s="17"/>
      <c r="H24" s="17"/>
      <c r="I24" s="16"/>
      <c r="J24" s="17"/>
      <c r="K24" s="17"/>
      <c r="L24" s="17"/>
      <c r="M24" s="17"/>
      <c r="N24" s="16"/>
      <c r="O24" s="17"/>
      <c r="P24" s="17"/>
      <c r="Q24" s="17"/>
      <c r="R24" s="17"/>
      <c r="S24" s="16"/>
      <c r="T24" s="17"/>
      <c r="U24" s="17"/>
    </row>
    <row r="25" spans="4:21" x14ac:dyDescent="0.2">
      <c r="D25" s="3" t="s">
        <v>2</v>
      </c>
      <c r="E25" s="4">
        <v>2020</v>
      </c>
      <c r="F25" s="4">
        <v>2019</v>
      </c>
      <c r="G25" s="4">
        <v>2018</v>
      </c>
      <c r="H25" s="4">
        <v>2017</v>
      </c>
      <c r="I25" s="6" t="s">
        <v>1</v>
      </c>
      <c r="J25" s="4">
        <v>2020</v>
      </c>
      <c r="K25" s="4">
        <v>2019</v>
      </c>
      <c r="L25" s="4">
        <v>2018</v>
      </c>
      <c r="M25" s="4">
        <v>2017</v>
      </c>
      <c r="N25" s="7" t="s">
        <v>3</v>
      </c>
      <c r="O25" s="4">
        <v>2019</v>
      </c>
      <c r="P25" s="4">
        <v>2019</v>
      </c>
      <c r="Q25" s="4">
        <v>2018</v>
      </c>
      <c r="R25" s="4">
        <v>2017</v>
      </c>
      <c r="S25" s="11" t="s">
        <v>27</v>
      </c>
      <c r="T25" s="4">
        <v>2019</v>
      </c>
      <c r="U25" s="4">
        <v>2019</v>
      </c>
    </row>
    <row r="26" spans="4:21" x14ac:dyDescent="0.2">
      <c r="D26" s="2" t="s">
        <v>6</v>
      </c>
      <c r="E26" s="20">
        <f>E8/E11</f>
        <v>8.4694646896205081E-2</v>
      </c>
      <c r="F26" s="20">
        <f>F8/F11</f>
        <v>0.1643961286179533</v>
      </c>
      <c r="G26" s="18">
        <f>G8/G11</f>
        <v>0.16816372358885373</v>
      </c>
      <c r="H26" s="18">
        <f>H8/H11</f>
        <v>0.14048844726445589</v>
      </c>
      <c r="I26" s="2" t="s">
        <v>6</v>
      </c>
      <c r="J26" s="18">
        <f>J8/J11</f>
        <v>9.2803835891883536E-4</v>
      </c>
      <c r="K26" s="18">
        <f>K8/K11</f>
        <v>0.23121185701830863</v>
      </c>
      <c r="L26" s="18">
        <f>L8/L11</f>
        <v>0.14584588202224633</v>
      </c>
      <c r="M26" s="18">
        <f>M8/M11</f>
        <v>0.16724639062276647</v>
      </c>
      <c r="N26" s="2" t="s">
        <v>6</v>
      </c>
      <c r="O26" s="18">
        <f>O8/O11</f>
        <v>6.8518360342591803E-2</v>
      </c>
      <c r="P26" s="18">
        <f>P8/P11</f>
        <v>0.11345642170301898</v>
      </c>
      <c r="Q26" s="18">
        <f>Q8/Q11</f>
        <v>0.10356905455847011</v>
      </c>
      <c r="R26" s="18">
        <f>R8/R11</f>
        <v>0.10509089908963393</v>
      </c>
      <c r="S26" s="2" t="s">
        <v>6</v>
      </c>
      <c r="T26" s="18">
        <f>T8/T11</f>
        <v>4.1138031567306728E-2</v>
      </c>
      <c r="U26" s="18">
        <f>U8/U11</f>
        <v>0.20235359378714637</v>
      </c>
    </row>
    <row r="27" spans="4:21" x14ac:dyDescent="0.2">
      <c r="D27" s="2" t="s">
        <v>7</v>
      </c>
      <c r="E27" s="18">
        <f>E8/E4</f>
        <v>3.3292719070043136E-2</v>
      </c>
      <c r="F27" s="18">
        <f>F8/F4</f>
        <v>4.7958678460076808E-2</v>
      </c>
      <c r="G27" s="18">
        <f>G8/G4</f>
        <v>4.4510786604887408E-2</v>
      </c>
      <c r="H27" s="18">
        <f>H8/H4</f>
        <v>3.7699177589308658E-2</v>
      </c>
      <c r="I27" s="2" t="s">
        <v>7</v>
      </c>
      <c r="J27" s="18">
        <f>J8/J4</f>
        <v>2.7689325764917625E-4</v>
      </c>
      <c r="K27" s="18">
        <f>K8/K4</f>
        <v>6.1282778892103484E-2</v>
      </c>
      <c r="L27" s="18">
        <f>L8/L4</f>
        <v>3.2894975183856826E-2</v>
      </c>
      <c r="M27" s="18">
        <f>M8/M4</f>
        <v>3.3197767899366314E-2</v>
      </c>
      <c r="N27" s="2" t="s">
        <v>7</v>
      </c>
      <c r="O27" s="18">
        <f>O8/O4</f>
        <v>3.9590100680174441E-2</v>
      </c>
      <c r="P27" s="18">
        <f>P8/P4</f>
        <v>5.5531365781057031E-2</v>
      </c>
      <c r="Q27" s="18">
        <f>Q8/Q4</f>
        <v>5.1528732366895771E-2</v>
      </c>
      <c r="R27" s="18">
        <f>R8/R4</f>
        <v>4.9936832934001307E-2</v>
      </c>
      <c r="S27" s="2" t="s">
        <v>7</v>
      </c>
      <c r="T27" s="18">
        <f>T8/T4</f>
        <v>1.3879655382945525E-2</v>
      </c>
      <c r="U27" s="18">
        <f>U8/U4</f>
        <v>5.5839228506762595E-2</v>
      </c>
    </row>
    <row r="28" spans="4:21" x14ac:dyDescent="0.2">
      <c r="E28" s="15"/>
      <c r="F28" s="15"/>
      <c r="G28" s="15"/>
      <c r="H28" s="15"/>
      <c r="J28" s="15"/>
      <c r="K28" s="15"/>
      <c r="L28" s="15"/>
      <c r="M28" s="15"/>
      <c r="O28" s="15"/>
      <c r="P28" s="15"/>
      <c r="Q28" s="15"/>
      <c r="R28" s="15"/>
      <c r="T28" s="15"/>
      <c r="U28" s="15"/>
    </row>
    <row r="29" spans="4:21" x14ac:dyDescent="0.2">
      <c r="D29" s="19" t="s">
        <v>0</v>
      </c>
      <c r="E29" s="20">
        <f>E6/E10</f>
        <v>4.1545367977145968E-2</v>
      </c>
      <c r="F29" s="20">
        <f>F6/F10</f>
        <v>6.6909382793911079E-2</v>
      </c>
      <c r="G29" s="20">
        <f>G6/G10</f>
        <v>7.1022727272727279E-2</v>
      </c>
      <c r="H29" s="20">
        <f>H6/H10</f>
        <v>5.3077786411119744E-2</v>
      </c>
      <c r="I29" s="19" t="s">
        <v>0</v>
      </c>
      <c r="J29" s="20">
        <f>J6/J10</f>
        <v>2.1708613255790633E-2</v>
      </c>
      <c r="K29" s="20">
        <f>K6/K10</f>
        <v>4.9131002407082534E-2</v>
      </c>
      <c r="L29" s="20">
        <f>L6/L10</f>
        <v>5.0881050447493109E-2</v>
      </c>
      <c r="M29" s="20">
        <f>M6/M10</f>
        <v>6.1579040280792113E-2</v>
      </c>
      <c r="N29" s="19" t="s">
        <v>0</v>
      </c>
      <c r="O29" s="20">
        <f>O6/O10</f>
        <v>1.9462336606894996E-2</v>
      </c>
      <c r="P29" s="20">
        <f>P6/P10</f>
        <v>3.4749042659776956E-2</v>
      </c>
      <c r="Q29" s="20">
        <f>Q6/Q10</f>
        <v>3.0382664419979222E-2</v>
      </c>
      <c r="R29" s="20">
        <f>R6/R10</f>
        <v>3.2729107304005516E-2</v>
      </c>
      <c r="S29" s="19" t="s">
        <v>0</v>
      </c>
      <c r="T29" s="20">
        <f>T6/T10</f>
        <v>3.0125836989148003E-2</v>
      </c>
      <c r="U29" s="20">
        <f>U6/U10</f>
        <v>5.6522257314820336E-2</v>
      </c>
    </row>
    <row r="30" spans="4:21" x14ac:dyDescent="0.2">
      <c r="D30" s="19" t="s">
        <v>8</v>
      </c>
      <c r="E30" s="20">
        <f>E6/E4</f>
        <v>5.0284848684427175E-2</v>
      </c>
      <c r="F30" s="20">
        <f>F6/F4</f>
        <v>6.2464037681818789E-2</v>
      </c>
      <c r="G30" s="20">
        <f>G6/G4</f>
        <v>5.9437772704553742E-2</v>
      </c>
      <c r="H30" s="20">
        <f>H6/H4</f>
        <v>4.9376766897969673E-2</v>
      </c>
      <c r="I30" s="19" t="s">
        <v>8</v>
      </c>
      <c r="J30" s="20">
        <f>J6/J4</f>
        <v>2.4978079283769439E-2</v>
      </c>
      <c r="K30" s="20">
        <f>K6/K4</f>
        <v>4.4524758057807312E-2</v>
      </c>
      <c r="L30" s="20">
        <f>L6/L4</f>
        <v>4.4641886751440062E-2</v>
      </c>
      <c r="M30" s="20">
        <f>M6/M4</f>
        <v>5.6086257448217158E-2</v>
      </c>
      <c r="N30" s="19" t="s">
        <v>8</v>
      </c>
      <c r="O30" s="20">
        <f>O6/O4</f>
        <v>4.3408230290195797E-2</v>
      </c>
      <c r="P30" s="20">
        <f>P6/P4</f>
        <v>6.7133221444630922E-2</v>
      </c>
      <c r="Q30" s="20">
        <f>Q6/Q4</f>
        <v>5.9020814164995397E-2</v>
      </c>
      <c r="R30" s="20">
        <f>R6/R4</f>
        <v>6.019603572206491E-2</v>
      </c>
      <c r="S30" s="19" t="s">
        <v>8</v>
      </c>
      <c r="T30" s="20">
        <f>T6/T4</f>
        <v>3.5404653686995455E-2</v>
      </c>
      <c r="U30" s="20">
        <f>U6/U4</f>
        <v>5.1853836145157942E-2</v>
      </c>
    </row>
    <row r="31" spans="4:21" x14ac:dyDescent="0.2">
      <c r="D31" s="19" t="s">
        <v>9</v>
      </c>
      <c r="E31" s="21">
        <f>E4/E10</f>
        <v>0.82620051693647123</v>
      </c>
      <c r="F31" s="21">
        <f>F4/F10</f>
        <v>1.0711664707737294</v>
      </c>
      <c r="G31" s="21">
        <f>G4/G10</f>
        <v>1.1949089617768596</v>
      </c>
      <c r="H31" s="21">
        <f>H4/H10</f>
        <v>1.074954674954675</v>
      </c>
      <c r="I31" s="19" t="s">
        <v>9</v>
      </c>
      <c r="J31" s="21">
        <f>J4/J10</f>
        <v>0.86910658778702499</v>
      </c>
      <c r="K31" s="21">
        <f>K4/K10</f>
        <v>1.1034535514666883</v>
      </c>
      <c r="L31" s="21">
        <f>L4/L10</f>
        <v>1.1397603047288718</v>
      </c>
      <c r="M31" s="21">
        <f>M4/M10</f>
        <v>1.0979345579912565</v>
      </c>
      <c r="N31" s="19" t="s">
        <v>9</v>
      </c>
      <c r="O31" s="21">
        <f>O4/O10</f>
        <v>0.44835591031433436</v>
      </c>
      <c r="P31" s="21">
        <f>P4/P10</f>
        <v>0.51761321610995126</v>
      </c>
      <c r="Q31" s="21">
        <f>Q4/Q10</f>
        <v>0.51477880896463213</v>
      </c>
      <c r="R31" s="21">
        <f>R4/R10</f>
        <v>0.54370868299569153</v>
      </c>
      <c r="S31" s="19" t="s">
        <v>9</v>
      </c>
      <c r="T31" s="21">
        <f>T4/T10</f>
        <v>0.85090048487647196</v>
      </c>
      <c r="U31" s="21">
        <f>U4/U10</f>
        <v>1.0900303915142124</v>
      </c>
    </row>
    <row r="32" spans="4:21" x14ac:dyDescent="0.2">
      <c r="D32" s="19" t="s">
        <v>4</v>
      </c>
      <c r="E32" s="20">
        <f>E5/E4</f>
        <v>0.1171008002107551</v>
      </c>
      <c r="F32" s="20">
        <f>F5/F4</f>
        <v>0.11220243272537501</v>
      </c>
      <c r="G32" s="20">
        <f>G5/G4</f>
        <v>9.9895983897767035E-2</v>
      </c>
      <c r="H32" s="20">
        <f>H5/H4</f>
        <v>9.3308275507581598E-2</v>
      </c>
      <c r="I32" s="19" t="s">
        <v>4</v>
      </c>
      <c r="J32" s="20">
        <f>J5/J4</f>
        <v>8.4313996954174172E-2</v>
      </c>
      <c r="K32" s="20">
        <f>K5/K4</f>
        <v>9.4854280089104973E-2</v>
      </c>
      <c r="L32" s="20">
        <f>L5/L4</f>
        <v>9.4518711734231792E-2</v>
      </c>
      <c r="M32" s="20">
        <f>M5/M4</f>
        <v>0.10785964248557647</v>
      </c>
      <c r="N32" s="19" t="s">
        <v>4</v>
      </c>
      <c r="O32" s="20">
        <f>O5/O4</f>
        <v>0.16486154232695036</v>
      </c>
      <c r="P32" s="20">
        <f>P5/P4</f>
        <v>0.1638707685487191</v>
      </c>
      <c r="Q32" s="20">
        <f>Q5/Q4</f>
        <v>0.1546794771230745</v>
      </c>
      <c r="R32" s="20">
        <f>R5/R4</f>
        <v>0.15675887606186015</v>
      </c>
      <c r="S32" s="19" t="s">
        <v>4</v>
      </c>
      <c r="T32" s="20">
        <f>T5/T4</f>
        <v>9.7822400108540805E-2</v>
      </c>
      <c r="U32" s="20">
        <f>U5/U4</f>
        <v>0.10194185372680654</v>
      </c>
    </row>
    <row r="33" spans="4:21" x14ac:dyDescent="0.2">
      <c r="D33" s="8"/>
      <c r="E33" s="9"/>
      <c r="F33" s="9"/>
      <c r="G33" s="9"/>
      <c r="H33" s="9"/>
      <c r="I33" s="8"/>
      <c r="J33" s="9"/>
      <c r="K33" s="9"/>
      <c r="L33" s="9"/>
      <c r="M33" s="9"/>
      <c r="N33" s="8"/>
      <c r="O33" s="9"/>
      <c r="P33" s="9"/>
      <c r="Q33" s="9"/>
      <c r="R33" s="9"/>
      <c r="S33" s="8"/>
      <c r="T33" s="9"/>
      <c r="U33" s="9"/>
    </row>
    <row r="34" spans="4:21" x14ac:dyDescent="0.2">
      <c r="D34" s="19" t="s">
        <v>24</v>
      </c>
      <c r="E34" s="22">
        <f>E6/(E6-E7)</f>
        <v>9.6340694006309153</v>
      </c>
      <c r="F34" s="22">
        <f>F6/(F6-F7)</f>
        <v>12.684782608695652</v>
      </c>
      <c r="G34" s="22">
        <f>G6/(G6-G7)</f>
        <v>8.9795918367346932</v>
      </c>
      <c r="H34" s="22">
        <f>H6/(H6-H7)</f>
        <v>146.38095238095238</v>
      </c>
      <c r="I34" s="19" t="s">
        <v>24</v>
      </c>
      <c r="J34" s="22">
        <f>J6/(J6-J7)</f>
        <v>2.6761433868974041</v>
      </c>
      <c r="K34" s="22">
        <f>K6/(K6-K7)</f>
        <v>6.0515075376884422</v>
      </c>
      <c r="L34" s="22">
        <f>L6/(L6-L7)</f>
        <v>6.0036540803897687</v>
      </c>
      <c r="M34" s="22">
        <f>M6/(M6-M7)</f>
        <v>116.27450980392157</v>
      </c>
      <c r="N34" s="19" t="s">
        <v>24</v>
      </c>
      <c r="O34" s="22">
        <f>O6/(O6-O7)</f>
        <v>-4.8569277108433733</v>
      </c>
      <c r="P34" s="22">
        <f>P6/(P6-P7)</f>
        <v>-12.148997134670488</v>
      </c>
      <c r="Q34" s="22">
        <f>Q6/(Q6-Q7)</f>
        <v>-8.0789320951828199</v>
      </c>
      <c r="R34" s="22">
        <f>R6/(R6-R7)</f>
        <v>95.296551724137927</v>
      </c>
      <c r="S34" s="19" t="s">
        <v>24</v>
      </c>
      <c r="T34" s="22">
        <f>T6/(T6-T7)</f>
        <v>4.6349911190053286</v>
      </c>
      <c r="U34" s="22">
        <f>U6/(U6-U7)</f>
        <v>8.148625429553265</v>
      </c>
    </row>
    <row r="35" spans="4:21" x14ac:dyDescent="0.2">
      <c r="D35" s="19" t="s">
        <v>33</v>
      </c>
      <c r="E35" s="22">
        <f>1-(1/E34)</f>
        <v>0.89620170268500332</v>
      </c>
      <c r="F35" s="22">
        <f>1-(1/F34)</f>
        <v>0.921165381319623</v>
      </c>
      <c r="G35" s="22">
        <f t="shared" ref="G35:H35" si="1">1-(1/G34)</f>
        <v>0.88863636363636367</v>
      </c>
      <c r="H35" s="22">
        <f t="shared" si="1"/>
        <v>0.9931685100845804</v>
      </c>
      <c r="I35" s="19" t="s">
        <v>33</v>
      </c>
      <c r="J35" s="22">
        <f t="shared" ref="J35:M35" si="2">1-(1/J34)</f>
        <v>0.62632794457274832</v>
      </c>
      <c r="K35" s="22">
        <f t="shared" si="2"/>
        <v>0.83475192028233347</v>
      </c>
      <c r="L35" s="22">
        <f t="shared" si="2"/>
        <v>0.83343477378778652</v>
      </c>
      <c r="M35" s="22">
        <f t="shared" si="2"/>
        <v>0.99139966273187186</v>
      </c>
      <c r="N35" s="19" t="s">
        <v>33</v>
      </c>
      <c r="O35" s="22">
        <f t="shared" ref="O35:R35" si="3">1-(1/O34)</f>
        <v>1.2058914728682171</v>
      </c>
      <c r="P35" s="22">
        <f t="shared" si="3"/>
        <v>1.082311320754717</v>
      </c>
      <c r="Q35" s="22">
        <f t="shared" si="3"/>
        <v>1.123778735632184</v>
      </c>
      <c r="R35" s="22">
        <f t="shared" si="3"/>
        <v>0.98950644087422202</v>
      </c>
      <c r="S35" s="19" t="s">
        <v>33</v>
      </c>
      <c r="T35" s="22">
        <f t="shared" ref="T35:U35" si="4">1-(1/T34)</f>
        <v>0.78424985629430921</v>
      </c>
      <c r="U35" s="22">
        <f t="shared" si="4"/>
        <v>0.87727991565629937</v>
      </c>
    </row>
    <row r="36" spans="4:21" x14ac:dyDescent="0.2">
      <c r="D36" s="19" t="s">
        <v>25</v>
      </c>
      <c r="E36" s="23">
        <f>E12/E11</f>
        <v>2.0790818463600571</v>
      </c>
      <c r="F36" s="23">
        <f>F12/F11</f>
        <v>2.2001284344754826</v>
      </c>
      <c r="G36" s="23">
        <f>G12/G11</f>
        <v>2.1617842196590793</v>
      </c>
      <c r="H36" s="23">
        <f>H12/H11</f>
        <v>2.4667185442356039</v>
      </c>
      <c r="I36" s="19" t="s">
        <v>25</v>
      </c>
      <c r="J36" s="23">
        <f>J12/J11</f>
        <v>2.8563860639573102</v>
      </c>
      <c r="K36" s="23">
        <f>K12/K11</f>
        <v>2.4191455972101132</v>
      </c>
      <c r="L36" s="23">
        <f>L12/L11</f>
        <v>2.8900132514154921</v>
      </c>
      <c r="M36" s="23">
        <f>M12/M11</f>
        <v>3.5885071711059227</v>
      </c>
      <c r="N36" s="19" t="s">
        <v>25</v>
      </c>
      <c r="O36" s="23">
        <f>O12/O11</f>
        <v>2.8600902293004511</v>
      </c>
      <c r="P36" s="23">
        <f>P12/P11</f>
        <v>2.9471658134588479</v>
      </c>
      <c r="Q36" s="23">
        <f>Q12/Q11</f>
        <v>2.9044502394709482</v>
      </c>
      <c r="R36" s="23">
        <f>R12/R11</f>
        <v>2.8705960009901261</v>
      </c>
      <c r="S36" s="19" t="s">
        <v>25</v>
      </c>
      <c r="T36" s="23">
        <f>T12/T11</f>
        <v>2.4832612848094904</v>
      </c>
      <c r="U36" s="23">
        <f>U12/U11</f>
        <v>2.3245502813218164</v>
      </c>
    </row>
    <row r="37" spans="4:21" x14ac:dyDescent="0.2">
      <c r="D37" s="19" t="s">
        <v>32</v>
      </c>
      <c r="E37" s="20">
        <f>E8/E7</f>
        <v>0.73876507124588964</v>
      </c>
      <c r="F37" s="20">
        <f>F8/F7</f>
        <v>0.83348837209302329</v>
      </c>
      <c r="G37" s="20">
        <f>G8/G7</f>
        <v>0.84271099744245526</v>
      </c>
      <c r="H37" s="20">
        <f>H8/H7</f>
        <v>0.7687520471667213</v>
      </c>
      <c r="I37" s="19" t="s">
        <v>32</v>
      </c>
      <c r="J37" s="20">
        <f>J8/J7</f>
        <v>1.7699115044247787E-2</v>
      </c>
      <c r="K37" s="20">
        <f>K8/K7</f>
        <v>1.6488435712509326</v>
      </c>
      <c r="L37" s="20">
        <f>L8/L7</f>
        <v>0.88412852969814992</v>
      </c>
      <c r="M37" s="20">
        <f>M8/M7</f>
        <v>0.59704031297839766</v>
      </c>
      <c r="N37" s="19" t="s">
        <v>32</v>
      </c>
      <c r="O37" s="20">
        <f>O8/O7</f>
        <v>0.75632124796434386</v>
      </c>
      <c r="P37" s="20">
        <f>P8/P7</f>
        <v>0.76427326214861624</v>
      </c>
      <c r="Q37" s="20">
        <f>Q8/Q7</f>
        <v>0.77689701463913574</v>
      </c>
      <c r="R37" s="20">
        <f>R8/R7</f>
        <v>0.83836758575294379</v>
      </c>
      <c r="S37" s="19" t="s">
        <v>32</v>
      </c>
      <c r="T37" s="20">
        <f>T8/T7</f>
        <v>0.4998778402150012</v>
      </c>
      <c r="U37" s="20">
        <f>U8/U7</f>
        <v>1.2274966951087609</v>
      </c>
    </row>
    <row r="38" spans="4:21" x14ac:dyDescent="0.2">
      <c r="D38" s="8"/>
      <c r="E38" s="9"/>
      <c r="F38" s="9"/>
      <c r="G38" s="9"/>
      <c r="H38" s="9"/>
      <c r="I38" s="8"/>
      <c r="J38" s="9"/>
      <c r="K38" s="9"/>
      <c r="L38" s="9"/>
      <c r="M38" s="9"/>
      <c r="N38" s="8"/>
      <c r="O38" s="9"/>
      <c r="P38" s="9"/>
      <c r="Q38" s="9"/>
      <c r="R38" s="9"/>
      <c r="S38" s="8"/>
      <c r="T38" s="9"/>
      <c r="U38" s="9"/>
    </row>
    <row r="39" spans="4:21" x14ac:dyDescent="0.2">
      <c r="D39" s="19" t="s">
        <v>26</v>
      </c>
      <c r="E39" s="21">
        <f>E16/E20</f>
        <v>1.1440301171583422</v>
      </c>
      <c r="F39" s="21">
        <f>F16/F20</f>
        <v>0.98823343848580447</v>
      </c>
      <c r="G39" s="21">
        <f>G16/G20</f>
        <v>0.93813745750283317</v>
      </c>
      <c r="H39" s="21">
        <f>H16/H20</f>
        <v>0.89726212151864593</v>
      </c>
      <c r="I39" s="19" t="s">
        <v>26</v>
      </c>
      <c r="J39" s="21">
        <f>J16/J20</f>
        <v>1.0260265901580552</v>
      </c>
      <c r="K39" s="21">
        <f>K16/K20</f>
        <v>0.80573880149467181</v>
      </c>
      <c r="L39" s="21">
        <f>L16/L20</f>
        <v>0.82394457115806685</v>
      </c>
      <c r="M39" s="21">
        <f>M16/M20</f>
        <v>0.76739512153842904</v>
      </c>
      <c r="N39" s="19" t="s">
        <v>26</v>
      </c>
      <c r="O39" s="21">
        <f>O16/O20</f>
        <v>1.1785502690284746</v>
      </c>
      <c r="P39" s="21">
        <f>P16/P20</f>
        <v>1.1163562087611063</v>
      </c>
      <c r="Q39" s="21">
        <f>Q16/Q20</f>
        <v>1.0926843208230139</v>
      </c>
      <c r="R39" s="21">
        <f>R16/R20</f>
        <v>0.99827294889300389</v>
      </c>
      <c r="S39" s="19" t="s">
        <v>26</v>
      </c>
      <c r="T39" s="21">
        <f>T16/T20</f>
        <v>1.0780816034359342</v>
      </c>
      <c r="U39" s="21">
        <f>U16/U20</f>
        <v>0.88281770458603137</v>
      </c>
    </row>
    <row r="40" spans="4:21" x14ac:dyDescent="0.2">
      <c r="D40" s="19" t="s">
        <v>35</v>
      </c>
      <c r="E40" s="21">
        <f>E23/E14</f>
        <v>0.45177738927738925</v>
      </c>
      <c r="F40" s="21">
        <f>F23/F14</f>
        <v>0.74344521308395251</v>
      </c>
      <c r="G40" s="21">
        <f t="shared" ref="G40:H40" si="5">G23/G14</f>
        <v>1.080994076744785</v>
      </c>
      <c r="H40" s="21">
        <f t="shared" si="5"/>
        <v>0.7074909279419388</v>
      </c>
      <c r="I40" s="19" t="s">
        <v>35</v>
      </c>
      <c r="J40" s="21">
        <f>J23/J14</f>
        <v>0.42220689655172416</v>
      </c>
      <c r="K40" s="21">
        <f>K23/K14</f>
        <v>0.79143656857553524</v>
      </c>
      <c r="L40" s="21">
        <f t="shared" ref="L40:M40" si="6">L23/L14</f>
        <v>0.67512724804886326</v>
      </c>
      <c r="M40" s="21">
        <f t="shared" si="6"/>
        <v>0.57344008834897842</v>
      </c>
      <c r="N40" s="19" t="s">
        <v>35</v>
      </c>
      <c r="O40" s="21">
        <f>O23/O14</f>
        <v>0.11406570653767224</v>
      </c>
      <c r="P40" s="21">
        <f>P23/P14</f>
        <v>8.2937853107344639E-2</v>
      </c>
      <c r="Q40" s="21">
        <f t="shared" ref="Q40:U40" si="7">Q23/Q14</f>
        <v>3.5731483210330289E-2</v>
      </c>
      <c r="R40" s="21">
        <f t="shared" si="7"/>
        <v>-6.7827848912751067E-3</v>
      </c>
      <c r="S40" s="19" t="s">
        <v>35</v>
      </c>
      <c r="T40" s="21">
        <f t="shared" ref="T40" si="8">T23/T14</f>
        <v>0.43364902192908283</v>
      </c>
      <c r="U40" s="21">
        <f t="shared" si="7"/>
        <v>0.76889441591784335</v>
      </c>
    </row>
    <row r="41" spans="4:21" x14ac:dyDescent="0.2">
      <c r="D41" s="19" t="s">
        <v>39</v>
      </c>
      <c r="E41" s="20">
        <f>(E19+E18-E21)/E4</f>
        <v>-6.3621694602693707E-2</v>
      </c>
      <c r="F41" s="20">
        <f>(F19+F18-F21)/F4</f>
        <v>-3.7614912151583683E-2</v>
      </c>
      <c r="G41" s="20">
        <f t="shared" ref="G41:U41" si="9">(G19+G18-G21)/G4</f>
        <v>-3.3325678468666839E-2</v>
      </c>
      <c r="H41" s="20">
        <f t="shared" si="9"/>
        <v>-1.8488177846312001E-2</v>
      </c>
      <c r="I41" s="19" t="s">
        <v>36</v>
      </c>
      <c r="J41" s="20">
        <f t="shared" ref="J41" si="10">(J19+J18-J21)/J4</f>
        <v>-8.0033688679680651E-2</v>
      </c>
      <c r="K41" s="20">
        <f t="shared" si="9"/>
        <v>-4.8674979433758217E-2</v>
      </c>
      <c r="L41" s="20">
        <f t="shared" si="9"/>
        <v>-1.219976089555483E-2</v>
      </c>
      <c r="M41" s="20">
        <f t="shared" si="9"/>
        <v>-1.0687600491818784E-2</v>
      </c>
      <c r="N41" s="19" t="s">
        <v>36</v>
      </c>
      <c r="O41" s="20">
        <f t="shared" ref="O41" si="11">(O19+O18-O21)/O4</f>
        <v>0.200866818614167</v>
      </c>
      <c r="P41" s="20">
        <f t="shared" si="9"/>
        <v>0.19478925868456887</v>
      </c>
      <c r="Q41" s="20">
        <f t="shared" si="9"/>
        <v>0.19601100704264168</v>
      </c>
      <c r="R41" s="20">
        <f t="shared" si="9"/>
        <v>0.15714223480723155</v>
      </c>
      <c r="S41" s="19" t="s">
        <v>36</v>
      </c>
      <c r="T41" s="20">
        <f t="shared" ref="T41" si="12">(T19+T18-T21)/T4</f>
        <v>-7.3271826877416735E-2</v>
      </c>
      <c r="U41" s="20">
        <f t="shared" si="9"/>
        <v>-4.4156397948807664E-2</v>
      </c>
    </row>
    <row r="42" spans="4:21" x14ac:dyDescent="0.2">
      <c r="D42" s="19" t="s">
        <v>37</v>
      </c>
      <c r="E42" s="21">
        <f>E4/E18</f>
        <v>11.318300409988819</v>
      </c>
      <c r="F42" s="21">
        <f>F4/F18</f>
        <v>11.920721008135269</v>
      </c>
      <c r="G42" s="21">
        <f t="shared" ref="G42:U42" si="13">G4/G18</f>
        <v>11.032339791356184</v>
      </c>
      <c r="H42" s="21">
        <f t="shared" si="13"/>
        <v>8.5410893126629173</v>
      </c>
      <c r="I42" s="19" t="s">
        <v>37</v>
      </c>
      <c r="J42" s="21">
        <f t="shared" ref="J42" si="14">J4/J18</f>
        <v>10.708673091178651</v>
      </c>
      <c r="K42" s="21">
        <f t="shared" si="13"/>
        <v>11.128060069944455</v>
      </c>
      <c r="L42" s="21">
        <f t="shared" si="13"/>
        <v>10.324668038152234</v>
      </c>
      <c r="M42" s="21">
        <f t="shared" si="13"/>
        <v>8.1821699427333225</v>
      </c>
      <c r="N42" s="19" t="s">
        <v>37</v>
      </c>
      <c r="O42" s="21">
        <f t="shared" ref="O42" si="15">O4/O18</f>
        <v>5.0860050658330103</v>
      </c>
      <c r="P42" s="21">
        <f t="shared" si="13"/>
        <v>5.4048179367592315</v>
      </c>
      <c r="Q42" s="21">
        <f t="shared" si="13"/>
        <v>5.1557328669799976</v>
      </c>
      <c r="R42" s="21">
        <f t="shared" si="13"/>
        <v>5.679821848323642</v>
      </c>
      <c r="S42" s="19" t="s">
        <v>37</v>
      </c>
      <c r="T42" s="21">
        <f t="shared" ref="T42" si="16">T4/T18</f>
        <v>10.951708766716196</v>
      </c>
      <c r="U42" s="21">
        <f t="shared" si="13"/>
        <v>11.438809330248265</v>
      </c>
    </row>
    <row r="43" spans="4:21" x14ac:dyDescent="0.2">
      <c r="D43" s="19" t="s">
        <v>40</v>
      </c>
      <c r="E43" s="20">
        <f>(E14-E17)/E10</f>
        <v>-0.12467691470548224</v>
      </c>
      <c r="F43" s="20">
        <f>(F14-F17)/F10</f>
        <v>-8.7779147435713675E-2</v>
      </c>
      <c r="G43" s="20">
        <f t="shared" ref="G43:H43" si="17">(G14-G17)/G10</f>
        <v>-0.12364411157024793</v>
      </c>
      <c r="H43" s="20">
        <f t="shared" si="17"/>
        <v>-7.2140205473538804E-2</v>
      </c>
      <c r="I43" s="19" t="s">
        <v>40</v>
      </c>
      <c r="J43" s="20">
        <f>(J14-J17)/J10</f>
        <v>-2.1016745212072595E-2</v>
      </c>
      <c r="K43" s="20">
        <f>(K14-K17)/K10</f>
        <v>-1.8583493125535474E-2</v>
      </c>
      <c r="L43" s="20">
        <f t="shared" ref="L43:M43" si="18">(L14-L17)/L10</f>
        <v>2.3587583743664386E-2</v>
      </c>
      <c r="M43" s="20">
        <f t="shared" si="18"/>
        <v>5.6823019969054714E-2</v>
      </c>
      <c r="N43" s="19" t="s">
        <v>40</v>
      </c>
      <c r="O43" s="20">
        <f>(O14-O17)/O10</f>
        <v>0.37093101381172128</v>
      </c>
      <c r="P43" s="20">
        <f>(P14-P17)/P10</f>
        <v>0.3911357159101852</v>
      </c>
      <c r="Q43" s="20">
        <f t="shared" ref="Q43:U43" si="19">(Q14-Q17)/Q10</f>
        <v>0.38104924960057274</v>
      </c>
      <c r="R43" s="20">
        <f t="shared" si="19"/>
        <v>0.37009140369451887</v>
      </c>
      <c r="S43" s="19" t="s">
        <v>40</v>
      </c>
      <c r="T43" s="20">
        <f t="shared" ref="T43" si="20">(T14-T17)/T10</f>
        <v>-6.5002308935580691E-2</v>
      </c>
      <c r="U43" s="20">
        <f t="shared" si="19"/>
        <v>-4.7351170967165249E-2</v>
      </c>
    </row>
    <row r="44" spans="4:21" x14ac:dyDescent="0.2">
      <c r="D44" s="8"/>
      <c r="E44" s="9"/>
      <c r="F44" s="9"/>
      <c r="G44" s="9"/>
      <c r="H44" s="9"/>
      <c r="I44" s="10"/>
      <c r="J44" s="10"/>
      <c r="K44" s="10"/>
    </row>
    <row r="45" spans="4:21" x14ac:dyDescent="0.2">
      <c r="D45" s="8"/>
      <c r="E45" s="9"/>
      <c r="F45" s="9"/>
      <c r="G45" s="9"/>
      <c r="H45" s="9"/>
      <c r="I45" s="10"/>
      <c r="J45" s="10"/>
      <c r="K45" s="10"/>
    </row>
    <row r="46" spans="4:21" x14ac:dyDescent="0.2">
      <c r="D46" s="8"/>
      <c r="E46" s="9"/>
      <c r="F46" s="9"/>
      <c r="G46" s="9"/>
      <c r="H46" s="9"/>
      <c r="I46" s="10"/>
      <c r="J46" s="10"/>
      <c r="K46" s="10"/>
    </row>
    <row r="47" spans="4:21" x14ac:dyDescent="0.2">
      <c r="D47" s="8"/>
      <c r="E47" s="9"/>
      <c r="F47" s="9"/>
      <c r="G47" s="9"/>
      <c r="H47" s="9"/>
      <c r="I47" s="10"/>
      <c r="J47" s="10"/>
      <c r="K47" s="10"/>
    </row>
    <row r="48" spans="4:21" x14ac:dyDescent="0.2">
      <c r="D48" s="8"/>
      <c r="E48" s="9"/>
      <c r="F48" s="9"/>
      <c r="G48" s="9"/>
      <c r="H48" s="9"/>
      <c r="I48" s="10"/>
      <c r="J48" s="10"/>
      <c r="K48" s="10"/>
    </row>
    <row r="49" spans="4:13" x14ac:dyDescent="0.2">
      <c r="D49" s="8"/>
      <c r="E49" s="9"/>
      <c r="F49" s="9"/>
      <c r="G49" s="9"/>
      <c r="H49" s="9"/>
      <c r="I49" s="10"/>
      <c r="J49" s="10"/>
      <c r="K49" s="10"/>
    </row>
    <row r="50" spans="4:13" x14ac:dyDescent="0.2">
      <c r="D50" s="8"/>
      <c r="E50" s="9"/>
      <c r="F50" s="9"/>
      <c r="G50" s="9"/>
      <c r="H50" s="9"/>
      <c r="I50" s="10"/>
      <c r="J50" s="10"/>
      <c r="K50" s="10"/>
    </row>
    <row r="51" spans="4:13" x14ac:dyDescent="0.2">
      <c r="D51" s="24" t="s">
        <v>6</v>
      </c>
      <c r="E51" s="4">
        <v>2020</v>
      </c>
      <c r="F51" s="4">
        <v>2019</v>
      </c>
      <c r="G51" s="4">
        <v>2018</v>
      </c>
      <c r="H51" s="4">
        <v>2017</v>
      </c>
      <c r="I51" s="24" t="s">
        <v>8</v>
      </c>
      <c r="J51" s="4">
        <v>2020</v>
      </c>
      <c r="K51" s="4">
        <v>2019</v>
      </c>
      <c r="L51" s="4">
        <v>2018</v>
      </c>
      <c r="M51" s="4">
        <v>2017</v>
      </c>
    </row>
    <row r="52" spans="4:13" x14ac:dyDescent="0.2">
      <c r="D52" s="3" t="s">
        <v>2</v>
      </c>
      <c r="E52" s="34">
        <f>E26</f>
        <v>8.4694646896205081E-2</v>
      </c>
      <c r="F52" s="34">
        <f>F26</f>
        <v>0.1643961286179533</v>
      </c>
      <c r="G52" s="34">
        <f>G26</f>
        <v>0.16816372358885373</v>
      </c>
      <c r="H52" s="34">
        <f>H26</f>
        <v>0.14048844726445589</v>
      </c>
      <c r="I52" s="3" t="s">
        <v>2</v>
      </c>
      <c r="J52" s="34">
        <f>E30</f>
        <v>5.0284848684427175E-2</v>
      </c>
      <c r="K52" s="34">
        <f>F30</f>
        <v>6.2464037681818789E-2</v>
      </c>
      <c r="L52" s="34">
        <f>G30</f>
        <v>5.9437772704553742E-2</v>
      </c>
      <c r="M52" s="34">
        <f>H30</f>
        <v>4.9376766897969673E-2</v>
      </c>
    </row>
    <row r="53" spans="4:13" x14ac:dyDescent="0.2">
      <c r="D53" s="6" t="s">
        <v>1</v>
      </c>
      <c r="E53" s="34">
        <f>J26</f>
        <v>9.2803835891883536E-4</v>
      </c>
      <c r="F53" s="34">
        <f>K26</f>
        <v>0.23121185701830863</v>
      </c>
      <c r="G53" s="34">
        <f>L26</f>
        <v>0.14584588202224633</v>
      </c>
      <c r="H53" s="34">
        <f>M26</f>
        <v>0.16724639062276647</v>
      </c>
      <c r="I53" s="6" t="s">
        <v>1</v>
      </c>
      <c r="J53" s="34">
        <f>J30</f>
        <v>2.4978079283769439E-2</v>
      </c>
      <c r="K53" s="34">
        <f>K30</f>
        <v>4.4524758057807312E-2</v>
      </c>
      <c r="L53" s="34">
        <f>L30</f>
        <v>4.4641886751440062E-2</v>
      </c>
      <c r="M53" s="34">
        <f>M30</f>
        <v>5.6086257448217158E-2</v>
      </c>
    </row>
    <row r="54" spans="4:13" x14ac:dyDescent="0.2">
      <c r="D54" s="7" t="s">
        <v>3</v>
      </c>
      <c r="E54" s="34">
        <f>O26</f>
        <v>6.8518360342591803E-2</v>
      </c>
      <c r="F54" s="34">
        <f>P26</f>
        <v>0.11345642170301898</v>
      </c>
      <c r="G54" s="34">
        <f>Q26</f>
        <v>0.10356905455847011</v>
      </c>
      <c r="H54" s="34">
        <f>R26</f>
        <v>0.10509089908963393</v>
      </c>
      <c r="I54" s="7" t="s">
        <v>3</v>
      </c>
      <c r="J54" s="34">
        <f>O30</f>
        <v>4.3408230290195797E-2</v>
      </c>
      <c r="K54" s="34">
        <f>P30</f>
        <v>6.7133221444630922E-2</v>
      </c>
      <c r="L54" s="34">
        <f>Q30</f>
        <v>5.9020814164995397E-2</v>
      </c>
      <c r="M54" s="34">
        <f>R30</f>
        <v>6.019603572206491E-2</v>
      </c>
    </row>
    <row r="55" spans="4:13" hidden="1" x14ac:dyDescent="0.2">
      <c r="D55" s="11" t="s">
        <v>27</v>
      </c>
      <c r="E55" s="34">
        <f>T26</f>
        <v>4.1138031567306728E-2</v>
      </c>
      <c r="F55" s="34">
        <f>U26</f>
        <v>0.20235359378714637</v>
      </c>
      <c r="G55" s="9"/>
      <c r="H55" s="9"/>
      <c r="I55" s="11" t="s">
        <v>27</v>
      </c>
      <c r="J55" s="34">
        <f>T30</f>
        <v>3.5404653686995455E-2</v>
      </c>
      <c r="K55" s="34">
        <f>U30</f>
        <v>5.1853836145157942E-2</v>
      </c>
      <c r="L55" s="9"/>
      <c r="M55" s="9"/>
    </row>
    <row r="56" spans="4:13" x14ac:dyDescent="0.2">
      <c r="D56" s="35" t="s">
        <v>29</v>
      </c>
      <c r="E56" s="34">
        <f>AVERAGE(E52:E54)</f>
        <v>5.1380348532571903E-2</v>
      </c>
      <c r="F56" s="34">
        <f>AVERAGE(F52:F54)</f>
        <v>0.1696881357797603</v>
      </c>
      <c r="G56" s="34">
        <f t="shared" ref="G56:H56" si="21">AVERAGE(G52:G54)</f>
        <v>0.13919288672319005</v>
      </c>
      <c r="H56" s="34">
        <f t="shared" si="21"/>
        <v>0.13760857899228543</v>
      </c>
      <c r="I56" s="35" t="s">
        <v>29</v>
      </c>
      <c r="J56" s="34">
        <f>AVERAGE(J52:J54)</f>
        <v>3.9557052752797472E-2</v>
      </c>
      <c r="K56" s="34">
        <f>AVERAGE(K52:K54)</f>
        <v>5.8040672394752336E-2</v>
      </c>
      <c r="L56" s="34">
        <f t="shared" ref="L56:M56" si="22">AVERAGE(L52:L54)</f>
        <v>5.4366824540329733E-2</v>
      </c>
      <c r="M56" s="34">
        <f t="shared" si="22"/>
        <v>5.5219686689417243E-2</v>
      </c>
    </row>
    <row r="57" spans="4:13" x14ac:dyDescent="0.2">
      <c r="D57" s="8"/>
      <c r="E57" s="9"/>
      <c r="F57" s="9"/>
      <c r="G57" s="9"/>
      <c r="H57" s="9"/>
      <c r="I57" s="8"/>
      <c r="J57" s="8"/>
      <c r="K57" s="8"/>
    </row>
    <row r="58" spans="4:13" x14ac:dyDescent="0.2">
      <c r="D58" s="25" t="s">
        <v>0</v>
      </c>
      <c r="E58" s="4">
        <v>2020</v>
      </c>
      <c r="F58" s="4">
        <v>2019</v>
      </c>
      <c r="G58" s="4">
        <v>2018</v>
      </c>
      <c r="H58" s="4">
        <v>2017</v>
      </c>
      <c r="I58" s="24" t="s">
        <v>4</v>
      </c>
      <c r="J58" s="4">
        <v>2020</v>
      </c>
      <c r="K58" s="4">
        <v>2019</v>
      </c>
      <c r="L58" s="4">
        <v>2018</v>
      </c>
      <c r="M58" s="4">
        <v>2017</v>
      </c>
    </row>
    <row r="59" spans="4:13" x14ac:dyDescent="0.2">
      <c r="D59" s="3" t="s">
        <v>2</v>
      </c>
      <c r="E59" s="34">
        <f>E29</f>
        <v>4.1545367977145968E-2</v>
      </c>
      <c r="F59" s="34">
        <f>F29</f>
        <v>6.6909382793911079E-2</v>
      </c>
      <c r="G59" s="34">
        <f>G29</f>
        <v>7.1022727272727279E-2</v>
      </c>
      <c r="H59" s="34">
        <f>H29</f>
        <v>5.3077786411119744E-2</v>
      </c>
      <c r="I59" s="3" t="s">
        <v>2</v>
      </c>
      <c r="J59" s="34">
        <f>E32</f>
        <v>0.1171008002107551</v>
      </c>
      <c r="K59" s="34">
        <f>F32</f>
        <v>0.11220243272537501</v>
      </c>
      <c r="L59" s="34">
        <f>G32</f>
        <v>9.9895983897767035E-2</v>
      </c>
      <c r="M59" s="34">
        <f>H32</f>
        <v>9.3308275507581598E-2</v>
      </c>
    </row>
    <row r="60" spans="4:13" x14ac:dyDescent="0.2">
      <c r="D60" s="6" t="s">
        <v>1</v>
      </c>
      <c r="E60" s="34">
        <f>J29</f>
        <v>2.1708613255790633E-2</v>
      </c>
      <c r="F60" s="34">
        <f>K29</f>
        <v>4.9131002407082534E-2</v>
      </c>
      <c r="G60" s="34">
        <f>L29</f>
        <v>5.0881050447493109E-2</v>
      </c>
      <c r="H60" s="34">
        <f>M29</f>
        <v>6.1579040280792113E-2</v>
      </c>
      <c r="I60" s="6" t="s">
        <v>1</v>
      </c>
      <c r="J60" s="34">
        <f>J32</f>
        <v>8.4313996954174172E-2</v>
      </c>
      <c r="K60" s="34">
        <f>K32</f>
        <v>9.4854280089104973E-2</v>
      </c>
      <c r="L60" s="34">
        <f>L32</f>
        <v>9.4518711734231792E-2</v>
      </c>
      <c r="M60" s="34">
        <f>M32</f>
        <v>0.10785964248557647</v>
      </c>
    </row>
    <row r="61" spans="4:13" x14ac:dyDescent="0.2">
      <c r="D61" s="7" t="s">
        <v>3</v>
      </c>
      <c r="E61" s="37">
        <f>O29</f>
        <v>1.9462336606894996E-2</v>
      </c>
      <c r="F61" s="37">
        <f>P29</f>
        <v>3.4749042659776956E-2</v>
      </c>
      <c r="G61" s="37">
        <f>Q29</f>
        <v>3.0382664419979222E-2</v>
      </c>
      <c r="H61" s="37">
        <f>R29</f>
        <v>3.2729107304005516E-2</v>
      </c>
      <c r="I61" s="7" t="s">
        <v>3</v>
      </c>
      <c r="J61" s="34">
        <f>O32</f>
        <v>0.16486154232695036</v>
      </c>
      <c r="K61" s="34">
        <f>P32</f>
        <v>0.1638707685487191</v>
      </c>
      <c r="L61" s="34">
        <f>Q32</f>
        <v>0.1546794771230745</v>
      </c>
      <c r="M61" s="34">
        <f>R32</f>
        <v>0.15675887606186015</v>
      </c>
    </row>
    <row r="62" spans="4:13" hidden="1" x14ac:dyDescent="0.2">
      <c r="D62" s="11" t="s">
        <v>27</v>
      </c>
      <c r="E62" s="37">
        <f>T29</f>
        <v>3.0125836989148003E-2</v>
      </c>
      <c r="F62" s="37">
        <f>U29</f>
        <v>5.6522257314820336E-2</v>
      </c>
      <c r="I62" s="11" t="s">
        <v>27</v>
      </c>
      <c r="J62" s="34">
        <f>T32</f>
        <v>9.7822400108540805E-2</v>
      </c>
      <c r="K62" s="34">
        <f>U32</f>
        <v>0.10194185372680654</v>
      </c>
      <c r="L62" s="9"/>
      <c r="M62" s="9"/>
    </row>
    <row r="63" spans="4:13" x14ac:dyDescent="0.2">
      <c r="D63" s="35" t="s">
        <v>29</v>
      </c>
      <c r="E63" s="34">
        <f>AVERAGE(E59:E61)</f>
        <v>2.7572105946610536E-2</v>
      </c>
      <c r="F63" s="34">
        <f>AVERAGE(F59:F61)</f>
        <v>5.0263142620256857E-2</v>
      </c>
      <c r="G63" s="34">
        <f t="shared" ref="G63:H63" si="23">AVERAGE(G59:G61)</f>
        <v>5.0762147380066534E-2</v>
      </c>
      <c r="H63" s="34">
        <f t="shared" si="23"/>
        <v>4.9128644665305789E-2</v>
      </c>
      <c r="I63" s="35" t="s">
        <v>29</v>
      </c>
      <c r="J63" s="34">
        <f>AVERAGE(J59:J61)</f>
        <v>0.12209211316395989</v>
      </c>
      <c r="K63" s="34">
        <f>AVERAGE(K59:K61)</f>
        <v>0.12364249378773302</v>
      </c>
      <c r="L63" s="34">
        <f t="shared" ref="L63:M63" si="24">AVERAGE(L59:L61)</f>
        <v>0.1163647242516911</v>
      </c>
      <c r="M63" s="34">
        <f t="shared" si="24"/>
        <v>0.11930893135167275</v>
      </c>
    </row>
    <row r="65" spans="4:13" x14ac:dyDescent="0.2">
      <c r="D65" s="26" t="s">
        <v>28</v>
      </c>
      <c r="E65" s="4">
        <v>2020</v>
      </c>
      <c r="F65" s="27">
        <v>2019</v>
      </c>
      <c r="G65" s="28">
        <v>2018</v>
      </c>
      <c r="H65" s="28">
        <v>2017</v>
      </c>
      <c r="I65" s="24" t="s">
        <v>9</v>
      </c>
      <c r="J65" s="4">
        <v>2020</v>
      </c>
      <c r="K65" s="4">
        <v>2019</v>
      </c>
      <c r="L65" s="4">
        <v>2018</v>
      </c>
      <c r="M65" s="4">
        <v>2017</v>
      </c>
    </row>
    <row r="66" spans="4:13" x14ac:dyDescent="0.2">
      <c r="D66" s="29" t="s">
        <v>2</v>
      </c>
      <c r="E66" s="38">
        <f>E36</f>
        <v>2.0790818463600571</v>
      </c>
      <c r="F66" s="38">
        <f>F36</f>
        <v>2.2001284344754826</v>
      </c>
      <c r="G66" s="38">
        <f>G36</f>
        <v>2.1617842196590793</v>
      </c>
      <c r="H66" s="38">
        <f>H36</f>
        <v>2.4667185442356039</v>
      </c>
      <c r="I66" s="3" t="s">
        <v>2</v>
      </c>
      <c r="J66" s="36">
        <f>E31</f>
        <v>0.82620051693647123</v>
      </c>
      <c r="K66" s="36">
        <f>F31</f>
        <v>1.0711664707737294</v>
      </c>
      <c r="L66" s="36">
        <f>G31</f>
        <v>1.1949089617768596</v>
      </c>
      <c r="M66" s="36">
        <f>H31</f>
        <v>1.074954674954675</v>
      </c>
    </row>
    <row r="67" spans="4:13" x14ac:dyDescent="0.2">
      <c r="D67" s="31" t="s">
        <v>1</v>
      </c>
      <c r="E67" s="38">
        <f>J36</f>
        <v>2.8563860639573102</v>
      </c>
      <c r="F67" s="38">
        <f>K36</f>
        <v>2.4191455972101132</v>
      </c>
      <c r="G67" s="38">
        <f>L36</f>
        <v>2.8900132514154921</v>
      </c>
      <c r="H67" s="38">
        <f>M36</f>
        <v>3.5885071711059227</v>
      </c>
      <c r="I67" s="6" t="s">
        <v>1</v>
      </c>
      <c r="J67" s="36">
        <f>J31</f>
        <v>0.86910658778702499</v>
      </c>
      <c r="K67" s="36">
        <f>K31</f>
        <v>1.1034535514666883</v>
      </c>
      <c r="L67" s="36">
        <f>L31</f>
        <v>1.1397603047288718</v>
      </c>
      <c r="M67" s="36">
        <f>M31</f>
        <v>1.0979345579912565</v>
      </c>
    </row>
    <row r="68" spans="4:13" x14ac:dyDescent="0.2">
      <c r="D68" s="32" t="s">
        <v>3</v>
      </c>
      <c r="E68" s="38">
        <f>O36</f>
        <v>2.8600902293004511</v>
      </c>
      <c r="F68" s="38">
        <f>P36</f>
        <v>2.9471658134588479</v>
      </c>
      <c r="G68" s="38">
        <f>Q36</f>
        <v>2.9044502394709482</v>
      </c>
      <c r="H68" s="38">
        <f>R36</f>
        <v>2.8705960009901261</v>
      </c>
      <c r="I68" s="7" t="s">
        <v>3</v>
      </c>
      <c r="J68" s="36">
        <f>O31</f>
        <v>0.44835591031433436</v>
      </c>
      <c r="K68" s="36">
        <f>P31</f>
        <v>0.51761321610995126</v>
      </c>
      <c r="L68" s="36">
        <f>Q31</f>
        <v>0.51477880896463213</v>
      </c>
      <c r="M68" s="36">
        <f>R31</f>
        <v>0.54370868299569153</v>
      </c>
    </row>
    <row r="69" spans="4:13" hidden="1" x14ac:dyDescent="0.2">
      <c r="D69" s="33" t="s">
        <v>27</v>
      </c>
      <c r="E69" s="38">
        <f>T36</f>
        <v>2.4832612848094904</v>
      </c>
      <c r="F69" s="38">
        <f>U36</f>
        <v>2.3245502813218164</v>
      </c>
      <c r="G69" s="30"/>
      <c r="H69" s="30"/>
      <c r="I69" s="11" t="s">
        <v>27</v>
      </c>
      <c r="J69" s="36">
        <f>T31</f>
        <v>0.85090048487647196</v>
      </c>
      <c r="K69" s="36">
        <f>U31</f>
        <v>1.0900303915142124</v>
      </c>
      <c r="L69" s="9"/>
      <c r="M69" s="9"/>
    </row>
    <row r="70" spans="4:13" x14ac:dyDescent="0.2">
      <c r="D70" s="35" t="s">
        <v>29</v>
      </c>
      <c r="E70" s="39">
        <f>AVERAGE(E66:E68)</f>
        <v>2.5985193798726063</v>
      </c>
      <c r="F70" s="39">
        <f>AVERAGE(F66:F68)</f>
        <v>2.5221466150481477</v>
      </c>
      <c r="G70" s="39">
        <f t="shared" ref="G70:H70" si="25">AVERAGE(G66:G68)</f>
        <v>2.65208257018184</v>
      </c>
      <c r="H70" s="39">
        <f t="shared" si="25"/>
        <v>2.9752739054438844</v>
      </c>
      <c r="I70" s="35" t="s">
        <v>29</v>
      </c>
      <c r="J70" s="39">
        <f>AVERAGE(J66:J68)</f>
        <v>0.71455433834594351</v>
      </c>
      <c r="K70" s="39">
        <f>AVERAGE(K66:K68)</f>
        <v>0.89741107945012288</v>
      </c>
      <c r="L70" s="39">
        <f t="shared" ref="L70:M70" si="26">AVERAGE(L66:L68)</f>
        <v>0.94981602515678765</v>
      </c>
      <c r="M70" s="39">
        <f t="shared" si="26"/>
        <v>0.90553263864720768</v>
      </c>
    </row>
    <row r="74" spans="4:13" x14ac:dyDescent="0.2">
      <c r="D74" s="25" t="s">
        <v>31</v>
      </c>
      <c r="E74" s="4">
        <v>2020</v>
      </c>
      <c r="F74" s="4">
        <v>2019</v>
      </c>
      <c r="G74" s="4">
        <v>2018</v>
      </c>
      <c r="H74" s="4">
        <v>2017</v>
      </c>
    </row>
    <row r="75" spans="4:13" x14ac:dyDescent="0.2">
      <c r="D75" s="3" t="s">
        <v>2</v>
      </c>
      <c r="E75" s="39">
        <f>E59/E$63</f>
        <v>1.5067897989944137</v>
      </c>
      <c r="F75" s="39">
        <f>F59/F$63</f>
        <v>1.3311818423177049</v>
      </c>
      <c r="G75" s="39">
        <f t="shared" ref="G75:H75" si="27">G59/G$63</f>
        <v>1.3991277150071224</v>
      </c>
      <c r="H75" s="39">
        <f t="shared" si="27"/>
        <v>1.0803836900593922</v>
      </c>
    </row>
    <row r="76" spans="4:13" x14ac:dyDescent="0.2">
      <c r="D76" s="6" t="s">
        <v>1</v>
      </c>
      <c r="E76" s="39">
        <f t="shared" ref="E76:H77" si="28">E60/E$63</f>
        <v>0.78733968663207221</v>
      </c>
      <c r="F76" s="39">
        <f t="shared" si="28"/>
        <v>0.97747573760503281</v>
      </c>
      <c r="G76" s="39">
        <f t="shared" si="28"/>
        <v>1.0023423569246652</v>
      </c>
      <c r="H76" s="39">
        <f t="shared" si="28"/>
        <v>1.253424365770845</v>
      </c>
    </row>
    <row r="77" spans="4:13" x14ac:dyDescent="0.2">
      <c r="D77" s="7" t="s">
        <v>3</v>
      </c>
      <c r="E77" s="39">
        <f t="shared" si="28"/>
        <v>0.70587051437351378</v>
      </c>
      <c r="F77" s="39">
        <f t="shared" si="28"/>
        <v>0.69134242007726221</v>
      </c>
      <c r="G77" s="39">
        <f t="shared" si="28"/>
        <v>0.59852992806821248</v>
      </c>
      <c r="H77" s="39">
        <f t="shared" si="28"/>
        <v>0.66619194416976291</v>
      </c>
    </row>
    <row r="79" spans="4:13" x14ac:dyDescent="0.2">
      <c r="D79" s="26" t="s">
        <v>30</v>
      </c>
      <c r="E79" s="4">
        <v>2020</v>
      </c>
      <c r="F79" s="27">
        <v>2019</v>
      </c>
      <c r="G79" s="28">
        <v>2018</v>
      </c>
      <c r="H79" s="28">
        <v>2017</v>
      </c>
    </row>
    <row r="80" spans="4:13" x14ac:dyDescent="0.2">
      <c r="D80" s="29" t="s">
        <v>2</v>
      </c>
      <c r="E80" s="38">
        <f>E66/E$70</f>
        <v>0.80010249777778653</v>
      </c>
      <c r="F80" s="38">
        <f>F66/F$70</f>
        <v>0.8723237663300879</v>
      </c>
      <c r="G80" s="38">
        <f t="shared" ref="G80:H80" si="29">G66/G$70</f>
        <v>0.81512704165574168</v>
      </c>
      <c r="H80" s="38">
        <f t="shared" si="29"/>
        <v>0.82907275855249085</v>
      </c>
    </row>
    <row r="81" spans="4:8" x14ac:dyDescent="0.2">
      <c r="D81" s="31" t="s">
        <v>1</v>
      </c>
      <c r="E81" s="38">
        <f t="shared" ref="E81:H82" si="30">E67/E$70</f>
        <v>1.0992360057354453</v>
      </c>
      <c r="F81" s="38">
        <f t="shared" si="30"/>
        <v>0.95916136785090578</v>
      </c>
      <c r="G81" s="38">
        <f t="shared" si="30"/>
        <v>1.089714658174213</v>
      </c>
      <c r="H81" s="38">
        <f t="shared" si="30"/>
        <v>1.2061098524542564</v>
      </c>
    </row>
    <row r="82" spans="4:8" x14ac:dyDescent="0.2">
      <c r="D82" s="32" t="s">
        <v>3</v>
      </c>
      <c r="E82" s="38">
        <f t="shared" si="30"/>
        <v>1.100661496486768</v>
      </c>
      <c r="F82" s="38">
        <f t="shared" si="30"/>
        <v>1.1685148658190065</v>
      </c>
      <c r="G82" s="38">
        <f t="shared" si="30"/>
        <v>1.0951583001700451</v>
      </c>
      <c r="H82" s="38">
        <f t="shared" si="30"/>
        <v>0.96481738899325264</v>
      </c>
    </row>
    <row r="87" spans="4:8" x14ac:dyDescent="0.2">
      <c r="D87" s="25" t="s">
        <v>26</v>
      </c>
      <c r="E87" s="4">
        <v>2020</v>
      </c>
      <c r="F87" s="4">
        <v>2019</v>
      </c>
      <c r="G87" s="4">
        <v>2018</v>
      </c>
      <c r="H87" s="4">
        <v>2017</v>
      </c>
    </row>
    <row r="88" spans="4:8" x14ac:dyDescent="0.2">
      <c r="D88" s="3" t="s">
        <v>2</v>
      </c>
      <c r="E88" s="39">
        <f>E39</f>
        <v>1.1440301171583422</v>
      </c>
      <c r="F88" s="39">
        <v>0.98823343848580447</v>
      </c>
      <c r="G88" s="39">
        <v>0.93813745750283317</v>
      </c>
      <c r="H88" s="39">
        <v>0.89726212151864593</v>
      </c>
    </row>
    <row r="89" spans="4:8" x14ac:dyDescent="0.2">
      <c r="D89" s="6" t="s">
        <v>1</v>
      </c>
      <c r="E89" s="39">
        <f>J39</f>
        <v>1.0260265901580552</v>
      </c>
      <c r="F89" s="39">
        <v>0.80573880149467181</v>
      </c>
      <c r="G89" s="39">
        <v>0.82394457115806685</v>
      </c>
      <c r="H89" s="39">
        <v>0.76739512153842904</v>
      </c>
    </row>
    <row r="90" spans="4:8" x14ac:dyDescent="0.2">
      <c r="D90" s="7" t="s">
        <v>3</v>
      </c>
      <c r="E90" s="41">
        <f>O39</f>
        <v>1.1785502690284746</v>
      </c>
      <c r="F90" s="41">
        <v>1.1163562087611063</v>
      </c>
      <c r="G90" s="41">
        <v>1.0926843208230139</v>
      </c>
      <c r="H90" s="41">
        <v>0.99827294889300389</v>
      </c>
    </row>
    <row r="92" spans="4:8" x14ac:dyDescent="0.2">
      <c r="D92" s="25" t="s">
        <v>35</v>
      </c>
      <c r="E92" s="4">
        <v>2020</v>
      </c>
      <c r="F92" s="4">
        <v>2019</v>
      </c>
      <c r="G92" s="4">
        <v>2018</v>
      </c>
      <c r="H92" s="4">
        <v>2017</v>
      </c>
    </row>
    <row r="93" spans="4:8" x14ac:dyDescent="0.2">
      <c r="D93" s="3" t="s">
        <v>2</v>
      </c>
      <c r="E93" s="39">
        <f>E40</f>
        <v>0.45177738927738925</v>
      </c>
      <c r="F93" s="39">
        <v>0.74344521308395251</v>
      </c>
      <c r="G93" s="39">
        <v>1.080994076744785</v>
      </c>
      <c r="H93" s="39">
        <v>0.7074909279419388</v>
      </c>
    </row>
    <row r="94" spans="4:8" x14ac:dyDescent="0.2">
      <c r="D94" s="6" t="s">
        <v>1</v>
      </c>
      <c r="E94" s="39">
        <f>J40</f>
        <v>0.42220689655172416</v>
      </c>
      <c r="F94" s="39">
        <v>0.79143656857553524</v>
      </c>
      <c r="G94" s="39">
        <v>0.67512724804886326</v>
      </c>
      <c r="H94" s="39">
        <v>0.57344008834897842</v>
      </c>
    </row>
    <row r="95" spans="4:8" x14ac:dyDescent="0.2">
      <c r="D95" s="7" t="s">
        <v>3</v>
      </c>
      <c r="E95" s="41">
        <f>O40</f>
        <v>0.11406570653767224</v>
      </c>
      <c r="F95" s="41">
        <v>8.2937853107344639E-2</v>
      </c>
      <c r="G95" s="41">
        <v>3.5731483210330289E-2</v>
      </c>
      <c r="H95" s="41">
        <v>-6.7827848912751067E-3</v>
      </c>
    </row>
    <row r="97" spans="4:13" x14ac:dyDescent="0.2">
      <c r="D97" s="25" t="s">
        <v>39</v>
      </c>
      <c r="E97" s="4">
        <v>2020</v>
      </c>
      <c r="F97" s="4">
        <v>2019</v>
      </c>
      <c r="G97" s="4">
        <v>2018</v>
      </c>
      <c r="H97" s="4">
        <v>2017</v>
      </c>
      <c r="I97" s="25" t="s">
        <v>37</v>
      </c>
      <c r="J97" s="4">
        <v>2020</v>
      </c>
      <c r="K97" s="4">
        <v>2019</v>
      </c>
      <c r="L97" s="4">
        <v>2018</v>
      </c>
      <c r="M97" s="4">
        <v>2017</v>
      </c>
    </row>
    <row r="98" spans="4:13" x14ac:dyDescent="0.2">
      <c r="D98" s="3" t="s">
        <v>2</v>
      </c>
      <c r="E98" s="34">
        <f>E41</f>
        <v>-6.3621694602693707E-2</v>
      </c>
      <c r="F98" s="34">
        <v>-3.7614912151583683E-2</v>
      </c>
      <c r="G98" s="34">
        <v>-3.3325678468666839E-2</v>
      </c>
      <c r="H98" s="34">
        <v>-1.8488177846312001E-2</v>
      </c>
      <c r="I98" s="3" t="s">
        <v>2</v>
      </c>
      <c r="J98" s="39"/>
      <c r="K98" s="39">
        <v>11.920721008135269</v>
      </c>
      <c r="L98" s="39">
        <v>11.032339791356184</v>
      </c>
      <c r="M98" s="39">
        <v>8.5410893126629173</v>
      </c>
    </row>
    <row r="99" spans="4:13" x14ac:dyDescent="0.2">
      <c r="D99" s="6" t="s">
        <v>1</v>
      </c>
      <c r="E99" s="34">
        <f>J41</f>
        <v>-8.0033688679680651E-2</v>
      </c>
      <c r="F99" s="34">
        <v>-4.8674979433758217E-2</v>
      </c>
      <c r="G99" s="34">
        <v>-1.219976089555483E-2</v>
      </c>
      <c r="H99" s="34">
        <v>-1.0687600491818784E-2</v>
      </c>
      <c r="I99" s="6" t="s">
        <v>1</v>
      </c>
      <c r="J99" s="39"/>
      <c r="K99" s="39">
        <v>11.128060069944455</v>
      </c>
      <c r="L99" s="39">
        <v>10.324668038152234</v>
      </c>
      <c r="M99" s="39">
        <v>8.1821699427333225</v>
      </c>
    </row>
    <row r="100" spans="4:13" x14ac:dyDescent="0.2">
      <c r="D100" s="7" t="s">
        <v>3</v>
      </c>
      <c r="E100" s="37">
        <f>O41</f>
        <v>0.200866818614167</v>
      </c>
      <c r="F100" s="37">
        <v>0.19478925868456887</v>
      </c>
      <c r="G100" s="37">
        <v>0.19601100704264168</v>
      </c>
      <c r="H100" s="37">
        <v>0.15714223480723155</v>
      </c>
      <c r="I100" s="7" t="s">
        <v>3</v>
      </c>
      <c r="J100" s="41"/>
      <c r="K100" s="41">
        <v>5.4048179367592315</v>
      </c>
      <c r="L100" s="41">
        <v>5.1557328669799976</v>
      </c>
      <c r="M100" s="41">
        <v>5.679821848323642</v>
      </c>
    </row>
    <row r="102" spans="4:13" x14ac:dyDescent="0.2">
      <c r="D102" s="25" t="s">
        <v>40</v>
      </c>
      <c r="E102" s="4">
        <v>2020</v>
      </c>
      <c r="F102" s="4">
        <v>2019</v>
      </c>
      <c r="G102" s="4">
        <v>2018</v>
      </c>
      <c r="H102" s="4">
        <v>2017</v>
      </c>
    </row>
    <row r="103" spans="4:13" x14ac:dyDescent="0.2">
      <c r="D103" s="3" t="s">
        <v>2</v>
      </c>
      <c r="E103" s="34">
        <f>E43</f>
        <v>-0.12467691470548224</v>
      </c>
      <c r="F103" s="34">
        <v>-8.7779147435713675E-2</v>
      </c>
      <c r="G103" s="34">
        <v>-0.12364411157024793</v>
      </c>
      <c r="H103" s="34">
        <v>-7.2140205473538804E-2</v>
      </c>
    </row>
    <row r="104" spans="4:13" x14ac:dyDescent="0.2">
      <c r="D104" s="6" t="s">
        <v>1</v>
      </c>
      <c r="E104" s="34">
        <f>J43</f>
        <v>-2.1016745212072595E-2</v>
      </c>
      <c r="F104" s="34">
        <v>-1.8583493125535474E-2</v>
      </c>
      <c r="G104" s="34">
        <v>2.3587583743664386E-2</v>
      </c>
      <c r="H104" s="34">
        <v>5.6823019969054714E-2</v>
      </c>
    </row>
    <row r="105" spans="4:13" x14ac:dyDescent="0.2">
      <c r="D105" s="7" t="s">
        <v>3</v>
      </c>
      <c r="E105" s="37">
        <f>O43</f>
        <v>0.37093101381172128</v>
      </c>
      <c r="F105" s="37">
        <v>0.3911357159101852</v>
      </c>
      <c r="G105" s="37">
        <v>0.38104924960057274</v>
      </c>
      <c r="H105" s="37">
        <v>0.37009140369451887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0BE9-5BAA-CA45-AD17-D268B2F35165}">
  <dimension ref="D2:U105"/>
  <sheetViews>
    <sheetView topLeftCell="C1" zoomScale="75" zoomScaleNormal="118" workbookViewId="0">
      <selection activeCell="M59" sqref="D58:M63"/>
    </sheetView>
  </sheetViews>
  <sheetFormatPr baseColWidth="10" defaultColWidth="10.83203125" defaultRowHeight="16" x14ac:dyDescent="0.2"/>
  <cols>
    <col min="4" max="4" width="29.6640625" bestFit="1" customWidth="1"/>
    <col min="5" max="5" width="12.1640625" style="1" bestFit="1" customWidth="1"/>
    <col min="6" max="6" width="12" style="1" hidden="1" customWidth="1"/>
    <col min="7" max="8" width="12.6640625" style="1" customWidth="1"/>
    <col min="9" max="9" width="29.6640625" customWidth="1"/>
    <col min="10" max="10" width="13" customWidth="1"/>
    <col min="11" max="11" width="13" hidden="1" customWidth="1"/>
    <col min="12" max="13" width="13" customWidth="1"/>
    <col min="14" max="14" width="29.6640625" bestFit="1" customWidth="1"/>
    <col min="15" max="15" width="13" bestFit="1" customWidth="1"/>
    <col min="16" max="16" width="13" hidden="1" customWidth="1"/>
    <col min="17" max="18" width="13" bestFit="1" customWidth="1"/>
    <col min="19" max="19" width="29.6640625" bestFit="1" customWidth="1"/>
    <col min="20" max="20" width="13" bestFit="1" customWidth="1"/>
    <col min="21" max="21" width="13" customWidth="1"/>
  </cols>
  <sheetData>
    <row r="2" spans="4:21" x14ac:dyDescent="0.2">
      <c r="D2" s="2"/>
      <c r="E2" s="4">
        <v>2018</v>
      </c>
      <c r="F2" s="4">
        <v>2017</v>
      </c>
      <c r="G2" s="4">
        <v>2019</v>
      </c>
      <c r="H2" s="4">
        <v>2020</v>
      </c>
      <c r="I2" s="2"/>
      <c r="J2" s="4">
        <v>2018</v>
      </c>
      <c r="K2" s="4">
        <v>2017</v>
      </c>
      <c r="L2" s="4">
        <v>2019</v>
      </c>
      <c r="M2" s="4">
        <v>2020</v>
      </c>
      <c r="N2" s="2"/>
      <c r="O2" s="4">
        <v>2018</v>
      </c>
      <c r="P2" s="4">
        <v>2017</v>
      </c>
      <c r="Q2" s="4">
        <v>2019</v>
      </c>
      <c r="R2" s="4">
        <v>2020</v>
      </c>
      <c r="S2" s="2"/>
      <c r="T2" s="45">
        <v>2019</v>
      </c>
      <c r="U2" s="45">
        <v>2020</v>
      </c>
    </row>
    <row r="3" spans="4:21" x14ac:dyDescent="0.2">
      <c r="D3" s="3" t="s">
        <v>2</v>
      </c>
      <c r="E3" s="5" t="s">
        <v>21</v>
      </c>
      <c r="F3" s="5" t="s">
        <v>21</v>
      </c>
      <c r="G3" s="5" t="s">
        <v>21</v>
      </c>
      <c r="H3" s="5" t="s">
        <v>21</v>
      </c>
      <c r="I3" s="6" t="s">
        <v>1</v>
      </c>
      <c r="J3" s="5" t="s">
        <v>21</v>
      </c>
      <c r="K3" s="5" t="s">
        <v>21</v>
      </c>
      <c r="L3" s="5" t="s">
        <v>21</v>
      </c>
      <c r="M3" s="5" t="s">
        <v>21</v>
      </c>
      <c r="N3" s="7" t="s">
        <v>3</v>
      </c>
      <c r="O3" s="5" t="s">
        <v>21</v>
      </c>
      <c r="P3" s="5" t="s">
        <v>21</v>
      </c>
      <c r="Q3" s="5" t="s">
        <v>21</v>
      </c>
      <c r="R3" s="5" t="s">
        <v>21</v>
      </c>
      <c r="S3" s="11" t="s">
        <v>27</v>
      </c>
      <c r="T3" s="46" t="s">
        <v>21</v>
      </c>
      <c r="U3" s="46" t="s">
        <v>21</v>
      </c>
    </row>
    <row r="4" spans="4:21" x14ac:dyDescent="0.2">
      <c r="D4" s="12" t="s">
        <v>10</v>
      </c>
      <c r="E4" s="13">
        <v>74027</v>
      </c>
      <c r="F4" s="44">
        <v>62256</v>
      </c>
      <c r="G4" s="13">
        <v>74731</v>
      </c>
      <c r="H4" s="13">
        <v>60734</v>
      </c>
      <c r="I4" s="12" t="s">
        <v>10</v>
      </c>
      <c r="J4" s="13">
        <v>110412</v>
      </c>
      <c r="K4" s="40">
        <v>105730</v>
      </c>
      <c r="L4" s="13">
        <v>108187</v>
      </c>
      <c r="M4" s="13">
        <v>86676</v>
      </c>
      <c r="N4" s="12" t="s">
        <v>10</v>
      </c>
      <c r="O4" s="13">
        <v>235849</v>
      </c>
      <c r="P4" s="40">
        <v>229550</v>
      </c>
      <c r="Q4" s="13">
        <v>252632</v>
      </c>
      <c r="R4" s="13">
        <v>222884</v>
      </c>
      <c r="S4" s="12" t="s">
        <v>10</v>
      </c>
      <c r="T4" s="47">
        <f t="shared" ref="T4:U8" si="0">G4+L4</f>
        <v>182918</v>
      </c>
      <c r="U4" s="47">
        <f t="shared" si="0"/>
        <v>147410</v>
      </c>
    </row>
    <row r="5" spans="4:21" x14ac:dyDescent="0.2">
      <c r="D5" s="14" t="s">
        <v>11</v>
      </c>
      <c r="E5" s="13">
        <f>E6+2995</f>
        <v>7395</v>
      </c>
      <c r="F5" s="44">
        <f>F6+2735</f>
        <v>5809</v>
      </c>
      <c r="G5" s="13">
        <f>G6+3717</f>
        <v>8385</v>
      </c>
      <c r="H5" s="42">
        <f>H6+4058</f>
        <v>7112</v>
      </c>
      <c r="I5" s="14" t="s">
        <v>11</v>
      </c>
      <c r="J5" s="13">
        <f>J6+5507</f>
        <v>10436</v>
      </c>
      <c r="K5" s="40">
        <f>K6+5474</f>
        <v>11404</v>
      </c>
      <c r="L5" s="13">
        <f>L6+5445</f>
        <v>10262</v>
      </c>
      <c r="M5" s="42">
        <f>M6+5143</f>
        <v>7308</v>
      </c>
      <c r="N5" s="14" t="s">
        <v>11</v>
      </c>
      <c r="O5" s="13">
        <f>O6+11034+3668+170+7689</f>
        <v>36481</v>
      </c>
      <c r="P5" s="40">
        <f>P6+10562+3734+136+7734</f>
        <v>35984</v>
      </c>
      <c r="Q5" s="13">
        <f>Q6+12046+3665+300+8428</f>
        <v>41399</v>
      </c>
      <c r="R5" s="43">
        <f>R6+12765+4637+454+9214</f>
        <v>36745</v>
      </c>
      <c r="S5" s="14" t="s">
        <v>11</v>
      </c>
      <c r="T5" s="47">
        <f t="shared" si="0"/>
        <v>18647</v>
      </c>
      <c r="U5" s="47">
        <f t="shared" si="0"/>
        <v>14420</v>
      </c>
    </row>
    <row r="6" spans="4:21" x14ac:dyDescent="0.2">
      <c r="D6" s="12" t="s">
        <v>5</v>
      </c>
      <c r="E6" s="13">
        <v>4400</v>
      </c>
      <c r="F6" s="44">
        <v>3074</v>
      </c>
      <c r="G6" s="13">
        <v>4668</v>
      </c>
      <c r="H6" s="13">
        <v>3054</v>
      </c>
      <c r="I6" s="12" t="s">
        <v>5</v>
      </c>
      <c r="J6" s="13">
        <f>J4-95011-7318-3051-103</f>
        <v>4929</v>
      </c>
      <c r="K6" s="40">
        <f>K4-89710-7177-2903+76-86</f>
        <v>5930</v>
      </c>
      <c r="L6" s="13">
        <f>L4-93164-6455-3612+15-154</f>
        <v>4817</v>
      </c>
      <c r="M6" s="13">
        <f>M4-75962-5501-2979+4-73</f>
        <v>2165</v>
      </c>
      <c r="N6" s="12" t="s">
        <v>5</v>
      </c>
      <c r="O6" s="13">
        <v>13920</v>
      </c>
      <c r="P6" s="40">
        <v>13818</v>
      </c>
      <c r="Q6" s="13">
        <v>16960</v>
      </c>
      <c r="R6" s="13">
        <v>9675</v>
      </c>
      <c r="S6" s="12" t="s">
        <v>5</v>
      </c>
      <c r="T6" s="47">
        <f t="shared" si="0"/>
        <v>9485</v>
      </c>
      <c r="U6" s="47">
        <f t="shared" si="0"/>
        <v>5219</v>
      </c>
    </row>
    <row r="7" spans="4:21" x14ac:dyDescent="0.2">
      <c r="D7" s="12" t="s">
        <v>12</v>
      </c>
      <c r="E7" s="13">
        <f>3954-44</f>
        <v>3910</v>
      </c>
      <c r="F7" s="44">
        <f>2836+217</f>
        <v>3053</v>
      </c>
      <c r="G7" s="13">
        <f>4324-24</f>
        <v>4300</v>
      </c>
      <c r="H7" s="13">
        <v>2737</v>
      </c>
      <c r="I7" s="12" t="s">
        <v>12</v>
      </c>
      <c r="J7" s="13">
        <v>4108</v>
      </c>
      <c r="K7" s="40">
        <v>5879</v>
      </c>
      <c r="L7" s="13">
        <v>4021</v>
      </c>
      <c r="M7" s="13">
        <v>1356</v>
      </c>
      <c r="N7" s="12" t="s">
        <v>12</v>
      </c>
      <c r="O7" s="13">
        <v>15643</v>
      </c>
      <c r="P7" s="40">
        <v>13673</v>
      </c>
      <c r="Q7" s="13">
        <v>18356</v>
      </c>
      <c r="R7" s="13">
        <v>11667</v>
      </c>
      <c r="S7" s="12" t="s">
        <v>12</v>
      </c>
      <c r="T7" s="47">
        <f t="shared" si="0"/>
        <v>8321</v>
      </c>
      <c r="U7" s="47">
        <f t="shared" si="0"/>
        <v>4093</v>
      </c>
    </row>
    <row r="8" spans="4:21" x14ac:dyDescent="0.2">
      <c r="D8" s="12" t="s">
        <v>13</v>
      </c>
      <c r="E8" s="13">
        <v>3295</v>
      </c>
      <c r="F8" s="44">
        <v>2347</v>
      </c>
      <c r="G8" s="13">
        <v>3584</v>
      </c>
      <c r="H8" s="13">
        <v>2022</v>
      </c>
      <c r="I8" s="12" t="s">
        <v>13</v>
      </c>
      <c r="J8" s="13">
        <v>3632</v>
      </c>
      <c r="K8" s="40">
        <v>3510</v>
      </c>
      <c r="L8" s="13">
        <v>6630</v>
      </c>
      <c r="M8" s="13">
        <v>24</v>
      </c>
      <c r="N8" s="12" t="s">
        <v>13</v>
      </c>
      <c r="O8" s="13">
        <v>12153</v>
      </c>
      <c r="P8" s="40">
        <v>11463</v>
      </c>
      <c r="Q8" s="13">
        <v>14029</v>
      </c>
      <c r="R8" s="13">
        <v>8824</v>
      </c>
      <c r="S8" s="12" t="s">
        <v>13</v>
      </c>
      <c r="T8" s="47">
        <f t="shared" si="0"/>
        <v>10214</v>
      </c>
      <c r="U8" s="47">
        <f t="shared" si="0"/>
        <v>2046</v>
      </c>
    </row>
    <row r="9" spans="4:21" x14ac:dyDescent="0.2">
      <c r="D9" s="12"/>
      <c r="E9" s="13"/>
      <c r="F9" s="44"/>
      <c r="G9" s="13"/>
      <c r="H9" s="13"/>
      <c r="I9" s="12"/>
      <c r="J9" s="13"/>
      <c r="K9" s="40"/>
      <c r="L9" s="13"/>
      <c r="M9" s="13"/>
      <c r="N9" s="12"/>
      <c r="O9" s="13"/>
      <c r="P9" s="40"/>
      <c r="Q9" s="13"/>
      <c r="R9" s="13"/>
      <c r="S9" s="12"/>
      <c r="T9" s="47"/>
      <c r="U9" s="47"/>
    </row>
    <row r="10" spans="4:21" x14ac:dyDescent="0.2">
      <c r="D10" s="12" t="s">
        <v>14</v>
      </c>
      <c r="E10" s="13">
        <v>61952</v>
      </c>
      <c r="F10" s="44">
        <v>57915</v>
      </c>
      <c r="G10" s="13">
        <v>69766</v>
      </c>
      <c r="H10" s="13">
        <v>73510</v>
      </c>
      <c r="I10" s="12" t="s">
        <v>14</v>
      </c>
      <c r="J10" s="13">
        <v>96873</v>
      </c>
      <c r="K10" s="40">
        <v>96299</v>
      </c>
      <c r="L10" s="13">
        <v>98044</v>
      </c>
      <c r="M10" s="13">
        <v>99730</v>
      </c>
      <c r="N10" s="12" t="s">
        <v>14</v>
      </c>
      <c r="O10" s="13">
        <v>458156</v>
      </c>
      <c r="P10" s="40">
        <v>422193</v>
      </c>
      <c r="Q10" s="13">
        <v>488071</v>
      </c>
      <c r="R10" s="13">
        <v>497114</v>
      </c>
      <c r="S10" s="12" t="s">
        <v>14</v>
      </c>
      <c r="T10" s="47">
        <f t="shared" ref="T10:U12" si="1">G10+L10</f>
        <v>167810</v>
      </c>
      <c r="U10" s="47">
        <f t="shared" si="1"/>
        <v>173240</v>
      </c>
    </row>
    <row r="11" spans="4:21" x14ac:dyDescent="0.2">
      <c r="D11" s="12" t="s">
        <v>15</v>
      </c>
      <c r="E11" s="13">
        <v>19594</v>
      </c>
      <c r="F11" s="44">
        <v>16706</v>
      </c>
      <c r="G11" s="13">
        <v>21801</v>
      </c>
      <c r="H11" s="13">
        <v>23874</v>
      </c>
      <c r="I11" s="12" t="s">
        <v>15</v>
      </c>
      <c r="J11" s="13">
        <v>24903</v>
      </c>
      <c r="K11" s="40">
        <v>20987</v>
      </c>
      <c r="L11" s="13">
        <v>28675</v>
      </c>
      <c r="M11" s="13">
        <v>25861</v>
      </c>
      <c r="N11" s="12" t="s">
        <v>15</v>
      </c>
      <c r="O11" s="13">
        <v>117342</v>
      </c>
      <c r="P11" s="40">
        <v>109077</v>
      </c>
      <c r="Q11" s="13">
        <v>123651</v>
      </c>
      <c r="R11" s="13">
        <v>128783</v>
      </c>
      <c r="S11" s="12" t="s">
        <v>15</v>
      </c>
      <c r="T11" s="47">
        <f t="shared" si="1"/>
        <v>50476</v>
      </c>
      <c r="U11" s="47">
        <f t="shared" si="1"/>
        <v>49735</v>
      </c>
    </row>
    <row r="12" spans="4:21" x14ac:dyDescent="0.2">
      <c r="D12" s="12" t="s">
        <v>16</v>
      </c>
      <c r="E12" s="13">
        <f>E10-E11</f>
        <v>42358</v>
      </c>
      <c r="F12" s="44">
        <f>F10-F11</f>
        <v>41209</v>
      </c>
      <c r="G12" s="13">
        <f>G10-G11</f>
        <v>47965</v>
      </c>
      <c r="H12" s="13">
        <f>H10-H11</f>
        <v>49636</v>
      </c>
      <c r="I12" s="12" t="s">
        <v>16</v>
      </c>
      <c r="J12" s="13">
        <f>J10-J11</f>
        <v>71970</v>
      </c>
      <c r="K12" s="40">
        <f>K10-K11</f>
        <v>75312</v>
      </c>
      <c r="L12" s="13">
        <f>L10-L11</f>
        <v>69369</v>
      </c>
      <c r="M12" s="13">
        <f>M10-M11</f>
        <v>73869</v>
      </c>
      <c r="N12" s="12" t="s">
        <v>16</v>
      </c>
      <c r="O12" s="13">
        <f>O10-O11</f>
        <v>340814</v>
      </c>
      <c r="P12" s="40">
        <f>P10-P11</f>
        <v>313116</v>
      </c>
      <c r="Q12" s="13">
        <f>Q10-Q11</f>
        <v>364420</v>
      </c>
      <c r="R12" s="13">
        <f>R10-R11</f>
        <v>368331</v>
      </c>
      <c r="S12" s="12" t="s">
        <v>16</v>
      </c>
      <c r="T12" s="47">
        <f t="shared" si="1"/>
        <v>117334</v>
      </c>
      <c r="U12" s="47">
        <f t="shared" si="1"/>
        <v>123505</v>
      </c>
    </row>
    <row r="13" spans="4:21" x14ac:dyDescent="0.2">
      <c r="D13" s="12"/>
      <c r="E13" s="13"/>
      <c r="F13" s="44"/>
      <c r="G13" s="13"/>
      <c r="H13" s="13"/>
      <c r="I13" s="12"/>
      <c r="J13" s="13"/>
      <c r="K13" s="40"/>
      <c r="L13" s="13"/>
      <c r="M13" s="13"/>
      <c r="N13" s="12"/>
      <c r="O13" s="13"/>
      <c r="P13" s="40"/>
      <c r="Q13" s="13"/>
      <c r="R13" s="13"/>
      <c r="S13" s="12"/>
      <c r="T13" s="47"/>
      <c r="U13" s="47"/>
    </row>
    <row r="14" spans="4:21" x14ac:dyDescent="0.2">
      <c r="D14" s="14" t="s">
        <v>34</v>
      </c>
      <c r="E14" s="13">
        <f>5257+327+2182</f>
        <v>7766</v>
      </c>
      <c r="F14" s="44">
        <f>4778+407+2531</f>
        <v>7716</v>
      </c>
      <c r="G14" s="13">
        <f>8917+272+2520</f>
        <v>11709</v>
      </c>
      <c r="H14" s="13">
        <f>11083+236+2409</f>
        <v>13728</v>
      </c>
      <c r="I14" s="14" t="s">
        <v>34</v>
      </c>
      <c r="J14" s="13">
        <f>8667+3+5861+204</f>
        <v>14735</v>
      </c>
      <c r="K14" s="40">
        <f>10726+1+7245+138</f>
        <v>18110</v>
      </c>
      <c r="L14" s="13">
        <f>8025+124+4876+194</f>
        <v>13219</v>
      </c>
      <c r="M14" s="13">
        <f>17036+280+4081+353</f>
        <v>21750</v>
      </c>
      <c r="N14" s="14" t="s">
        <v>34</v>
      </c>
      <c r="O14" s="13">
        <f>101126+3219+89757+9416</f>
        <v>203518</v>
      </c>
      <c r="P14" s="40">
        <f>81628+2665+81844+8570</f>
        <v>174707</v>
      </c>
      <c r="Q14" s="13">
        <f>113556+4499+87912+10858</f>
        <v>216825</v>
      </c>
      <c r="R14" s="13">
        <f>114809+4257+88648+10590</f>
        <v>218304</v>
      </c>
      <c r="S14" s="14" t="s">
        <v>34</v>
      </c>
      <c r="T14" s="47">
        <f>G14+L14</f>
        <v>24928</v>
      </c>
      <c r="U14" s="47">
        <f>H14+M14</f>
        <v>35478</v>
      </c>
    </row>
    <row r="15" spans="4:21" x14ac:dyDescent="0.2">
      <c r="D15" s="12"/>
      <c r="E15" s="13"/>
      <c r="F15" s="44"/>
      <c r="G15" s="13"/>
      <c r="H15" s="13"/>
      <c r="I15" s="12"/>
      <c r="J15" s="13"/>
      <c r="K15" s="40"/>
      <c r="L15" s="13"/>
      <c r="M15" s="13"/>
      <c r="N15" s="12"/>
      <c r="O15" s="13"/>
      <c r="P15" s="40"/>
      <c r="Q15" s="13"/>
      <c r="R15" s="13"/>
      <c r="S15" s="12"/>
      <c r="T15" s="47"/>
      <c r="U15" s="47"/>
    </row>
    <row r="16" spans="4:21" x14ac:dyDescent="0.2">
      <c r="D16" s="12" t="s">
        <v>17</v>
      </c>
      <c r="E16" s="13">
        <v>28146</v>
      </c>
      <c r="F16" s="44">
        <v>26611</v>
      </c>
      <c r="G16" s="13">
        <v>31327</v>
      </c>
      <c r="H16" s="13">
        <v>35251</v>
      </c>
      <c r="I16" s="12">
        <f>M4-75962-5501-2979+4-73</f>
        <v>2165</v>
      </c>
      <c r="J16" s="13">
        <v>38292</v>
      </c>
      <c r="K16" s="40">
        <v>36274</v>
      </c>
      <c r="L16" s="13">
        <v>34932</v>
      </c>
      <c r="M16" s="13">
        <v>40053</v>
      </c>
      <c r="N16" s="12" t="s">
        <v>17</v>
      </c>
      <c r="O16" s="13">
        <v>183536</v>
      </c>
      <c r="P16" s="40">
        <v>160112</v>
      </c>
      <c r="Q16" s="13">
        <v>187463</v>
      </c>
      <c r="R16" s="13">
        <v>194944</v>
      </c>
      <c r="S16" s="12" t="s">
        <v>17</v>
      </c>
      <c r="T16" s="47">
        <f t="shared" ref="T16:U21" si="2">G16+L16</f>
        <v>66259</v>
      </c>
      <c r="U16" s="47">
        <f t="shared" si="2"/>
        <v>75304</v>
      </c>
    </row>
    <row r="17" spans="4:21" x14ac:dyDescent="0.2">
      <c r="D17" s="12" t="s">
        <v>38</v>
      </c>
      <c r="E17" s="13">
        <f>14961+465</f>
        <v>15426</v>
      </c>
      <c r="F17" s="44">
        <f>11582+312</f>
        <v>11894</v>
      </c>
      <c r="G17" s="13">
        <f>17379+454</f>
        <v>17833</v>
      </c>
      <c r="H17" s="13">
        <f>22303+590</f>
        <v>22893</v>
      </c>
      <c r="I17" s="12" t="s">
        <v>38</v>
      </c>
      <c r="J17" s="13">
        <v>12450</v>
      </c>
      <c r="K17" s="40">
        <v>12638</v>
      </c>
      <c r="L17" s="13">
        <v>15041</v>
      </c>
      <c r="M17" s="13">
        <v>23846</v>
      </c>
      <c r="N17" s="12" t="s">
        <v>38</v>
      </c>
      <c r="O17" s="13">
        <v>28938</v>
      </c>
      <c r="P17" s="40">
        <v>18457</v>
      </c>
      <c r="Q17" s="13">
        <v>25923</v>
      </c>
      <c r="R17" s="13">
        <v>33909</v>
      </c>
      <c r="S17" s="12" t="s">
        <v>38</v>
      </c>
      <c r="T17" s="47">
        <f t="shared" si="2"/>
        <v>32874</v>
      </c>
      <c r="U17" s="47">
        <f t="shared" si="2"/>
        <v>46739</v>
      </c>
    </row>
    <row r="18" spans="4:21" x14ac:dyDescent="0.2">
      <c r="D18" s="12" t="s">
        <v>18</v>
      </c>
      <c r="E18" s="13">
        <v>6710</v>
      </c>
      <c r="F18" s="44">
        <v>7289</v>
      </c>
      <c r="G18" s="13">
        <v>6269</v>
      </c>
      <c r="H18" s="13">
        <v>5366</v>
      </c>
      <c r="I18" s="12" t="s">
        <v>18</v>
      </c>
      <c r="J18" s="13">
        <v>10694</v>
      </c>
      <c r="K18" s="40">
        <v>12922</v>
      </c>
      <c r="L18" s="13">
        <v>9722</v>
      </c>
      <c r="M18" s="13">
        <v>8094</v>
      </c>
      <c r="N18" s="12" t="s">
        <v>18</v>
      </c>
      <c r="O18" s="13">
        <v>45745</v>
      </c>
      <c r="P18" s="40">
        <v>40415</v>
      </c>
      <c r="Q18" s="13">
        <v>46742</v>
      </c>
      <c r="R18" s="13">
        <v>43823</v>
      </c>
      <c r="S18" s="12" t="s">
        <v>18</v>
      </c>
      <c r="T18" s="47">
        <f t="shared" si="2"/>
        <v>15991</v>
      </c>
      <c r="U18" s="47">
        <f t="shared" si="2"/>
        <v>13460</v>
      </c>
    </row>
    <row r="19" spans="4:21" x14ac:dyDescent="0.2">
      <c r="D19" s="12" t="s">
        <v>22</v>
      </c>
      <c r="E19" s="13">
        <f>1904+2470</f>
        <v>4374</v>
      </c>
      <c r="F19" s="44">
        <f>2426+2496</f>
        <v>4922</v>
      </c>
      <c r="G19" s="13">
        <f>2503+2922</f>
        <v>5425</v>
      </c>
      <c r="H19" s="13">
        <f>3147+2789</f>
        <v>5936</v>
      </c>
      <c r="I19" s="12" t="s">
        <v>22</v>
      </c>
      <c r="J19" s="13">
        <v>7188</v>
      </c>
      <c r="K19" s="40">
        <v>7887</v>
      </c>
      <c r="L19" s="13">
        <v>6628</v>
      </c>
      <c r="M19" s="13">
        <v>5545</v>
      </c>
      <c r="N19" s="12" t="s">
        <v>22</v>
      </c>
      <c r="O19" s="13">
        <f>17888+6203</f>
        <v>24091</v>
      </c>
      <c r="P19" s="40">
        <f>13357+5346</f>
        <v>18703</v>
      </c>
      <c r="Q19" s="13">
        <f>17941+7272</f>
        <v>25213</v>
      </c>
      <c r="R19" s="13">
        <f>16243+7381</f>
        <v>23624</v>
      </c>
      <c r="S19" s="12" t="s">
        <v>22</v>
      </c>
      <c r="T19" s="47">
        <f t="shared" si="2"/>
        <v>12053</v>
      </c>
      <c r="U19" s="47">
        <f t="shared" si="2"/>
        <v>11481</v>
      </c>
    </row>
    <row r="20" spans="4:21" x14ac:dyDescent="0.2">
      <c r="D20" s="12" t="s">
        <v>19</v>
      </c>
      <c r="E20" s="13">
        <v>30002</v>
      </c>
      <c r="F20" s="44">
        <v>29658</v>
      </c>
      <c r="G20" s="13">
        <v>31700</v>
      </c>
      <c r="H20" s="13">
        <v>30813</v>
      </c>
      <c r="I20" s="12" t="s">
        <v>19</v>
      </c>
      <c r="J20" s="13">
        <v>46474</v>
      </c>
      <c r="K20" s="40">
        <v>47269</v>
      </c>
      <c r="L20" s="13">
        <v>43354</v>
      </c>
      <c r="M20" s="13">
        <v>39037</v>
      </c>
      <c r="N20" s="12" t="s">
        <v>19</v>
      </c>
      <c r="O20" s="13">
        <v>167968</v>
      </c>
      <c r="P20" s="40">
        <v>160389</v>
      </c>
      <c r="Q20" s="13">
        <v>167924</v>
      </c>
      <c r="R20" s="13">
        <v>165410</v>
      </c>
      <c r="S20" s="12" t="s">
        <v>19</v>
      </c>
      <c r="T20" s="47">
        <f t="shared" si="2"/>
        <v>75054</v>
      </c>
      <c r="U20" s="47">
        <f t="shared" si="2"/>
        <v>69850</v>
      </c>
    </row>
    <row r="21" spans="4:21" x14ac:dyDescent="0.2">
      <c r="D21" s="12" t="s">
        <v>23</v>
      </c>
      <c r="E21" s="13">
        <v>13551</v>
      </c>
      <c r="F21" s="44">
        <v>13362</v>
      </c>
      <c r="G21" s="13">
        <v>14505</v>
      </c>
      <c r="H21" s="13">
        <v>15166</v>
      </c>
      <c r="I21" s="12" t="s">
        <v>23</v>
      </c>
      <c r="J21" s="13">
        <v>19229</v>
      </c>
      <c r="K21" s="40">
        <v>21939</v>
      </c>
      <c r="L21" s="13">
        <v>21616</v>
      </c>
      <c r="M21" s="13">
        <v>20576</v>
      </c>
      <c r="N21" s="12" t="s">
        <v>23</v>
      </c>
      <c r="O21" s="13">
        <v>23607</v>
      </c>
      <c r="P21" s="40">
        <v>23046</v>
      </c>
      <c r="Q21" s="13">
        <v>22745</v>
      </c>
      <c r="R21" s="13">
        <v>22677</v>
      </c>
      <c r="S21" s="12" t="s">
        <v>23</v>
      </c>
      <c r="T21" s="47">
        <f t="shared" si="2"/>
        <v>36121</v>
      </c>
      <c r="U21" s="47">
        <f t="shared" si="2"/>
        <v>35742</v>
      </c>
    </row>
    <row r="22" spans="4:21" x14ac:dyDescent="0.2">
      <c r="D22" s="12"/>
      <c r="E22" s="13"/>
      <c r="F22" s="44"/>
      <c r="G22" s="13"/>
      <c r="H22" s="13"/>
      <c r="I22" s="12"/>
      <c r="J22" s="13"/>
      <c r="K22" s="40"/>
      <c r="L22" s="13"/>
      <c r="M22" s="13"/>
      <c r="N22" s="12"/>
      <c r="O22" s="13"/>
      <c r="P22" s="40"/>
      <c r="Q22" s="13"/>
      <c r="R22" s="13"/>
      <c r="S22" s="12"/>
      <c r="T22" s="47"/>
      <c r="U22" s="47"/>
    </row>
    <row r="23" spans="4:21" x14ac:dyDescent="0.2">
      <c r="D23" s="12" t="s">
        <v>20</v>
      </c>
      <c r="E23" s="13">
        <v>8395</v>
      </c>
      <c r="F23" s="44">
        <v>5459</v>
      </c>
      <c r="G23" s="13">
        <v>8705</v>
      </c>
      <c r="H23" s="13">
        <v>6202</v>
      </c>
      <c r="I23" s="12" t="s">
        <v>20</v>
      </c>
      <c r="J23" s="13">
        <v>9948</v>
      </c>
      <c r="K23" s="40">
        <v>10385</v>
      </c>
      <c r="L23" s="13">
        <v>10462</v>
      </c>
      <c r="M23" s="13">
        <v>9183</v>
      </c>
      <c r="N23" s="12" t="s">
        <v>20</v>
      </c>
      <c r="O23" s="13">
        <v>7272</v>
      </c>
      <c r="P23" s="40">
        <v>-1185</v>
      </c>
      <c r="Q23" s="13">
        <v>17983</v>
      </c>
      <c r="R23" s="13">
        <v>24901</v>
      </c>
      <c r="S23" s="12" t="s">
        <v>20</v>
      </c>
      <c r="T23" s="47">
        <f>G23+L23</f>
        <v>19167</v>
      </c>
      <c r="U23" s="47">
        <f>H23+M23</f>
        <v>15385</v>
      </c>
    </row>
    <row r="24" spans="4:21" x14ac:dyDescent="0.2">
      <c r="D24" s="16"/>
      <c r="E24" s="17"/>
      <c r="F24" s="17"/>
      <c r="G24" s="17"/>
      <c r="H24" s="17"/>
      <c r="I24" s="16"/>
      <c r="J24" s="17"/>
      <c r="K24" s="17"/>
      <c r="L24" s="17"/>
      <c r="M24" s="17"/>
      <c r="N24" s="16"/>
      <c r="O24" s="17"/>
      <c r="P24" s="17"/>
      <c r="Q24" s="17"/>
      <c r="R24" s="17"/>
      <c r="S24" s="16"/>
      <c r="T24" s="48"/>
      <c r="U24" s="48"/>
    </row>
    <row r="25" spans="4:21" x14ac:dyDescent="0.2">
      <c r="D25" s="3" t="s">
        <v>2</v>
      </c>
      <c r="E25" s="4">
        <v>2018</v>
      </c>
      <c r="F25" s="4">
        <v>2017</v>
      </c>
      <c r="G25" s="4">
        <v>2019</v>
      </c>
      <c r="H25" s="4">
        <v>2020</v>
      </c>
      <c r="I25" s="6" t="s">
        <v>1</v>
      </c>
      <c r="J25" s="4">
        <v>2018</v>
      </c>
      <c r="K25" s="4">
        <v>2017</v>
      </c>
      <c r="L25" s="4">
        <v>2019</v>
      </c>
      <c r="M25" s="4">
        <v>2020</v>
      </c>
      <c r="N25" s="7" t="s">
        <v>3</v>
      </c>
      <c r="O25" s="4">
        <v>2018</v>
      </c>
      <c r="P25" s="4">
        <v>2017</v>
      </c>
      <c r="Q25" s="4">
        <v>2019</v>
      </c>
      <c r="R25" s="4">
        <v>2019</v>
      </c>
      <c r="S25" s="11" t="s">
        <v>27</v>
      </c>
      <c r="T25" s="45">
        <v>2019</v>
      </c>
      <c r="U25" s="45">
        <v>2019</v>
      </c>
    </row>
    <row r="26" spans="4:21" x14ac:dyDescent="0.2">
      <c r="D26" s="2" t="s">
        <v>6</v>
      </c>
      <c r="E26" s="18">
        <f>E8/E11</f>
        <v>0.16816372358885373</v>
      </c>
      <c r="F26" s="18">
        <f>F8/F11</f>
        <v>0.14048844726445589</v>
      </c>
      <c r="G26" s="20">
        <f>G8/G11</f>
        <v>0.1643961286179533</v>
      </c>
      <c r="H26" s="20">
        <f>H8/H11</f>
        <v>8.4694646896205081E-2</v>
      </c>
      <c r="I26" s="2" t="s">
        <v>6</v>
      </c>
      <c r="J26" s="18">
        <f>J8/J11</f>
        <v>0.14584588202224633</v>
      </c>
      <c r="K26" s="18">
        <f>K8/K11</f>
        <v>0.16724639062276647</v>
      </c>
      <c r="L26" s="18">
        <f>L8/L11</f>
        <v>0.23121185701830863</v>
      </c>
      <c r="M26" s="18">
        <f>M8/M11</f>
        <v>9.2803835891883536E-4</v>
      </c>
      <c r="N26" s="2" t="s">
        <v>6</v>
      </c>
      <c r="O26" s="18">
        <f>O8/O11</f>
        <v>0.10356905455847011</v>
      </c>
      <c r="P26" s="18">
        <f>P8/P11</f>
        <v>0.10509089908963393</v>
      </c>
      <c r="Q26" s="18">
        <f>Q8/Q11</f>
        <v>0.11345642170301898</v>
      </c>
      <c r="R26" s="18">
        <f>R8/R11</f>
        <v>6.8518360342591803E-2</v>
      </c>
      <c r="S26" s="2" t="s">
        <v>6</v>
      </c>
      <c r="T26" s="49">
        <f>T8/T11</f>
        <v>0.20235359378714637</v>
      </c>
      <c r="U26" s="49">
        <f>U8/U11</f>
        <v>4.1138031567306728E-2</v>
      </c>
    </row>
    <row r="27" spans="4:21" x14ac:dyDescent="0.2">
      <c r="D27" s="2" t="s">
        <v>7</v>
      </c>
      <c r="E27" s="18">
        <f>E8/E4</f>
        <v>4.4510786604887408E-2</v>
      </c>
      <c r="F27" s="18">
        <f>F8/F4</f>
        <v>3.7699177589308658E-2</v>
      </c>
      <c r="G27" s="18">
        <f>G8/G4</f>
        <v>4.7958678460076808E-2</v>
      </c>
      <c r="H27" s="18">
        <f>H8/H4</f>
        <v>3.3292719070043136E-2</v>
      </c>
      <c r="I27" s="2" t="s">
        <v>7</v>
      </c>
      <c r="J27" s="18">
        <f>J8/J4</f>
        <v>3.2894975183856826E-2</v>
      </c>
      <c r="K27" s="18">
        <f>K8/K4</f>
        <v>3.3197767899366314E-2</v>
      </c>
      <c r="L27" s="18">
        <f>L8/L4</f>
        <v>6.1282778892103484E-2</v>
      </c>
      <c r="M27" s="18">
        <f>M8/M4</f>
        <v>2.7689325764917625E-4</v>
      </c>
      <c r="N27" s="2" t="s">
        <v>7</v>
      </c>
      <c r="O27" s="18">
        <f>O8/O4</f>
        <v>5.1528732366895771E-2</v>
      </c>
      <c r="P27" s="18">
        <f>P8/P4</f>
        <v>4.9936832934001307E-2</v>
      </c>
      <c r="Q27" s="18">
        <f>Q8/Q4</f>
        <v>5.5531365781057031E-2</v>
      </c>
      <c r="R27" s="18">
        <f>R8/R4</f>
        <v>3.9590100680174441E-2</v>
      </c>
      <c r="S27" s="2" t="s">
        <v>7</v>
      </c>
      <c r="T27" s="49">
        <f>T8/T4</f>
        <v>5.5839228506762595E-2</v>
      </c>
      <c r="U27" s="49">
        <f>U8/U4</f>
        <v>1.3879655382945525E-2</v>
      </c>
    </row>
    <row r="28" spans="4:21" x14ac:dyDescent="0.2">
      <c r="E28" s="15"/>
      <c r="F28" s="15"/>
      <c r="G28" s="15"/>
      <c r="H28" s="15"/>
      <c r="J28" s="15"/>
      <c r="K28" s="15"/>
      <c r="L28" s="15"/>
      <c r="M28" s="15"/>
      <c r="O28" s="15"/>
      <c r="P28" s="15"/>
      <c r="Q28" s="15"/>
      <c r="R28" s="15"/>
      <c r="T28" s="50"/>
      <c r="U28" s="50"/>
    </row>
    <row r="29" spans="4:21" x14ac:dyDescent="0.2">
      <c r="D29" s="19" t="s">
        <v>0</v>
      </c>
      <c r="E29" s="20">
        <f>E6/E10</f>
        <v>7.1022727272727279E-2</v>
      </c>
      <c r="F29" s="20">
        <f>F6/F10</f>
        <v>5.3077786411119744E-2</v>
      </c>
      <c r="G29" s="20">
        <f>G6/G10</f>
        <v>6.6909382793911079E-2</v>
      </c>
      <c r="H29" s="20">
        <f>H6/H10</f>
        <v>4.1545367977145968E-2</v>
      </c>
      <c r="I29" s="19" t="s">
        <v>0</v>
      </c>
      <c r="J29" s="20">
        <f>J6/J10</f>
        <v>5.0881050447493109E-2</v>
      </c>
      <c r="K29" s="20">
        <f>K6/K10</f>
        <v>6.1579040280792113E-2</v>
      </c>
      <c r="L29" s="20">
        <f>L6/L10</f>
        <v>4.9131002407082534E-2</v>
      </c>
      <c r="M29" s="20">
        <f>M6/M10</f>
        <v>2.1708613255790633E-2</v>
      </c>
      <c r="N29" s="19" t="s">
        <v>0</v>
      </c>
      <c r="O29" s="20">
        <f>O6/O10</f>
        <v>3.0382664419979222E-2</v>
      </c>
      <c r="P29" s="20">
        <f>P6/P10</f>
        <v>3.2729107304005516E-2</v>
      </c>
      <c r="Q29" s="20">
        <f>Q6/Q10</f>
        <v>3.4749042659776956E-2</v>
      </c>
      <c r="R29" s="20">
        <f>R6/R10</f>
        <v>1.9462336606894996E-2</v>
      </c>
      <c r="S29" s="19" t="s">
        <v>0</v>
      </c>
      <c r="T29" s="49">
        <f>T6/T10</f>
        <v>5.6522257314820336E-2</v>
      </c>
      <c r="U29" s="49">
        <f>U6/U10</f>
        <v>3.0125836989148003E-2</v>
      </c>
    </row>
    <row r="30" spans="4:21" x14ac:dyDescent="0.2">
      <c r="D30" s="19" t="s">
        <v>8</v>
      </c>
      <c r="E30" s="20">
        <f>E6/E4</f>
        <v>5.9437772704553742E-2</v>
      </c>
      <c r="F30" s="20">
        <f>F6/F4</f>
        <v>4.9376766897969673E-2</v>
      </c>
      <c r="G30" s="20">
        <f>G6/G4</f>
        <v>6.2464037681818789E-2</v>
      </c>
      <c r="H30" s="20">
        <f>H6/H4</f>
        <v>5.0284848684427175E-2</v>
      </c>
      <c r="I30" s="19" t="s">
        <v>8</v>
      </c>
      <c r="J30" s="20">
        <f>J6/J4</f>
        <v>4.4641886751440062E-2</v>
      </c>
      <c r="K30" s="20">
        <f>K6/K4</f>
        <v>5.6086257448217158E-2</v>
      </c>
      <c r="L30" s="20">
        <f>L6/L4</f>
        <v>4.4524758057807312E-2</v>
      </c>
      <c r="M30" s="20">
        <f>M6/M4</f>
        <v>2.4978079283769439E-2</v>
      </c>
      <c r="N30" s="19" t="s">
        <v>8</v>
      </c>
      <c r="O30" s="20">
        <f>O6/O4</f>
        <v>5.9020814164995397E-2</v>
      </c>
      <c r="P30" s="20">
        <f>P6/P4</f>
        <v>6.019603572206491E-2</v>
      </c>
      <c r="Q30" s="20">
        <f>Q6/Q4</f>
        <v>6.7133221444630922E-2</v>
      </c>
      <c r="R30" s="20">
        <f>R6/R4</f>
        <v>4.3408230290195797E-2</v>
      </c>
      <c r="S30" s="19" t="s">
        <v>8</v>
      </c>
      <c r="T30" s="49">
        <f>T6/T4</f>
        <v>5.1853836145157942E-2</v>
      </c>
      <c r="U30" s="49">
        <f>U6/U4</f>
        <v>3.5404653686995455E-2</v>
      </c>
    </row>
    <row r="31" spans="4:21" x14ac:dyDescent="0.2">
      <c r="D31" s="19" t="s">
        <v>9</v>
      </c>
      <c r="E31" s="21">
        <f>E4/E10</f>
        <v>1.1949089617768596</v>
      </c>
      <c r="F31" s="21">
        <f>F4/F10</f>
        <v>1.074954674954675</v>
      </c>
      <c r="G31" s="21">
        <f>G4/G10</f>
        <v>1.0711664707737294</v>
      </c>
      <c r="H31" s="21">
        <f>H4/H10</f>
        <v>0.82620051693647123</v>
      </c>
      <c r="I31" s="19" t="s">
        <v>9</v>
      </c>
      <c r="J31" s="21">
        <f>J4/J10</f>
        <v>1.1397603047288718</v>
      </c>
      <c r="K31" s="21">
        <f>K4/K10</f>
        <v>1.0979345579912565</v>
      </c>
      <c r="L31" s="21">
        <f>L4/L10</f>
        <v>1.1034535514666883</v>
      </c>
      <c r="M31" s="21">
        <f>M4/M10</f>
        <v>0.86910658778702499</v>
      </c>
      <c r="N31" s="19" t="s">
        <v>9</v>
      </c>
      <c r="O31" s="21">
        <f>O4/O10</f>
        <v>0.51477880896463213</v>
      </c>
      <c r="P31" s="21">
        <f>P4/P10</f>
        <v>0.54370868299569153</v>
      </c>
      <c r="Q31" s="21">
        <f>Q4/Q10</f>
        <v>0.51761321610995126</v>
      </c>
      <c r="R31" s="21">
        <f>R4/R10</f>
        <v>0.44835591031433436</v>
      </c>
      <c r="S31" s="19" t="s">
        <v>9</v>
      </c>
      <c r="T31" s="51">
        <f>T4/T10</f>
        <v>1.0900303915142124</v>
      </c>
      <c r="U31" s="51">
        <f>U4/U10</f>
        <v>0.85090048487647196</v>
      </c>
    </row>
    <row r="32" spans="4:21" x14ac:dyDescent="0.2">
      <c r="D32" s="19" t="s">
        <v>4</v>
      </c>
      <c r="E32" s="20">
        <f>E5/E4</f>
        <v>9.9895983897767035E-2</v>
      </c>
      <c r="F32" s="20">
        <f>F5/F4</f>
        <v>9.3308275507581598E-2</v>
      </c>
      <c r="G32" s="20">
        <f>G5/G4</f>
        <v>0.11220243272537501</v>
      </c>
      <c r="H32" s="20">
        <f>H5/H4</f>
        <v>0.1171008002107551</v>
      </c>
      <c r="I32" s="19" t="s">
        <v>4</v>
      </c>
      <c r="J32" s="20">
        <f>J5/J4</f>
        <v>9.4518711734231792E-2</v>
      </c>
      <c r="K32" s="20">
        <f>K5/K4</f>
        <v>0.10785964248557647</v>
      </c>
      <c r="L32" s="20">
        <f>L5/L4</f>
        <v>9.4854280089104973E-2</v>
      </c>
      <c r="M32" s="20">
        <f>M5/M4</f>
        <v>8.4313996954174172E-2</v>
      </c>
      <c r="N32" s="19" t="s">
        <v>4</v>
      </c>
      <c r="O32" s="20">
        <f>O5/O4</f>
        <v>0.1546794771230745</v>
      </c>
      <c r="P32" s="20">
        <f>P5/P4</f>
        <v>0.15675887606186015</v>
      </c>
      <c r="Q32" s="20">
        <f>Q5/Q4</f>
        <v>0.1638707685487191</v>
      </c>
      <c r="R32" s="20">
        <f>R5/R4</f>
        <v>0.16486154232695036</v>
      </c>
      <c r="S32" s="19" t="s">
        <v>4</v>
      </c>
      <c r="T32" s="49">
        <f>T5/T4</f>
        <v>0.10194185372680654</v>
      </c>
      <c r="U32" s="49">
        <f>U5/U4</f>
        <v>9.7822400108540805E-2</v>
      </c>
    </row>
    <row r="33" spans="4:21" x14ac:dyDescent="0.2">
      <c r="D33" s="8"/>
      <c r="E33" s="9"/>
      <c r="F33" s="9"/>
      <c r="G33" s="9"/>
      <c r="H33" s="9"/>
      <c r="I33" s="8"/>
      <c r="J33" s="9"/>
      <c r="K33" s="9"/>
      <c r="L33" s="9"/>
      <c r="M33" s="9"/>
      <c r="N33" s="8"/>
      <c r="O33" s="9"/>
      <c r="P33" s="9"/>
      <c r="Q33" s="9"/>
      <c r="R33" s="9"/>
      <c r="S33" s="8"/>
      <c r="T33" s="52"/>
      <c r="U33" s="52"/>
    </row>
    <row r="34" spans="4:21" x14ac:dyDescent="0.2">
      <c r="D34" s="19" t="s">
        <v>24</v>
      </c>
      <c r="E34" s="22">
        <f>E6/(E6-E7)</f>
        <v>8.9795918367346932</v>
      </c>
      <c r="F34" s="22">
        <f>F6/(F6-F7)</f>
        <v>146.38095238095238</v>
      </c>
      <c r="G34" s="22">
        <f>G6/(G6-G7)</f>
        <v>12.684782608695652</v>
      </c>
      <c r="H34" s="22">
        <f>H6/(H6-H7)</f>
        <v>9.6340694006309153</v>
      </c>
      <c r="I34" s="19" t="s">
        <v>24</v>
      </c>
      <c r="J34" s="22">
        <f>J6/(J6-J7)</f>
        <v>6.0036540803897687</v>
      </c>
      <c r="K34" s="22">
        <f>K6/(K6-K7)</f>
        <v>116.27450980392157</v>
      </c>
      <c r="L34" s="22">
        <f>L6/(L6-L7)</f>
        <v>6.0515075376884422</v>
      </c>
      <c r="M34" s="22">
        <f>M6/(M6-M7)</f>
        <v>2.6761433868974041</v>
      </c>
      <c r="N34" s="19" t="s">
        <v>24</v>
      </c>
      <c r="O34" s="22">
        <f>O6/(O6-O7)</f>
        <v>-8.0789320951828199</v>
      </c>
      <c r="P34" s="22">
        <f>P6/(P6-P7)</f>
        <v>95.296551724137927</v>
      </c>
      <c r="Q34" s="22">
        <f>Q6/(Q6-Q7)</f>
        <v>-12.148997134670488</v>
      </c>
      <c r="R34" s="22">
        <f>R6/(R6-R7)</f>
        <v>-4.8569277108433733</v>
      </c>
      <c r="S34" s="19" t="s">
        <v>24</v>
      </c>
      <c r="T34" s="53">
        <f>T6/(T6-T7)</f>
        <v>8.148625429553265</v>
      </c>
      <c r="U34" s="53">
        <f>U6/(U6-U7)</f>
        <v>4.6349911190053286</v>
      </c>
    </row>
    <row r="35" spans="4:21" x14ac:dyDescent="0.2">
      <c r="D35" s="19" t="s">
        <v>33</v>
      </c>
      <c r="E35" s="22">
        <f t="shared" ref="E35:F35" si="3">1-(1/E34)</f>
        <v>0.88863636363636367</v>
      </c>
      <c r="F35" s="22">
        <f t="shared" si="3"/>
        <v>0.9931685100845804</v>
      </c>
      <c r="G35" s="22">
        <f>1-(1/G34)</f>
        <v>0.921165381319623</v>
      </c>
      <c r="H35" s="22">
        <f>1-(1/H34)</f>
        <v>0.89620170268500332</v>
      </c>
      <c r="I35" s="19" t="s">
        <v>33</v>
      </c>
      <c r="J35" s="22">
        <f t="shared" ref="J35:K35" si="4">1-(1/J34)</f>
        <v>0.83343477378778652</v>
      </c>
      <c r="K35" s="22">
        <f t="shared" si="4"/>
        <v>0.99139966273187186</v>
      </c>
      <c r="L35" s="22">
        <f>1-(1/L34)</f>
        <v>0.83475192028233347</v>
      </c>
      <c r="M35" s="22">
        <f>1-(1/M34)</f>
        <v>0.62632794457274832</v>
      </c>
      <c r="N35" s="19" t="s">
        <v>33</v>
      </c>
      <c r="O35" s="22">
        <f t="shared" ref="O35:P35" si="5">1-(1/O34)</f>
        <v>1.123778735632184</v>
      </c>
      <c r="P35" s="22">
        <f t="shared" si="5"/>
        <v>0.98950644087422202</v>
      </c>
      <c r="Q35" s="22">
        <f>1-(1/Q34)</f>
        <v>1.082311320754717</v>
      </c>
      <c r="R35" s="22">
        <f>1-(1/R34)</f>
        <v>1.2058914728682171</v>
      </c>
      <c r="S35" s="19" t="s">
        <v>33</v>
      </c>
      <c r="T35" s="53">
        <f t="shared" ref="T35" si="6">1-(1/T34)</f>
        <v>0.87727991565629937</v>
      </c>
      <c r="U35" s="53">
        <f>1-(1/U34)</f>
        <v>0.78424985629430921</v>
      </c>
    </row>
    <row r="36" spans="4:21" x14ac:dyDescent="0.2">
      <c r="D36" s="19" t="s">
        <v>25</v>
      </c>
      <c r="E36" s="23">
        <f>E12/E11</f>
        <v>2.1617842196590793</v>
      </c>
      <c r="F36" s="23">
        <f>F12/F11</f>
        <v>2.4667185442356039</v>
      </c>
      <c r="G36" s="23">
        <f>G12/G11</f>
        <v>2.2001284344754826</v>
      </c>
      <c r="H36" s="23">
        <f>H12/H11</f>
        <v>2.0790818463600571</v>
      </c>
      <c r="I36" s="19" t="s">
        <v>25</v>
      </c>
      <c r="J36" s="23">
        <f>J12/J11</f>
        <v>2.8900132514154921</v>
      </c>
      <c r="K36" s="23">
        <f>K12/K11</f>
        <v>3.5885071711059227</v>
      </c>
      <c r="L36" s="23">
        <f>L12/L11</f>
        <v>2.4191455972101132</v>
      </c>
      <c r="M36" s="23">
        <f>M12/M11</f>
        <v>2.8563860639573102</v>
      </c>
      <c r="N36" s="19" t="s">
        <v>25</v>
      </c>
      <c r="O36" s="23">
        <f>O12/O11</f>
        <v>2.9044502394709482</v>
      </c>
      <c r="P36" s="23">
        <f>P12/P11</f>
        <v>2.8705960009901261</v>
      </c>
      <c r="Q36" s="23">
        <f>Q12/Q11</f>
        <v>2.9471658134588479</v>
      </c>
      <c r="R36" s="23">
        <f>R12/R11</f>
        <v>2.8600902293004511</v>
      </c>
      <c r="S36" s="19" t="s">
        <v>25</v>
      </c>
      <c r="T36" s="54">
        <f>T12/T11</f>
        <v>2.3245502813218164</v>
      </c>
      <c r="U36" s="54">
        <f>U12/U11</f>
        <v>2.4832612848094904</v>
      </c>
    </row>
    <row r="37" spans="4:21" x14ac:dyDescent="0.2">
      <c r="D37" s="19" t="s">
        <v>32</v>
      </c>
      <c r="E37" s="20">
        <f>E8/E7</f>
        <v>0.84271099744245526</v>
      </c>
      <c r="F37" s="20">
        <f>F8/F7</f>
        <v>0.7687520471667213</v>
      </c>
      <c r="G37" s="20">
        <f>G8/G7</f>
        <v>0.83348837209302329</v>
      </c>
      <c r="H37" s="20">
        <f>H8/H7</f>
        <v>0.73876507124588964</v>
      </c>
      <c r="I37" s="19" t="s">
        <v>32</v>
      </c>
      <c r="J37" s="20">
        <f>J8/J7</f>
        <v>0.88412852969814992</v>
      </c>
      <c r="K37" s="20">
        <f>K8/K7</f>
        <v>0.59704031297839766</v>
      </c>
      <c r="L37" s="20">
        <f>L8/L7</f>
        <v>1.6488435712509326</v>
      </c>
      <c r="M37" s="20">
        <f>M8/M7</f>
        <v>1.7699115044247787E-2</v>
      </c>
      <c r="N37" s="19" t="s">
        <v>32</v>
      </c>
      <c r="O37" s="20">
        <f>O8/O7</f>
        <v>0.77689701463913574</v>
      </c>
      <c r="P37" s="20">
        <f>P8/P7</f>
        <v>0.83836758575294379</v>
      </c>
      <c r="Q37" s="20">
        <f>Q8/Q7</f>
        <v>0.76427326214861624</v>
      </c>
      <c r="R37" s="20">
        <f>R8/R7</f>
        <v>0.75632124796434386</v>
      </c>
      <c r="S37" s="19" t="s">
        <v>32</v>
      </c>
      <c r="T37" s="49">
        <f>T8/T7</f>
        <v>1.2274966951087609</v>
      </c>
      <c r="U37" s="49">
        <f>U8/U7</f>
        <v>0.4998778402150012</v>
      </c>
    </row>
    <row r="38" spans="4:21" x14ac:dyDescent="0.2">
      <c r="D38" s="8"/>
      <c r="E38" s="9"/>
      <c r="F38" s="9"/>
      <c r="G38" s="9"/>
      <c r="H38" s="9"/>
      <c r="I38" s="8"/>
      <c r="J38" s="9"/>
      <c r="K38" s="9"/>
      <c r="L38" s="9"/>
      <c r="M38" s="9"/>
      <c r="N38" s="8"/>
      <c r="O38" s="9"/>
      <c r="P38" s="9"/>
      <c r="Q38" s="9"/>
      <c r="R38" s="9"/>
      <c r="S38" s="8"/>
      <c r="T38" s="52"/>
      <c r="U38" s="52"/>
    </row>
    <row r="39" spans="4:21" x14ac:dyDescent="0.2">
      <c r="D39" s="19" t="s">
        <v>26</v>
      </c>
      <c r="E39" s="21">
        <f>E16/E20</f>
        <v>0.93813745750283317</v>
      </c>
      <c r="F39" s="21">
        <f>F16/F20</f>
        <v>0.89726212151864593</v>
      </c>
      <c r="G39" s="21">
        <f>G16/G20</f>
        <v>0.98823343848580447</v>
      </c>
      <c r="H39" s="21">
        <f>H16/H20</f>
        <v>1.1440301171583422</v>
      </c>
      <c r="I39" s="19" t="s">
        <v>26</v>
      </c>
      <c r="J39" s="21">
        <f>J16/J20</f>
        <v>0.82394457115806685</v>
      </c>
      <c r="K39" s="21">
        <f>K16/K20</f>
        <v>0.76739512153842904</v>
      </c>
      <c r="L39" s="21">
        <f>L16/L20</f>
        <v>0.80573880149467181</v>
      </c>
      <c r="M39" s="21">
        <f>M16/M20</f>
        <v>1.0260265901580552</v>
      </c>
      <c r="N39" s="19" t="s">
        <v>26</v>
      </c>
      <c r="O39" s="21">
        <f>O16/O20</f>
        <v>1.0926843208230139</v>
      </c>
      <c r="P39" s="21">
        <f>P16/P20</f>
        <v>0.99827294889300389</v>
      </c>
      <c r="Q39" s="21">
        <f>Q16/Q20</f>
        <v>1.1163562087611063</v>
      </c>
      <c r="R39" s="21">
        <f>R16/R20</f>
        <v>1.1785502690284746</v>
      </c>
      <c r="S39" s="19" t="s">
        <v>26</v>
      </c>
      <c r="T39" s="51">
        <f>T16/T20</f>
        <v>0.88281770458603137</v>
      </c>
      <c r="U39" s="51">
        <f>U16/U20</f>
        <v>1.0780816034359342</v>
      </c>
    </row>
    <row r="40" spans="4:21" x14ac:dyDescent="0.2">
      <c r="D40" s="19" t="s">
        <v>35</v>
      </c>
      <c r="E40" s="21">
        <f t="shared" ref="E40:F40" si="7">E23/E14</f>
        <v>1.080994076744785</v>
      </c>
      <c r="F40" s="21">
        <f t="shared" si="7"/>
        <v>0.7074909279419388</v>
      </c>
      <c r="G40" s="21">
        <f>G23/G14</f>
        <v>0.74344521308395251</v>
      </c>
      <c r="H40" s="21">
        <f>H23/H14</f>
        <v>0.45177738927738925</v>
      </c>
      <c r="I40" s="19" t="s">
        <v>35</v>
      </c>
      <c r="J40" s="21">
        <f t="shared" ref="J40:K40" si="8">J23/J14</f>
        <v>0.67512724804886326</v>
      </c>
      <c r="K40" s="21">
        <f t="shared" si="8"/>
        <v>0.57344008834897842</v>
      </c>
      <c r="L40" s="21">
        <f>L23/L14</f>
        <v>0.79143656857553524</v>
      </c>
      <c r="M40" s="21">
        <f>M23/M14</f>
        <v>0.42220689655172416</v>
      </c>
      <c r="N40" s="19" t="s">
        <v>35</v>
      </c>
      <c r="O40" s="21">
        <f t="shared" ref="O40:T40" si="9">O23/O14</f>
        <v>3.5731483210330289E-2</v>
      </c>
      <c r="P40" s="21">
        <f t="shared" si="9"/>
        <v>-6.7827848912751067E-3</v>
      </c>
      <c r="Q40" s="21">
        <f>Q23/Q14</f>
        <v>8.2937853107344639E-2</v>
      </c>
      <c r="R40" s="21">
        <f>R23/R14</f>
        <v>0.11406570653767224</v>
      </c>
      <c r="S40" s="19" t="s">
        <v>35</v>
      </c>
      <c r="T40" s="51">
        <f t="shared" si="9"/>
        <v>0.76889441591784335</v>
      </c>
      <c r="U40" s="51">
        <f t="shared" ref="U40" si="10">U23/U14</f>
        <v>0.43364902192908283</v>
      </c>
    </row>
    <row r="41" spans="4:21" x14ac:dyDescent="0.2">
      <c r="D41" s="19" t="s">
        <v>39</v>
      </c>
      <c r="E41" s="20">
        <f t="shared" ref="E41:T41" si="11">(E19+E18-E21)/E4</f>
        <v>-3.3325678468666839E-2</v>
      </c>
      <c r="F41" s="20">
        <f t="shared" si="11"/>
        <v>-1.8488177846312001E-2</v>
      </c>
      <c r="G41" s="20">
        <f>(G19+G18-G21)/G4</f>
        <v>-3.7614912151583683E-2</v>
      </c>
      <c r="H41" s="20">
        <f>(H19+H18-H21)/H4</f>
        <v>-6.3621694602693707E-2</v>
      </c>
      <c r="I41" s="19" t="s">
        <v>36</v>
      </c>
      <c r="J41" s="20">
        <f t="shared" si="11"/>
        <v>-1.219976089555483E-2</v>
      </c>
      <c r="K41" s="20">
        <f t="shared" si="11"/>
        <v>-1.0687600491818784E-2</v>
      </c>
      <c r="L41" s="20">
        <f>(L19+L18-L21)/L4</f>
        <v>-4.8674979433758217E-2</v>
      </c>
      <c r="M41" s="20">
        <f t="shared" ref="M41" si="12">(M19+M18-M21)/M4</f>
        <v>-8.0033688679680651E-2</v>
      </c>
      <c r="N41" s="19" t="s">
        <v>36</v>
      </c>
      <c r="O41" s="20">
        <f t="shared" si="11"/>
        <v>0.19601100704264168</v>
      </c>
      <c r="P41" s="20">
        <f t="shared" si="11"/>
        <v>0.15714223480723155</v>
      </c>
      <c r="Q41" s="20">
        <f>(Q19+Q18-Q21)/Q4</f>
        <v>0.19478925868456887</v>
      </c>
      <c r="R41" s="20">
        <f t="shared" ref="R41" si="13">(R19+R18-R21)/R4</f>
        <v>0.200866818614167</v>
      </c>
      <c r="S41" s="19" t="s">
        <v>36</v>
      </c>
      <c r="T41" s="49">
        <f t="shared" si="11"/>
        <v>-4.4156397948807664E-2</v>
      </c>
      <c r="U41" s="49">
        <f t="shared" ref="U41" si="14">(U19+U18-U21)/U4</f>
        <v>-7.3271826877416735E-2</v>
      </c>
    </row>
    <row r="42" spans="4:21" x14ac:dyDescent="0.2">
      <c r="D42" s="19" t="s">
        <v>37</v>
      </c>
      <c r="E42" s="21">
        <f t="shared" ref="E42:T42" si="15">E4/E18</f>
        <v>11.032339791356184</v>
      </c>
      <c r="F42" s="21">
        <f t="shared" si="15"/>
        <v>8.5410893126629173</v>
      </c>
      <c r="G42" s="21">
        <f>G4/G18</f>
        <v>11.920721008135269</v>
      </c>
      <c r="H42" s="21">
        <f>H4/H18</f>
        <v>11.318300409988819</v>
      </c>
      <c r="I42" s="19" t="s">
        <v>37</v>
      </c>
      <c r="J42" s="21">
        <f t="shared" si="15"/>
        <v>10.324668038152234</v>
      </c>
      <c r="K42" s="21">
        <f t="shared" si="15"/>
        <v>8.1821699427333225</v>
      </c>
      <c r="L42" s="21">
        <f>L4/L18</f>
        <v>11.128060069944455</v>
      </c>
      <c r="M42" s="21">
        <f t="shared" ref="M42" si="16">M4/M18</f>
        <v>10.708673091178651</v>
      </c>
      <c r="N42" s="19" t="s">
        <v>37</v>
      </c>
      <c r="O42" s="21">
        <f t="shared" si="15"/>
        <v>5.1557328669799976</v>
      </c>
      <c r="P42" s="21">
        <f t="shared" si="15"/>
        <v>5.679821848323642</v>
      </c>
      <c r="Q42" s="21">
        <f>Q4/Q18</f>
        <v>5.4048179367592315</v>
      </c>
      <c r="R42" s="21">
        <f t="shared" ref="R42" si="17">R4/R18</f>
        <v>5.0860050658330103</v>
      </c>
      <c r="S42" s="19" t="s">
        <v>37</v>
      </c>
      <c r="T42" s="51">
        <f t="shared" si="15"/>
        <v>11.438809330248265</v>
      </c>
      <c r="U42" s="51">
        <f t="shared" ref="U42" si="18">U4/U18</f>
        <v>10.951708766716196</v>
      </c>
    </row>
    <row r="43" spans="4:21" x14ac:dyDescent="0.2">
      <c r="D43" s="19" t="s">
        <v>40</v>
      </c>
      <c r="E43" s="20">
        <f t="shared" ref="E43:F43" si="19">(E14-E17)/E10</f>
        <v>-0.12364411157024793</v>
      </c>
      <c r="F43" s="20">
        <f t="shared" si="19"/>
        <v>-7.2140205473538804E-2</v>
      </c>
      <c r="G43" s="20">
        <f>(G14-G17)/G10</f>
        <v>-8.7779147435713675E-2</v>
      </c>
      <c r="H43" s="20">
        <f>(H14-H17)/H10</f>
        <v>-0.12467691470548224</v>
      </c>
      <c r="I43" s="19" t="s">
        <v>40</v>
      </c>
      <c r="J43" s="20">
        <f t="shared" ref="J43:K43" si="20">(J14-J17)/J10</f>
        <v>2.3587583743664386E-2</v>
      </c>
      <c r="K43" s="20">
        <f t="shared" si="20"/>
        <v>5.6823019969054714E-2</v>
      </c>
      <c r="L43" s="20">
        <f>(L14-L17)/L10</f>
        <v>-1.8583493125535474E-2</v>
      </c>
      <c r="M43" s="20">
        <f>(M14-M17)/M10</f>
        <v>-2.1016745212072595E-2</v>
      </c>
      <c r="N43" s="19" t="s">
        <v>40</v>
      </c>
      <c r="O43" s="20">
        <f t="shared" ref="O43:T43" si="21">(O14-O17)/O10</f>
        <v>0.38104924960057274</v>
      </c>
      <c r="P43" s="20">
        <f t="shared" si="21"/>
        <v>0.37009140369451887</v>
      </c>
      <c r="Q43" s="20">
        <f>(Q14-Q17)/Q10</f>
        <v>0.3911357159101852</v>
      </c>
      <c r="R43" s="20">
        <f>(R14-R17)/R10</f>
        <v>0.37093101381172128</v>
      </c>
      <c r="S43" s="19" t="s">
        <v>40</v>
      </c>
      <c r="T43" s="49">
        <f t="shared" si="21"/>
        <v>-4.7351170967165249E-2</v>
      </c>
      <c r="U43" s="49">
        <f t="shared" ref="U43" si="22">(U14-U17)/U10</f>
        <v>-6.5002308935580691E-2</v>
      </c>
    </row>
    <row r="44" spans="4:21" x14ac:dyDescent="0.2">
      <c r="D44" s="8"/>
      <c r="E44" s="9"/>
      <c r="F44" s="9"/>
      <c r="G44" s="9"/>
      <c r="H44" s="9"/>
      <c r="I44" s="10"/>
      <c r="L44" s="10"/>
      <c r="M44" s="10"/>
    </row>
    <row r="45" spans="4:21" x14ac:dyDescent="0.2">
      <c r="D45" s="8"/>
      <c r="E45" s="9"/>
      <c r="F45" s="9"/>
      <c r="G45" s="9"/>
      <c r="H45" s="9"/>
      <c r="I45" s="10"/>
      <c r="L45" s="10"/>
      <c r="M45" s="10"/>
    </row>
    <row r="46" spans="4:21" x14ac:dyDescent="0.2">
      <c r="D46" s="8"/>
      <c r="E46" s="9"/>
      <c r="F46" s="9"/>
      <c r="G46" s="9"/>
      <c r="H46" s="9"/>
      <c r="I46" s="10"/>
      <c r="L46" s="10"/>
      <c r="M46" s="10"/>
    </row>
    <row r="47" spans="4:21" x14ac:dyDescent="0.2">
      <c r="D47" s="8"/>
      <c r="E47" s="9"/>
      <c r="F47" s="9"/>
      <c r="G47" s="9"/>
      <c r="H47" s="9"/>
      <c r="I47" s="10"/>
      <c r="L47" s="10"/>
      <c r="M47" s="10"/>
    </row>
    <row r="48" spans="4:21" x14ac:dyDescent="0.2">
      <c r="D48" s="8"/>
      <c r="E48" s="9"/>
      <c r="F48" s="9"/>
      <c r="G48" s="9"/>
      <c r="H48" s="9"/>
      <c r="I48" s="10"/>
      <c r="L48" s="10"/>
      <c r="M48" s="10"/>
    </row>
    <row r="49" spans="4:13" x14ac:dyDescent="0.2">
      <c r="D49" s="8"/>
      <c r="E49" s="9"/>
      <c r="F49" s="9"/>
      <c r="G49" s="9"/>
      <c r="H49" s="9"/>
      <c r="I49" s="10"/>
      <c r="L49" s="10"/>
      <c r="M49" s="10"/>
    </row>
    <row r="50" spans="4:13" x14ac:dyDescent="0.2">
      <c r="D50" s="8"/>
      <c r="E50" s="9"/>
      <c r="F50" s="9"/>
      <c r="G50" s="9"/>
      <c r="H50" s="9"/>
      <c r="I50" s="10"/>
      <c r="L50" s="10"/>
      <c r="M50" s="10"/>
    </row>
    <row r="51" spans="4:13" x14ac:dyDescent="0.2">
      <c r="D51" s="24" t="s">
        <v>6</v>
      </c>
      <c r="E51" s="4">
        <v>2018</v>
      </c>
      <c r="F51" s="4">
        <v>2017</v>
      </c>
      <c r="G51" s="4">
        <v>2019</v>
      </c>
      <c r="H51" s="4">
        <v>2020</v>
      </c>
      <c r="I51" s="24" t="s">
        <v>8</v>
      </c>
      <c r="J51" s="4">
        <v>2018</v>
      </c>
      <c r="K51" s="4">
        <v>2017</v>
      </c>
      <c r="L51" s="4">
        <v>2019</v>
      </c>
      <c r="M51" s="4">
        <v>2020</v>
      </c>
    </row>
    <row r="52" spans="4:13" x14ac:dyDescent="0.2">
      <c r="D52" s="3" t="s">
        <v>2</v>
      </c>
      <c r="E52" s="34">
        <f>E26</f>
        <v>0.16816372358885373</v>
      </c>
      <c r="F52" s="34">
        <f>F26</f>
        <v>0.14048844726445589</v>
      </c>
      <c r="G52" s="34">
        <f>G26</f>
        <v>0.1643961286179533</v>
      </c>
      <c r="H52" s="34">
        <f>H26</f>
        <v>8.4694646896205081E-2</v>
      </c>
      <c r="I52" s="3" t="s">
        <v>2</v>
      </c>
      <c r="J52" s="34">
        <f>E30</f>
        <v>5.9437772704553742E-2</v>
      </c>
      <c r="K52" s="34">
        <f>F30</f>
        <v>4.9376766897969673E-2</v>
      </c>
      <c r="L52" s="34">
        <f>G30</f>
        <v>6.2464037681818789E-2</v>
      </c>
      <c r="M52" s="34">
        <f>H30</f>
        <v>5.0284848684427175E-2</v>
      </c>
    </row>
    <row r="53" spans="4:13" x14ac:dyDescent="0.2">
      <c r="D53" s="6" t="s">
        <v>1</v>
      </c>
      <c r="E53" s="34">
        <f>J26</f>
        <v>0.14584588202224633</v>
      </c>
      <c r="F53" s="34">
        <f>K26</f>
        <v>0.16724639062276647</v>
      </c>
      <c r="G53" s="34">
        <f>L26</f>
        <v>0.23121185701830863</v>
      </c>
      <c r="H53" s="34">
        <f>M26</f>
        <v>9.2803835891883536E-4</v>
      </c>
      <c r="I53" s="6" t="s">
        <v>1</v>
      </c>
      <c r="J53" s="34">
        <f>J30</f>
        <v>4.4641886751440062E-2</v>
      </c>
      <c r="K53" s="34">
        <f>K30</f>
        <v>5.6086257448217158E-2</v>
      </c>
      <c r="L53" s="34">
        <f>L30</f>
        <v>4.4524758057807312E-2</v>
      </c>
      <c r="M53" s="34">
        <f>M30</f>
        <v>2.4978079283769439E-2</v>
      </c>
    </row>
    <row r="54" spans="4:13" x14ac:dyDescent="0.2">
      <c r="D54" s="7" t="s">
        <v>3</v>
      </c>
      <c r="E54" s="34">
        <f>O26</f>
        <v>0.10356905455847011</v>
      </c>
      <c r="F54" s="34">
        <f>P26</f>
        <v>0.10509089908963393</v>
      </c>
      <c r="G54" s="34">
        <f>Q26</f>
        <v>0.11345642170301898</v>
      </c>
      <c r="H54" s="34">
        <f>R26</f>
        <v>6.8518360342591803E-2</v>
      </c>
      <c r="I54" s="7" t="s">
        <v>3</v>
      </c>
      <c r="J54" s="34">
        <f>O30</f>
        <v>5.9020814164995397E-2</v>
      </c>
      <c r="K54" s="34">
        <f>P30</f>
        <v>6.019603572206491E-2</v>
      </c>
      <c r="L54" s="34">
        <f>Q30</f>
        <v>6.7133221444630922E-2</v>
      </c>
      <c r="M54" s="34">
        <f>R30</f>
        <v>4.3408230290195797E-2</v>
      </c>
    </row>
    <row r="55" spans="4:13" x14ac:dyDescent="0.2">
      <c r="D55" s="11" t="s">
        <v>27</v>
      </c>
      <c r="E55" s="9"/>
      <c r="F55" s="9"/>
      <c r="G55" s="34">
        <f>T26</f>
        <v>0.20235359378714637</v>
      </c>
      <c r="H55" s="34">
        <f>U26</f>
        <v>4.1138031567306728E-2</v>
      </c>
      <c r="I55" s="11" t="s">
        <v>27</v>
      </c>
      <c r="J55" s="9"/>
      <c r="K55" s="9"/>
      <c r="L55" s="34">
        <f>T30</f>
        <v>5.1853836145157942E-2</v>
      </c>
      <c r="M55" s="34">
        <f>U30</f>
        <v>3.5404653686995455E-2</v>
      </c>
    </row>
    <row r="56" spans="4:13" x14ac:dyDescent="0.2">
      <c r="D56" s="35" t="s">
        <v>29</v>
      </c>
      <c r="E56" s="34">
        <f t="shared" ref="E56:F56" si="23">AVERAGE(E52:E54)</f>
        <v>0.13919288672319005</v>
      </c>
      <c r="F56" s="34">
        <f t="shared" si="23"/>
        <v>0.13760857899228543</v>
      </c>
      <c r="G56" s="34">
        <f>AVERAGE(G52:G54)</f>
        <v>0.1696881357797603</v>
      </c>
      <c r="H56" s="34">
        <f>AVERAGE(H52:H54)</f>
        <v>5.1380348532571903E-2</v>
      </c>
      <c r="I56" s="35" t="s">
        <v>29</v>
      </c>
      <c r="J56" s="34">
        <f t="shared" ref="J56:K56" si="24">AVERAGE(J52:J54)</f>
        <v>5.4366824540329733E-2</v>
      </c>
      <c r="K56" s="34">
        <f t="shared" si="24"/>
        <v>5.5219686689417243E-2</v>
      </c>
      <c r="L56" s="34">
        <f>AVERAGE(L52:L54)</f>
        <v>5.8040672394752336E-2</v>
      </c>
      <c r="M56" s="34">
        <f>AVERAGE(M52:M54)</f>
        <v>3.9557052752797472E-2</v>
      </c>
    </row>
    <row r="57" spans="4:13" x14ac:dyDescent="0.2">
      <c r="D57" s="8"/>
      <c r="E57" s="9"/>
      <c r="F57" s="9"/>
      <c r="G57" s="9"/>
      <c r="H57" s="9"/>
      <c r="I57" s="8"/>
      <c r="L57" s="8"/>
      <c r="M57" s="8"/>
    </row>
    <row r="58" spans="4:13" x14ac:dyDescent="0.2">
      <c r="D58" s="25" t="s">
        <v>0</v>
      </c>
      <c r="E58" s="4">
        <v>2018</v>
      </c>
      <c r="F58" s="4">
        <v>2017</v>
      </c>
      <c r="G58" s="4">
        <v>2019</v>
      </c>
      <c r="H58" s="4">
        <v>2020</v>
      </c>
      <c r="I58" s="24" t="s">
        <v>4</v>
      </c>
      <c r="J58" s="4">
        <v>2018</v>
      </c>
      <c r="K58" s="4">
        <v>2017</v>
      </c>
      <c r="L58" s="4">
        <v>2019</v>
      </c>
      <c r="M58" s="4">
        <v>2020</v>
      </c>
    </row>
    <row r="59" spans="4:13" x14ac:dyDescent="0.2">
      <c r="D59" s="3" t="s">
        <v>2</v>
      </c>
      <c r="E59" s="34">
        <f>E29</f>
        <v>7.1022727272727279E-2</v>
      </c>
      <c r="F59" s="34">
        <f>F29</f>
        <v>5.3077786411119744E-2</v>
      </c>
      <c r="G59" s="34">
        <f>G29</f>
        <v>6.6909382793911079E-2</v>
      </c>
      <c r="H59" s="34">
        <f>H29</f>
        <v>4.1545367977145968E-2</v>
      </c>
      <c r="I59" s="3" t="s">
        <v>2</v>
      </c>
      <c r="J59" s="34">
        <f>E32</f>
        <v>9.9895983897767035E-2</v>
      </c>
      <c r="K59" s="34">
        <f>F32</f>
        <v>9.3308275507581598E-2</v>
      </c>
      <c r="L59" s="34">
        <f>G32</f>
        <v>0.11220243272537501</v>
      </c>
      <c r="M59" s="34">
        <f>H32</f>
        <v>0.1171008002107551</v>
      </c>
    </row>
    <row r="60" spans="4:13" x14ac:dyDescent="0.2">
      <c r="D60" s="6" t="s">
        <v>1</v>
      </c>
      <c r="E60" s="34">
        <f>J29</f>
        <v>5.0881050447493109E-2</v>
      </c>
      <c r="F60" s="34">
        <f>K29</f>
        <v>6.1579040280792113E-2</v>
      </c>
      <c r="G60" s="34">
        <f>L29</f>
        <v>4.9131002407082534E-2</v>
      </c>
      <c r="H60" s="34">
        <f>M29</f>
        <v>2.1708613255790633E-2</v>
      </c>
      <c r="I60" s="6" t="s">
        <v>1</v>
      </c>
      <c r="J60" s="34">
        <f>J32</f>
        <v>9.4518711734231792E-2</v>
      </c>
      <c r="K60" s="34">
        <f>K32</f>
        <v>0.10785964248557647</v>
      </c>
      <c r="L60" s="34">
        <f>L32</f>
        <v>9.4854280089104973E-2</v>
      </c>
      <c r="M60" s="34">
        <f>M32</f>
        <v>8.4313996954174172E-2</v>
      </c>
    </row>
    <row r="61" spans="4:13" x14ac:dyDescent="0.2">
      <c r="D61" s="7" t="s">
        <v>3</v>
      </c>
      <c r="E61" s="37">
        <f>O29</f>
        <v>3.0382664419979222E-2</v>
      </c>
      <c r="F61" s="37">
        <f>P29</f>
        <v>3.2729107304005516E-2</v>
      </c>
      <c r="G61" s="37">
        <f>Q29</f>
        <v>3.4749042659776956E-2</v>
      </c>
      <c r="H61" s="37">
        <f>R29</f>
        <v>1.9462336606894996E-2</v>
      </c>
      <c r="I61" s="7" t="s">
        <v>3</v>
      </c>
      <c r="J61" s="34">
        <f>O32</f>
        <v>0.1546794771230745</v>
      </c>
      <c r="K61" s="34">
        <f>P32</f>
        <v>0.15675887606186015</v>
      </c>
      <c r="L61" s="34">
        <f>Q32</f>
        <v>0.1638707685487191</v>
      </c>
      <c r="M61" s="34">
        <f>R32</f>
        <v>0.16486154232695036</v>
      </c>
    </row>
    <row r="62" spans="4:13" x14ac:dyDescent="0.2">
      <c r="D62" s="11" t="s">
        <v>27</v>
      </c>
      <c r="G62" s="37">
        <f>T29</f>
        <v>5.6522257314820336E-2</v>
      </c>
      <c r="H62" s="37">
        <f>U29</f>
        <v>3.0125836989148003E-2</v>
      </c>
      <c r="I62" s="11" t="s">
        <v>27</v>
      </c>
      <c r="J62" s="9"/>
      <c r="K62" s="9"/>
      <c r="L62" s="34">
        <f>T32</f>
        <v>0.10194185372680654</v>
      </c>
      <c r="M62" s="34">
        <f>U32</f>
        <v>9.7822400108540805E-2</v>
      </c>
    </row>
    <row r="63" spans="4:13" x14ac:dyDescent="0.2">
      <c r="D63" s="35" t="s">
        <v>29</v>
      </c>
      <c r="E63" s="34">
        <f t="shared" ref="E63:F63" si="25">AVERAGE(E59:E61)</f>
        <v>5.0762147380066534E-2</v>
      </c>
      <c r="F63" s="34">
        <f t="shared" si="25"/>
        <v>4.9128644665305789E-2</v>
      </c>
      <c r="G63" s="34">
        <f>AVERAGE(G59:G61)</f>
        <v>5.0263142620256857E-2</v>
      </c>
      <c r="H63" s="34">
        <f>AVERAGE(H59:H61)</f>
        <v>2.7572105946610536E-2</v>
      </c>
      <c r="I63" s="35" t="s">
        <v>29</v>
      </c>
      <c r="J63" s="34">
        <f t="shared" ref="J63:K63" si="26">AVERAGE(J59:J61)</f>
        <v>0.1163647242516911</v>
      </c>
      <c r="K63" s="34">
        <f t="shared" si="26"/>
        <v>0.11930893135167275</v>
      </c>
      <c r="L63" s="34">
        <f>AVERAGE(L59:L61)</f>
        <v>0.12364249378773302</v>
      </c>
      <c r="M63" s="34">
        <f>AVERAGE(M59:M61)</f>
        <v>0.12209211316395989</v>
      </c>
    </row>
    <row r="65" spans="4:13" x14ac:dyDescent="0.2">
      <c r="D65" s="26" t="s">
        <v>28</v>
      </c>
      <c r="E65" s="28">
        <v>2018</v>
      </c>
      <c r="F65" s="28">
        <v>2017</v>
      </c>
      <c r="G65" s="27">
        <v>2019</v>
      </c>
      <c r="H65" s="4">
        <v>2020</v>
      </c>
      <c r="I65" s="24" t="s">
        <v>9</v>
      </c>
      <c r="J65" s="4">
        <v>2018</v>
      </c>
      <c r="K65" s="4">
        <v>2017</v>
      </c>
      <c r="L65" s="4">
        <v>2019</v>
      </c>
      <c r="M65" s="4">
        <v>2020</v>
      </c>
    </row>
    <row r="66" spans="4:13" x14ac:dyDescent="0.2">
      <c r="D66" s="29" t="s">
        <v>2</v>
      </c>
      <c r="E66" s="38">
        <f>E36</f>
        <v>2.1617842196590793</v>
      </c>
      <c r="F66" s="38">
        <f>F36</f>
        <v>2.4667185442356039</v>
      </c>
      <c r="G66" s="38">
        <f>G36</f>
        <v>2.2001284344754826</v>
      </c>
      <c r="H66" s="38">
        <f>H36</f>
        <v>2.0790818463600571</v>
      </c>
      <c r="I66" s="3" t="s">
        <v>2</v>
      </c>
      <c r="J66" s="36">
        <f>E31</f>
        <v>1.1949089617768596</v>
      </c>
      <c r="K66" s="36">
        <f>F31</f>
        <v>1.074954674954675</v>
      </c>
      <c r="L66" s="36">
        <f>G31</f>
        <v>1.0711664707737294</v>
      </c>
      <c r="M66" s="36">
        <f>H31</f>
        <v>0.82620051693647123</v>
      </c>
    </row>
    <row r="67" spans="4:13" x14ac:dyDescent="0.2">
      <c r="D67" s="31" t="s">
        <v>1</v>
      </c>
      <c r="E67" s="38">
        <f>J36</f>
        <v>2.8900132514154921</v>
      </c>
      <c r="F67" s="38">
        <f>K36</f>
        <v>3.5885071711059227</v>
      </c>
      <c r="G67" s="38">
        <f>L36</f>
        <v>2.4191455972101132</v>
      </c>
      <c r="H67" s="38">
        <f>M36</f>
        <v>2.8563860639573102</v>
      </c>
      <c r="I67" s="6" t="s">
        <v>1</v>
      </c>
      <c r="J67" s="36">
        <f>J31</f>
        <v>1.1397603047288718</v>
      </c>
      <c r="K67" s="36">
        <f>K31</f>
        <v>1.0979345579912565</v>
      </c>
      <c r="L67" s="36">
        <f>L31</f>
        <v>1.1034535514666883</v>
      </c>
      <c r="M67" s="36">
        <f>M31</f>
        <v>0.86910658778702499</v>
      </c>
    </row>
    <row r="68" spans="4:13" x14ac:dyDescent="0.2">
      <c r="D68" s="32" t="s">
        <v>3</v>
      </c>
      <c r="E68" s="38">
        <f>O36</f>
        <v>2.9044502394709482</v>
      </c>
      <c r="F68" s="38">
        <f>P36</f>
        <v>2.8705960009901261</v>
      </c>
      <c r="G68" s="38">
        <f>Q36</f>
        <v>2.9471658134588479</v>
      </c>
      <c r="H68" s="38">
        <f>R36</f>
        <v>2.8600902293004511</v>
      </c>
      <c r="I68" s="7" t="s">
        <v>3</v>
      </c>
      <c r="J68" s="36">
        <f>O31</f>
        <v>0.51477880896463213</v>
      </c>
      <c r="K68" s="36">
        <f>P31</f>
        <v>0.54370868299569153</v>
      </c>
      <c r="L68" s="36">
        <f>Q31</f>
        <v>0.51761321610995126</v>
      </c>
      <c r="M68" s="36">
        <f>R31</f>
        <v>0.44835591031433436</v>
      </c>
    </row>
    <row r="69" spans="4:13" x14ac:dyDescent="0.2">
      <c r="D69" s="33" t="s">
        <v>27</v>
      </c>
      <c r="E69" s="30"/>
      <c r="F69" s="30"/>
      <c r="G69" s="38">
        <f>T36</f>
        <v>2.3245502813218164</v>
      </c>
      <c r="H69" s="38">
        <f>U36</f>
        <v>2.4832612848094904</v>
      </c>
      <c r="I69" s="11" t="s">
        <v>27</v>
      </c>
      <c r="J69" s="9"/>
      <c r="K69" s="9"/>
      <c r="L69" s="36">
        <f>T31</f>
        <v>1.0900303915142124</v>
      </c>
      <c r="M69" s="36">
        <f>U31</f>
        <v>0.85090048487647196</v>
      </c>
    </row>
    <row r="70" spans="4:13" x14ac:dyDescent="0.2">
      <c r="D70" s="35" t="s">
        <v>29</v>
      </c>
      <c r="E70" s="39">
        <f t="shared" ref="E70:F70" si="27">AVERAGE(E66:E68)</f>
        <v>2.65208257018184</v>
      </c>
      <c r="F70" s="39">
        <f t="shared" si="27"/>
        <v>2.9752739054438844</v>
      </c>
      <c r="G70" s="39">
        <f>AVERAGE(G66:G68)</f>
        <v>2.5221466150481477</v>
      </c>
      <c r="H70" s="39">
        <f>AVERAGE(H66:H68)</f>
        <v>2.5985193798726063</v>
      </c>
      <c r="I70" s="35" t="s">
        <v>29</v>
      </c>
      <c r="J70" s="39">
        <f t="shared" ref="J70:K70" si="28">AVERAGE(J66:J68)</f>
        <v>0.94981602515678765</v>
      </c>
      <c r="K70" s="39">
        <f t="shared" si="28"/>
        <v>0.90553263864720768</v>
      </c>
      <c r="L70" s="39">
        <f>AVERAGE(L66:L68)</f>
        <v>0.89741107945012288</v>
      </c>
      <c r="M70" s="39">
        <f>AVERAGE(M66:M68)</f>
        <v>0.71455433834594351</v>
      </c>
    </row>
    <row r="74" spans="4:13" x14ac:dyDescent="0.2">
      <c r="D74" s="25" t="s">
        <v>31</v>
      </c>
      <c r="E74" s="4">
        <v>2018</v>
      </c>
      <c r="F74" s="4">
        <v>2017</v>
      </c>
      <c r="G74" s="4">
        <v>2019</v>
      </c>
      <c r="H74" s="4">
        <v>2020</v>
      </c>
    </row>
    <row r="75" spans="4:13" x14ac:dyDescent="0.2">
      <c r="D75" s="3" t="s">
        <v>2</v>
      </c>
      <c r="E75" s="39">
        <f t="shared" ref="E75:F75" si="29">E59/E$63</f>
        <v>1.3991277150071224</v>
      </c>
      <c r="F75" s="39">
        <f t="shared" si="29"/>
        <v>1.0803836900593922</v>
      </c>
      <c r="G75" s="39">
        <f t="shared" ref="G75:H77" si="30">G59/G$63</f>
        <v>1.3311818423177049</v>
      </c>
      <c r="H75" s="39">
        <f t="shared" si="30"/>
        <v>1.5067897989944137</v>
      </c>
    </row>
    <row r="76" spans="4:13" x14ac:dyDescent="0.2">
      <c r="D76" s="6" t="s">
        <v>1</v>
      </c>
      <c r="E76" s="39">
        <f t="shared" ref="E76:F77" si="31">E60/E$63</f>
        <v>1.0023423569246652</v>
      </c>
      <c r="F76" s="39">
        <f t="shared" si="31"/>
        <v>1.253424365770845</v>
      </c>
      <c r="G76" s="39">
        <f t="shared" si="30"/>
        <v>0.97747573760503281</v>
      </c>
      <c r="H76" s="39">
        <f t="shared" si="30"/>
        <v>0.78733968663207221</v>
      </c>
    </row>
    <row r="77" spans="4:13" x14ac:dyDescent="0.2">
      <c r="D77" s="7" t="s">
        <v>3</v>
      </c>
      <c r="E77" s="39">
        <f t="shared" si="31"/>
        <v>0.59852992806821248</v>
      </c>
      <c r="F77" s="39">
        <f t="shared" si="31"/>
        <v>0.66619194416976291</v>
      </c>
      <c r="G77" s="39">
        <f t="shared" si="30"/>
        <v>0.69134242007726221</v>
      </c>
      <c r="H77" s="39">
        <f t="shared" si="30"/>
        <v>0.70587051437351378</v>
      </c>
    </row>
    <row r="79" spans="4:13" x14ac:dyDescent="0.2">
      <c r="D79" s="26" t="s">
        <v>30</v>
      </c>
      <c r="E79" s="28">
        <v>2018</v>
      </c>
      <c r="F79" s="28">
        <v>2017</v>
      </c>
      <c r="G79" s="27">
        <v>2019</v>
      </c>
      <c r="H79" s="4">
        <v>2020</v>
      </c>
    </row>
    <row r="80" spans="4:13" x14ac:dyDescent="0.2">
      <c r="D80" s="29" t="s">
        <v>2</v>
      </c>
      <c r="E80" s="38">
        <f t="shared" ref="E80:F80" si="32">E66/E$70</f>
        <v>0.81512704165574168</v>
      </c>
      <c r="F80" s="38">
        <f t="shared" si="32"/>
        <v>0.82907275855249085</v>
      </c>
      <c r="G80" s="38">
        <f t="shared" ref="G80:H82" si="33">G66/G$70</f>
        <v>0.8723237663300879</v>
      </c>
      <c r="H80" s="38">
        <f t="shared" si="33"/>
        <v>0.80010249777778653</v>
      </c>
    </row>
    <row r="81" spans="4:8" x14ac:dyDescent="0.2">
      <c r="D81" s="31" t="s">
        <v>1</v>
      </c>
      <c r="E81" s="38">
        <f t="shared" ref="E81:F82" si="34">E67/E$70</f>
        <v>1.089714658174213</v>
      </c>
      <c r="F81" s="38">
        <f t="shared" si="34"/>
        <v>1.2061098524542564</v>
      </c>
      <c r="G81" s="38">
        <f t="shared" si="33"/>
        <v>0.95916136785090578</v>
      </c>
      <c r="H81" s="38">
        <f t="shared" si="33"/>
        <v>1.0992360057354453</v>
      </c>
    </row>
    <row r="82" spans="4:8" x14ac:dyDescent="0.2">
      <c r="D82" s="32" t="s">
        <v>3</v>
      </c>
      <c r="E82" s="38">
        <f t="shared" si="34"/>
        <v>1.0951583001700451</v>
      </c>
      <c r="F82" s="38">
        <f t="shared" si="34"/>
        <v>0.96481738899325264</v>
      </c>
      <c r="G82" s="38">
        <f t="shared" si="33"/>
        <v>1.1685148658190065</v>
      </c>
      <c r="H82" s="38">
        <f t="shared" si="33"/>
        <v>1.100661496486768</v>
      </c>
    </row>
    <row r="87" spans="4:8" x14ac:dyDescent="0.2">
      <c r="D87" s="25" t="s">
        <v>26</v>
      </c>
      <c r="E87" s="4">
        <v>2018</v>
      </c>
      <c r="F87" s="4">
        <v>2017</v>
      </c>
      <c r="G87" s="4">
        <v>2019</v>
      </c>
      <c r="H87" s="4">
        <v>2020</v>
      </c>
    </row>
    <row r="88" spans="4:8" x14ac:dyDescent="0.2">
      <c r="D88" s="3" t="s">
        <v>2</v>
      </c>
      <c r="E88" s="39">
        <v>0.93813745750283317</v>
      </c>
      <c r="F88" s="39">
        <v>0.89726212151864593</v>
      </c>
      <c r="G88" s="39">
        <v>0.98823343848580447</v>
      </c>
      <c r="H88" s="39">
        <f>H39</f>
        <v>1.1440301171583422</v>
      </c>
    </row>
    <row r="89" spans="4:8" x14ac:dyDescent="0.2">
      <c r="D89" s="6" t="s">
        <v>1</v>
      </c>
      <c r="E89" s="39">
        <v>0.82394457115806685</v>
      </c>
      <c r="F89" s="39">
        <v>0.76739512153842904</v>
      </c>
      <c r="G89" s="39">
        <v>0.80573880149467181</v>
      </c>
      <c r="H89" s="39">
        <f>M39</f>
        <v>1.0260265901580552</v>
      </c>
    </row>
    <row r="90" spans="4:8" x14ac:dyDescent="0.2">
      <c r="D90" s="7" t="s">
        <v>3</v>
      </c>
      <c r="E90" s="41">
        <v>1.0926843208230139</v>
      </c>
      <c r="F90" s="41">
        <v>0.99827294889300389</v>
      </c>
      <c r="G90" s="41">
        <v>1.1163562087611063</v>
      </c>
      <c r="H90" s="41">
        <f>R39</f>
        <v>1.1785502690284746</v>
      </c>
    </row>
    <row r="92" spans="4:8" x14ac:dyDescent="0.2">
      <c r="D92" s="25" t="s">
        <v>35</v>
      </c>
      <c r="E92" s="4">
        <v>2018</v>
      </c>
      <c r="F92" s="4">
        <v>2017</v>
      </c>
      <c r="G92" s="4">
        <v>2019</v>
      </c>
      <c r="H92" s="4">
        <v>2020</v>
      </c>
    </row>
    <row r="93" spans="4:8" x14ac:dyDescent="0.2">
      <c r="D93" s="3" t="s">
        <v>2</v>
      </c>
      <c r="E93" s="39">
        <v>1.080994076744785</v>
      </c>
      <c r="F93" s="39">
        <v>0.7074909279419388</v>
      </c>
      <c r="G93" s="39">
        <v>0.74344521308395251</v>
      </c>
      <c r="H93" s="39">
        <f>H40</f>
        <v>0.45177738927738925</v>
      </c>
    </row>
    <row r="94" spans="4:8" x14ac:dyDescent="0.2">
      <c r="D94" s="6" t="s">
        <v>1</v>
      </c>
      <c r="E94" s="39">
        <v>0.67512724804886326</v>
      </c>
      <c r="F94" s="39">
        <v>0.57344008834897842</v>
      </c>
      <c r="G94" s="39">
        <v>0.79143656857553524</v>
      </c>
      <c r="H94" s="39">
        <f>M40</f>
        <v>0.42220689655172416</v>
      </c>
    </row>
    <row r="95" spans="4:8" x14ac:dyDescent="0.2">
      <c r="D95" s="7" t="s">
        <v>3</v>
      </c>
      <c r="E95" s="41">
        <v>3.5731483210330289E-2</v>
      </c>
      <c r="F95" s="41">
        <v>-6.7827848912751067E-3</v>
      </c>
      <c r="G95" s="41">
        <v>8.2937853107344639E-2</v>
      </c>
      <c r="H95" s="41">
        <f>R40</f>
        <v>0.11406570653767224</v>
      </c>
    </row>
    <row r="97" spans="4:13" x14ac:dyDescent="0.2">
      <c r="D97" s="25" t="s">
        <v>39</v>
      </c>
      <c r="E97" s="4">
        <v>2018</v>
      </c>
      <c r="F97" s="4">
        <v>2017</v>
      </c>
      <c r="G97" s="4">
        <v>2019</v>
      </c>
      <c r="H97" s="4">
        <v>2020</v>
      </c>
      <c r="I97" s="25" t="s">
        <v>37</v>
      </c>
      <c r="J97" s="4">
        <v>2018</v>
      </c>
      <c r="K97" s="4">
        <v>2017</v>
      </c>
      <c r="L97" s="4">
        <v>2019</v>
      </c>
      <c r="M97" s="4">
        <v>2020</v>
      </c>
    </row>
    <row r="98" spans="4:13" x14ac:dyDescent="0.2">
      <c r="D98" s="3" t="s">
        <v>2</v>
      </c>
      <c r="E98" s="34">
        <v>-3.3325678468666839E-2</v>
      </c>
      <c r="F98" s="34">
        <v>-1.8488177846312001E-2</v>
      </c>
      <c r="G98" s="34">
        <v>-3.7614912151583683E-2</v>
      </c>
      <c r="H98" s="34">
        <f>H41</f>
        <v>-6.3621694602693707E-2</v>
      </c>
      <c r="I98" s="3" t="s">
        <v>2</v>
      </c>
      <c r="J98" s="39">
        <v>11.032339791356184</v>
      </c>
      <c r="K98" s="39">
        <v>8.5410893126629173</v>
      </c>
      <c r="L98" s="39">
        <v>11.920721008135269</v>
      </c>
      <c r="M98" s="39"/>
    </row>
    <row r="99" spans="4:13" x14ac:dyDescent="0.2">
      <c r="D99" s="6" t="s">
        <v>1</v>
      </c>
      <c r="E99" s="34">
        <v>-1.219976089555483E-2</v>
      </c>
      <c r="F99" s="34">
        <v>-1.0687600491818784E-2</v>
      </c>
      <c r="G99" s="34">
        <v>-4.8674979433758217E-2</v>
      </c>
      <c r="H99" s="34">
        <f>M41</f>
        <v>-8.0033688679680651E-2</v>
      </c>
      <c r="I99" s="6" t="s">
        <v>1</v>
      </c>
      <c r="J99" s="39">
        <v>10.324668038152234</v>
      </c>
      <c r="K99" s="39">
        <v>8.1821699427333225</v>
      </c>
      <c r="L99" s="39">
        <v>11.128060069944455</v>
      </c>
      <c r="M99" s="39"/>
    </row>
    <row r="100" spans="4:13" x14ac:dyDescent="0.2">
      <c r="D100" s="7" t="s">
        <v>3</v>
      </c>
      <c r="E100" s="37">
        <v>0.19601100704264168</v>
      </c>
      <c r="F100" s="37">
        <v>0.15714223480723155</v>
      </c>
      <c r="G100" s="37">
        <v>0.19478925868456887</v>
      </c>
      <c r="H100" s="37">
        <f>R41</f>
        <v>0.200866818614167</v>
      </c>
      <c r="I100" s="7" t="s">
        <v>3</v>
      </c>
      <c r="J100" s="41">
        <v>5.1557328669799976</v>
      </c>
      <c r="K100" s="41">
        <v>5.679821848323642</v>
      </c>
      <c r="L100" s="41">
        <v>5.4048179367592315</v>
      </c>
      <c r="M100" s="41"/>
    </row>
    <row r="102" spans="4:13" x14ac:dyDescent="0.2">
      <c r="D102" s="25" t="s">
        <v>40</v>
      </c>
      <c r="E102" s="4">
        <v>2018</v>
      </c>
      <c r="F102" s="4">
        <v>2017</v>
      </c>
      <c r="G102" s="4">
        <v>2019</v>
      </c>
      <c r="H102" s="4">
        <v>2020</v>
      </c>
    </row>
    <row r="103" spans="4:13" x14ac:dyDescent="0.2">
      <c r="D103" s="3" t="s">
        <v>2</v>
      </c>
      <c r="E103" s="34">
        <v>-0.12364411157024793</v>
      </c>
      <c r="F103" s="34">
        <v>-7.2140205473538804E-2</v>
      </c>
      <c r="G103" s="34">
        <v>-8.7779147435713675E-2</v>
      </c>
      <c r="H103" s="34">
        <f>H43</f>
        <v>-0.12467691470548224</v>
      </c>
    </row>
    <row r="104" spans="4:13" x14ac:dyDescent="0.2">
      <c r="D104" s="6" t="s">
        <v>1</v>
      </c>
      <c r="E104" s="34">
        <v>2.3587583743664386E-2</v>
      </c>
      <c r="F104" s="34">
        <v>5.6823019969054714E-2</v>
      </c>
      <c r="G104" s="34">
        <v>-1.8583493125535474E-2</v>
      </c>
      <c r="H104" s="34">
        <f>M43</f>
        <v>-2.1016745212072595E-2</v>
      </c>
    </row>
    <row r="105" spans="4:13" x14ac:dyDescent="0.2">
      <c r="D105" s="7" t="s">
        <v>3</v>
      </c>
      <c r="E105" s="37">
        <v>0.38104924960057274</v>
      </c>
      <c r="F105" s="37">
        <v>0.37009140369451887</v>
      </c>
      <c r="G105" s="37">
        <v>0.3911357159101852</v>
      </c>
      <c r="H105" s="37">
        <f>R43</f>
        <v>0.37093101381172128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B307-7574-6F46-ABE3-0EA68C987340}">
  <sheetPr>
    <tabColor rgb="FFFF0000"/>
  </sheetPr>
  <dimension ref="D1:AD111"/>
  <sheetViews>
    <sheetView topLeftCell="A71" zoomScale="118" zoomScaleNormal="118" workbookViewId="0">
      <selection activeCell="H111" sqref="H111"/>
    </sheetView>
  </sheetViews>
  <sheetFormatPr baseColWidth="10" defaultColWidth="10.83203125" defaultRowHeight="16" x14ac:dyDescent="0.2"/>
  <cols>
    <col min="4" max="4" width="29.6640625" bestFit="1" customWidth="1"/>
    <col min="5" max="5" width="12.1640625" style="1" bestFit="1" customWidth="1"/>
    <col min="6" max="6" width="12" style="1" hidden="1" customWidth="1"/>
    <col min="7" max="8" width="12.6640625" style="1" customWidth="1"/>
    <col min="9" max="9" width="29.6640625" customWidth="1"/>
    <col min="10" max="10" width="13" customWidth="1"/>
    <col min="11" max="11" width="13" hidden="1" customWidth="1"/>
    <col min="12" max="13" width="13" customWidth="1"/>
    <col min="14" max="14" width="29.6640625" bestFit="1" customWidth="1"/>
    <col min="15" max="15" width="13" bestFit="1" customWidth="1"/>
    <col min="16" max="16" width="13" hidden="1" customWidth="1"/>
    <col min="17" max="18" width="13" bestFit="1" customWidth="1"/>
    <col min="19" max="19" width="29.6640625" bestFit="1" customWidth="1"/>
    <col min="20" max="22" width="13" customWidth="1"/>
    <col min="23" max="24" width="13" bestFit="1" customWidth="1"/>
    <col min="25" max="25" width="13" customWidth="1"/>
    <col min="26" max="26" width="25.5" bestFit="1" customWidth="1"/>
    <col min="28" max="28" width="0" hidden="1" customWidth="1"/>
  </cols>
  <sheetData>
    <row r="1" spans="4:30" x14ac:dyDescent="0.2">
      <c r="U1" s="8"/>
      <c r="V1" s="8"/>
      <c r="AA1" s="1"/>
      <c r="AB1" s="1"/>
      <c r="AC1" s="1"/>
      <c r="AD1" s="1"/>
    </row>
    <row r="2" spans="4:30" x14ac:dyDescent="0.2">
      <c r="D2" s="2"/>
      <c r="E2" s="4">
        <v>2018</v>
      </c>
      <c r="F2" s="4">
        <v>2017</v>
      </c>
      <c r="G2" s="4">
        <v>2019</v>
      </c>
      <c r="H2" s="4">
        <v>2020</v>
      </c>
      <c r="I2" s="2"/>
      <c r="J2" s="4">
        <v>2018</v>
      </c>
      <c r="K2" s="4">
        <v>2017</v>
      </c>
      <c r="L2" s="4">
        <v>2019</v>
      </c>
      <c r="M2" s="4">
        <v>2020</v>
      </c>
      <c r="N2" s="2"/>
      <c r="O2" s="4">
        <v>2018</v>
      </c>
      <c r="P2" s="4">
        <v>2017</v>
      </c>
      <c r="Q2" s="4">
        <v>2019</v>
      </c>
      <c r="R2" s="4">
        <v>2020</v>
      </c>
      <c r="S2" s="2"/>
      <c r="T2" s="56">
        <v>2018</v>
      </c>
      <c r="U2" s="56">
        <v>2019</v>
      </c>
      <c r="V2" s="56">
        <v>2020</v>
      </c>
      <c r="W2" s="45">
        <v>2018</v>
      </c>
      <c r="X2" s="45">
        <v>2019</v>
      </c>
      <c r="Y2" s="45">
        <v>2020</v>
      </c>
      <c r="Z2" s="2"/>
      <c r="AA2" s="4">
        <v>2018</v>
      </c>
      <c r="AB2" s="4">
        <v>2017</v>
      </c>
      <c r="AC2" s="4">
        <v>2019</v>
      </c>
      <c r="AD2" s="4">
        <v>2020</v>
      </c>
    </row>
    <row r="3" spans="4:30" x14ac:dyDescent="0.2">
      <c r="D3" s="3" t="s">
        <v>2</v>
      </c>
      <c r="E3" s="5" t="s">
        <v>21</v>
      </c>
      <c r="F3" s="5" t="s">
        <v>21</v>
      </c>
      <c r="G3" s="5" t="s">
        <v>21</v>
      </c>
      <c r="H3" s="5" t="s">
        <v>21</v>
      </c>
      <c r="I3" s="6" t="s">
        <v>1</v>
      </c>
      <c r="J3" s="5" t="s">
        <v>21</v>
      </c>
      <c r="K3" s="5" t="s">
        <v>21</v>
      </c>
      <c r="L3" s="5" t="s">
        <v>21</v>
      </c>
      <c r="M3" s="5" t="s">
        <v>21</v>
      </c>
      <c r="N3" s="7" t="s">
        <v>3</v>
      </c>
      <c r="O3" s="5" t="s">
        <v>21</v>
      </c>
      <c r="P3" s="5" t="s">
        <v>21</v>
      </c>
      <c r="Q3" s="5" t="s">
        <v>21</v>
      </c>
      <c r="R3" s="5" t="s">
        <v>21</v>
      </c>
      <c r="S3" s="11" t="s">
        <v>43</v>
      </c>
      <c r="T3" s="57" t="s">
        <v>21</v>
      </c>
      <c r="U3" s="57" t="s">
        <v>21</v>
      </c>
      <c r="V3" s="57" t="s">
        <v>21</v>
      </c>
      <c r="W3" s="46" t="s">
        <v>21</v>
      </c>
      <c r="X3" s="46" t="s">
        <v>21</v>
      </c>
      <c r="Y3" s="46" t="s">
        <v>21</v>
      </c>
      <c r="Z3" s="11" t="s">
        <v>42</v>
      </c>
      <c r="AA3" s="5" t="s">
        <v>21</v>
      </c>
      <c r="AB3" s="5" t="s">
        <v>21</v>
      </c>
      <c r="AC3" s="5" t="s">
        <v>21</v>
      </c>
      <c r="AD3" s="5" t="s">
        <v>21</v>
      </c>
    </row>
    <row r="4" spans="4:30" x14ac:dyDescent="0.2">
      <c r="D4" s="12" t="s">
        <v>10</v>
      </c>
      <c r="E4" s="13">
        <v>74027</v>
      </c>
      <c r="F4" s="44">
        <v>62256</v>
      </c>
      <c r="G4" s="13">
        <v>74731</v>
      </c>
      <c r="H4" s="13">
        <v>60734</v>
      </c>
      <c r="I4" s="12" t="s">
        <v>10</v>
      </c>
      <c r="J4" s="13">
        <v>110412</v>
      </c>
      <c r="K4" s="40">
        <v>105730</v>
      </c>
      <c r="L4" s="13">
        <v>108187</v>
      </c>
      <c r="M4" s="13">
        <v>86676</v>
      </c>
      <c r="N4" s="12" t="s">
        <v>10</v>
      </c>
      <c r="O4" s="13">
        <v>235849</v>
      </c>
      <c r="P4" s="40">
        <v>229550</v>
      </c>
      <c r="Q4" s="13">
        <v>252632</v>
      </c>
      <c r="R4" s="13">
        <v>222884</v>
      </c>
      <c r="S4" s="66" t="s">
        <v>10</v>
      </c>
      <c r="T4" s="68">
        <v>167362</v>
      </c>
      <c r="U4" s="68">
        <v>172745</v>
      </c>
      <c r="V4" s="68">
        <v>154309</v>
      </c>
      <c r="W4" s="47"/>
      <c r="X4" s="47"/>
      <c r="Y4" s="47"/>
      <c r="Z4" s="12" t="s">
        <v>10</v>
      </c>
      <c r="AA4" s="55">
        <v>154.309</v>
      </c>
      <c r="AB4" s="55">
        <v>172.745</v>
      </c>
      <c r="AC4" s="55">
        <v>167.36199999999999</v>
      </c>
      <c r="AD4" s="55">
        <v>164.154</v>
      </c>
    </row>
    <row r="5" spans="4:30" x14ac:dyDescent="0.2">
      <c r="D5" s="14" t="s">
        <v>11</v>
      </c>
      <c r="E5" s="13">
        <f>E6+2995</f>
        <v>7395</v>
      </c>
      <c r="F5" s="44">
        <f>F6+2735</f>
        <v>5809</v>
      </c>
      <c r="G5" s="13">
        <f>G6+3717</f>
        <v>8385</v>
      </c>
      <c r="H5" s="42">
        <f>H6+4058</f>
        <v>7112</v>
      </c>
      <c r="I5" s="14" t="s">
        <v>11</v>
      </c>
      <c r="J5" s="13">
        <f>J6+5507</f>
        <v>10436</v>
      </c>
      <c r="K5" s="40">
        <f>K6+5474</f>
        <v>11404</v>
      </c>
      <c r="L5" s="13">
        <f>L6+5445</f>
        <v>10262</v>
      </c>
      <c r="M5" s="42">
        <f>M6+5143</f>
        <v>7308</v>
      </c>
      <c r="N5" s="14" t="s">
        <v>11</v>
      </c>
      <c r="O5" s="13">
        <f>O6+11034+3668+170+7689</f>
        <v>36481</v>
      </c>
      <c r="P5" s="40">
        <f>P6+10562+3734+136+7734</f>
        <v>35984</v>
      </c>
      <c r="Q5" s="13">
        <f>Q6+12046+3665+300+8428</f>
        <v>41399</v>
      </c>
      <c r="R5" s="43">
        <f>R6+12765+4637+454+9214</f>
        <v>36745</v>
      </c>
      <c r="S5" s="67" t="s">
        <v>11</v>
      </c>
      <c r="T5" s="68">
        <f>T6+6305</f>
        <v>17437</v>
      </c>
      <c r="U5" s="68">
        <v>12064</v>
      </c>
      <c r="V5" s="68">
        <v>15560</v>
      </c>
      <c r="W5" s="47"/>
      <c r="X5" s="47"/>
      <c r="Y5" s="47"/>
      <c r="Z5" s="14" t="s">
        <v>11</v>
      </c>
      <c r="AA5" s="55">
        <v>24.693000000000001</v>
      </c>
      <c r="AB5" s="55">
        <v>28.545000000000002</v>
      </c>
      <c r="AC5" s="55">
        <v>28.545000000000002</v>
      </c>
      <c r="AD5" s="42">
        <v>24.27</v>
      </c>
    </row>
    <row r="6" spans="4:30" x14ac:dyDescent="0.2">
      <c r="D6" s="12" t="s">
        <v>5</v>
      </c>
      <c r="E6" s="13">
        <v>4400</v>
      </c>
      <c r="F6" s="44">
        <v>3074</v>
      </c>
      <c r="G6" s="13">
        <v>4668</v>
      </c>
      <c r="H6" s="13">
        <v>3054</v>
      </c>
      <c r="I6" s="12" t="s">
        <v>5</v>
      </c>
      <c r="J6" s="13">
        <f>J4-95011-7318-3051-103</f>
        <v>4929</v>
      </c>
      <c r="K6" s="40">
        <f>K4-89710-7177-2903+76-86</f>
        <v>5930</v>
      </c>
      <c r="L6" s="13">
        <f>L4-93164-6455-3612+15-154</f>
        <v>4817</v>
      </c>
      <c r="M6" s="13">
        <f>M4-75962-5501-2979+4-73</f>
        <v>2165</v>
      </c>
      <c r="N6" s="12" t="s">
        <v>5</v>
      </c>
      <c r="O6" s="13">
        <v>13920</v>
      </c>
      <c r="P6" s="40">
        <v>13818</v>
      </c>
      <c r="Q6" s="13">
        <v>16960</v>
      </c>
      <c r="R6" s="13">
        <v>9675</v>
      </c>
      <c r="S6" s="66" t="s">
        <v>5</v>
      </c>
      <c r="T6" s="68">
        <v>11132</v>
      </c>
      <c r="U6" s="68">
        <v>4313</v>
      </c>
      <c r="V6" s="68">
        <v>6603</v>
      </c>
      <c r="W6" s="47"/>
      <c r="X6" s="47"/>
      <c r="Y6" s="47"/>
      <c r="Z6" s="12" t="s">
        <v>5</v>
      </c>
      <c r="AA6" s="13"/>
      <c r="AB6" s="44"/>
      <c r="AC6" s="13"/>
      <c r="AD6" s="13"/>
    </row>
    <row r="7" spans="4:30" x14ac:dyDescent="0.2">
      <c r="D7" s="12" t="s">
        <v>12</v>
      </c>
      <c r="E7" s="13">
        <f>3954-44</f>
        <v>3910</v>
      </c>
      <c r="F7" s="44">
        <f>2836+217</f>
        <v>3053</v>
      </c>
      <c r="G7" s="13">
        <f>4324-24</f>
        <v>4300</v>
      </c>
      <c r="H7" s="13">
        <v>2737</v>
      </c>
      <c r="I7" s="12" t="s">
        <v>12</v>
      </c>
      <c r="J7" s="13">
        <v>4108</v>
      </c>
      <c r="K7" s="40">
        <v>5879</v>
      </c>
      <c r="L7" s="13">
        <v>4021</v>
      </c>
      <c r="M7" s="13">
        <v>1356</v>
      </c>
      <c r="N7" s="12" t="s">
        <v>12</v>
      </c>
      <c r="O7" s="13">
        <v>15643</v>
      </c>
      <c r="P7" s="40">
        <v>13673</v>
      </c>
      <c r="Q7" s="13">
        <v>18356</v>
      </c>
      <c r="R7" s="13">
        <v>11667</v>
      </c>
      <c r="S7" s="66" t="s">
        <v>12</v>
      </c>
      <c r="T7" s="68">
        <v>10595</v>
      </c>
      <c r="U7" s="68">
        <v>3830</v>
      </c>
      <c r="V7" s="68">
        <v>6339</v>
      </c>
      <c r="W7" s="47"/>
      <c r="X7" s="47"/>
      <c r="Y7" s="47"/>
      <c r="Z7" s="12" t="s">
        <v>12</v>
      </c>
      <c r="AA7" s="13"/>
      <c r="AB7" s="44"/>
      <c r="AC7" s="13"/>
      <c r="AD7" s="13"/>
    </row>
    <row r="8" spans="4:30" x14ac:dyDescent="0.2">
      <c r="D8" s="12" t="s">
        <v>13</v>
      </c>
      <c r="E8" s="13">
        <v>3295</v>
      </c>
      <c r="F8" s="44">
        <v>2347</v>
      </c>
      <c r="G8" s="13">
        <v>3584</v>
      </c>
      <c r="H8" s="13">
        <v>2022</v>
      </c>
      <c r="I8" s="12" t="s">
        <v>13</v>
      </c>
      <c r="J8" s="13">
        <v>3632</v>
      </c>
      <c r="K8" s="40">
        <v>3510</v>
      </c>
      <c r="L8" s="13">
        <v>6630</v>
      </c>
      <c r="M8" s="13">
        <v>24</v>
      </c>
      <c r="N8" s="12" t="s">
        <v>13</v>
      </c>
      <c r="O8" s="13">
        <v>12153</v>
      </c>
      <c r="P8" s="40">
        <v>11463</v>
      </c>
      <c r="Q8" s="13">
        <v>14029</v>
      </c>
      <c r="R8" s="13">
        <v>8824</v>
      </c>
      <c r="S8" s="66" t="s">
        <v>13</v>
      </c>
      <c r="T8" s="68">
        <v>7582</v>
      </c>
      <c r="U8" s="68">
        <v>2709</v>
      </c>
      <c r="V8" s="68">
        <v>4009</v>
      </c>
      <c r="W8" s="47"/>
      <c r="X8" s="47"/>
      <c r="Y8" s="47"/>
      <c r="Z8" s="12" t="s">
        <v>13</v>
      </c>
      <c r="AA8" s="13"/>
      <c r="AB8" s="44"/>
      <c r="AC8" s="13"/>
      <c r="AD8" s="13"/>
    </row>
    <row r="9" spans="4:30" x14ac:dyDescent="0.2">
      <c r="D9" s="12"/>
      <c r="E9" s="13"/>
      <c r="F9" s="44"/>
      <c r="G9" s="13"/>
      <c r="H9" s="13"/>
      <c r="I9" s="12"/>
      <c r="J9" s="13"/>
      <c r="K9" s="40"/>
      <c r="L9" s="13"/>
      <c r="M9" s="13"/>
      <c r="N9" s="12"/>
      <c r="O9" s="13"/>
      <c r="P9" s="40"/>
      <c r="Q9" s="13"/>
      <c r="R9" s="13"/>
      <c r="S9" s="12"/>
      <c r="T9" s="58"/>
      <c r="U9" s="58"/>
      <c r="V9" s="58"/>
      <c r="W9" s="47"/>
      <c r="X9" s="47"/>
      <c r="Y9" s="47"/>
      <c r="Z9" s="12"/>
      <c r="AA9" s="13"/>
      <c r="AB9" s="44"/>
      <c r="AC9" s="13"/>
      <c r="AD9" s="13"/>
    </row>
    <row r="10" spans="4:30" x14ac:dyDescent="0.2">
      <c r="D10" s="12" t="s">
        <v>14</v>
      </c>
      <c r="E10" s="13">
        <v>61952</v>
      </c>
      <c r="F10" s="44">
        <v>57915</v>
      </c>
      <c r="G10" s="13">
        <v>69766</v>
      </c>
      <c r="H10" s="13">
        <v>73510</v>
      </c>
      <c r="I10" s="12" t="s">
        <v>14</v>
      </c>
      <c r="J10" s="13">
        <v>96873</v>
      </c>
      <c r="K10" s="40">
        <v>96299</v>
      </c>
      <c r="L10" s="13">
        <v>98044</v>
      </c>
      <c r="M10" s="13">
        <v>99730</v>
      </c>
      <c r="N10" s="12" t="s">
        <v>14</v>
      </c>
      <c r="O10" s="13">
        <v>458156</v>
      </c>
      <c r="P10" s="40">
        <v>422193</v>
      </c>
      <c r="Q10" s="13">
        <v>488071</v>
      </c>
      <c r="R10" s="13">
        <v>497114</v>
      </c>
      <c r="S10" s="66" t="s">
        <v>14</v>
      </c>
      <c r="T10" s="68">
        <v>281619</v>
      </c>
      <c r="U10" s="68">
        <v>302438</v>
      </c>
      <c r="V10" s="68">
        <v>285737</v>
      </c>
      <c r="W10" s="47"/>
      <c r="X10" s="47"/>
      <c r="Y10" s="47"/>
      <c r="Z10" s="12" t="s">
        <v>14</v>
      </c>
      <c r="AA10" s="13"/>
      <c r="AB10" s="44"/>
      <c r="AC10" s="13"/>
      <c r="AD10" s="13"/>
    </row>
    <row r="11" spans="4:30" x14ac:dyDescent="0.2">
      <c r="D11" s="12" t="s">
        <v>15</v>
      </c>
      <c r="E11" s="13">
        <v>19594</v>
      </c>
      <c r="F11" s="44">
        <v>16706</v>
      </c>
      <c r="G11" s="13">
        <v>21801</v>
      </c>
      <c r="H11" s="13">
        <v>23874</v>
      </c>
      <c r="I11" s="12" t="s">
        <v>15</v>
      </c>
      <c r="J11" s="13">
        <v>24903</v>
      </c>
      <c r="K11" s="40">
        <v>20987</v>
      </c>
      <c r="L11" s="13">
        <v>28675</v>
      </c>
      <c r="M11" s="13">
        <v>25861</v>
      </c>
      <c r="N11" s="12" t="s">
        <v>15</v>
      </c>
      <c r="O11" s="13">
        <v>117342</v>
      </c>
      <c r="P11" s="40">
        <v>109077</v>
      </c>
      <c r="Q11" s="13">
        <v>123651</v>
      </c>
      <c r="R11" s="13">
        <v>128783</v>
      </c>
      <c r="S11" s="66" t="s">
        <v>15</v>
      </c>
      <c r="T11" s="68">
        <v>66053</v>
      </c>
      <c r="U11" s="68">
        <v>62841</v>
      </c>
      <c r="V11" s="68">
        <v>62248</v>
      </c>
      <c r="W11" s="47"/>
      <c r="X11" s="47"/>
      <c r="Y11" s="47"/>
      <c r="Z11" s="12" t="s">
        <v>15</v>
      </c>
      <c r="AA11" s="13"/>
      <c r="AB11" s="44"/>
      <c r="AC11" s="13"/>
      <c r="AD11" s="13"/>
    </row>
    <row r="12" spans="4:30" x14ac:dyDescent="0.2">
      <c r="D12" s="12" t="s">
        <v>16</v>
      </c>
      <c r="E12" s="13">
        <f>E10-E11</f>
        <v>42358</v>
      </c>
      <c r="F12" s="44">
        <f>F10-F11</f>
        <v>41209</v>
      </c>
      <c r="G12" s="13">
        <f>G10-G11</f>
        <v>47965</v>
      </c>
      <c r="H12" s="13">
        <f>H10-H11</f>
        <v>49636</v>
      </c>
      <c r="I12" s="12" t="s">
        <v>16</v>
      </c>
      <c r="J12" s="13">
        <f>J10-J11</f>
        <v>71970</v>
      </c>
      <c r="K12" s="40">
        <f>K10-K11</f>
        <v>75312</v>
      </c>
      <c r="L12" s="13">
        <f>L10-L11</f>
        <v>69369</v>
      </c>
      <c r="M12" s="13">
        <f>M10-M11</f>
        <v>73869</v>
      </c>
      <c r="N12" s="12" t="s">
        <v>16</v>
      </c>
      <c r="O12" s="13">
        <f>O10-O11</f>
        <v>340814</v>
      </c>
      <c r="P12" s="40">
        <f>P10-P11</f>
        <v>313116</v>
      </c>
      <c r="Q12" s="13">
        <f>Q10-Q11</f>
        <v>364420</v>
      </c>
      <c r="R12" s="13">
        <f>R10-R11</f>
        <v>368331</v>
      </c>
      <c r="S12" s="66" t="s">
        <v>16</v>
      </c>
      <c r="T12" s="68">
        <v>215566</v>
      </c>
      <c r="U12" s="68">
        <v>239597</v>
      </c>
      <c r="V12" s="68">
        <v>223489</v>
      </c>
      <c r="W12" s="47"/>
      <c r="X12" s="47"/>
      <c r="Y12" s="47"/>
      <c r="Z12" s="12" t="s">
        <v>16</v>
      </c>
      <c r="AA12" s="13"/>
      <c r="AB12" s="44"/>
      <c r="AC12" s="13"/>
      <c r="AD12" s="13"/>
    </row>
    <row r="13" spans="4:30" x14ac:dyDescent="0.2">
      <c r="D13" s="12"/>
      <c r="E13" s="13"/>
      <c r="F13" s="44"/>
      <c r="G13" s="13"/>
      <c r="H13" s="13"/>
      <c r="I13" s="12"/>
      <c r="J13" s="13"/>
      <c r="K13" s="40"/>
      <c r="L13" s="13"/>
      <c r="M13" s="13"/>
      <c r="N13" s="12"/>
      <c r="O13" s="13"/>
      <c r="P13" s="40"/>
      <c r="Q13" s="13"/>
      <c r="R13" s="13"/>
      <c r="S13" s="12"/>
      <c r="T13" s="58"/>
      <c r="U13" s="58"/>
      <c r="V13" s="58"/>
      <c r="W13" s="47"/>
      <c r="X13" s="47"/>
      <c r="Y13" s="47"/>
      <c r="Z13" s="12"/>
      <c r="AA13" s="13"/>
      <c r="AB13" s="44"/>
      <c r="AC13" s="13"/>
      <c r="AD13" s="13"/>
    </row>
    <row r="14" spans="4:30" x14ac:dyDescent="0.2">
      <c r="D14" s="14" t="s">
        <v>34</v>
      </c>
      <c r="E14" s="13">
        <f>5257+327+2182</f>
        <v>7766</v>
      </c>
      <c r="F14" s="44">
        <f>4778+407+2531</f>
        <v>7716</v>
      </c>
      <c r="G14" s="13">
        <f>8917+272+2520</f>
        <v>11709</v>
      </c>
      <c r="H14" s="13">
        <f>11083+236+2409</f>
        <v>13728</v>
      </c>
      <c r="I14" s="14" t="s">
        <v>34</v>
      </c>
      <c r="J14" s="13">
        <f>8667+3+5861+204</f>
        <v>14735</v>
      </c>
      <c r="K14" s="40">
        <f>10726+1+7245+138</f>
        <v>18110</v>
      </c>
      <c r="L14" s="13">
        <f>8025+124+4876+194</f>
        <v>13219</v>
      </c>
      <c r="M14" s="13">
        <f>17036+280+4081+353</f>
        <v>21750</v>
      </c>
      <c r="N14" s="14" t="s">
        <v>34</v>
      </c>
      <c r="O14" s="13">
        <f>101126+3219+89757+9416</f>
        <v>203518</v>
      </c>
      <c r="P14" s="40">
        <f>81628+2665+81844+8570</f>
        <v>174707</v>
      </c>
      <c r="Q14" s="13">
        <f>113556+4499+87912+10858</f>
        <v>216825</v>
      </c>
      <c r="R14" s="13">
        <f>114809+4257+88648+S310590</f>
        <v>207714</v>
      </c>
      <c r="S14" s="67" t="s">
        <v>34</v>
      </c>
      <c r="T14" s="58">
        <f>88662+2375+56240+7657</f>
        <v>154934</v>
      </c>
      <c r="U14" s="58">
        <v>171644</v>
      </c>
      <c r="V14" s="47">
        <f>145842+8598</f>
        <v>154440</v>
      </c>
      <c r="W14" s="47"/>
      <c r="X14" s="47"/>
      <c r="Y14" s="47"/>
      <c r="Z14" s="14" t="s">
        <v>34</v>
      </c>
      <c r="AA14" s="13"/>
      <c r="AB14" s="44"/>
      <c r="AC14" s="13"/>
      <c r="AD14" s="13"/>
    </row>
    <row r="15" spans="4:30" x14ac:dyDescent="0.2">
      <c r="D15" s="12"/>
      <c r="E15" s="13"/>
      <c r="F15" s="44"/>
      <c r="G15" s="13"/>
      <c r="H15" s="13"/>
      <c r="I15" s="12"/>
      <c r="J15" s="13"/>
      <c r="K15" s="40"/>
      <c r="L15" s="13"/>
      <c r="M15" s="13"/>
      <c r="N15" s="12"/>
      <c r="O15" s="13"/>
      <c r="P15" s="40"/>
      <c r="Q15" s="13"/>
      <c r="R15" s="13"/>
      <c r="S15" s="12"/>
      <c r="T15" s="58"/>
      <c r="U15" s="58"/>
      <c r="V15" s="58"/>
      <c r="W15" s="47"/>
      <c r="X15" s="47"/>
      <c r="Y15" s="47"/>
      <c r="Z15" s="12"/>
      <c r="AA15" s="13"/>
      <c r="AB15" s="44"/>
      <c r="AC15" s="13"/>
      <c r="AD15" s="13"/>
    </row>
    <row r="16" spans="4:30" x14ac:dyDescent="0.2">
      <c r="D16" s="12" t="s">
        <v>17</v>
      </c>
      <c r="E16" s="13">
        <v>28146</v>
      </c>
      <c r="F16" s="44">
        <v>26611</v>
      </c>
      <c r="G16" s="13">
        <v>31327</v>
      </c>
      <c r="H16" s="13">
        <v>35251</v>
      </c>
      <c r="I16" s="12">
        <f>M4-75962-5501-2979+4-73</f>
        <v>2165</v>
      </c>
      <c r="J16" s="13">
        <v>38292</v>
      </c>
      <c r="K16" s="40">
        <v>36274</v>
      </c>
      <c r="L16" s="13">
        <v>34932</v>
      </c>
      <c r="M16" s="13">
        <v>40053</v>
      </c>
      <c r="N16" s="12" t="s">
        <v>17</v>
      </c>
      <c r="O16" s="13">
        <v>183536</v>
      </c>
      <c r="P16" s="40">
        <v>160112</v>
      </c>
      <c r="Q16" s="13">
        <v>187463</v>
      </c>
      <c r="R16" s="13">
        <v>194944</v>
      </c>
      <c r="S16" s="66" t="s">
        <v>17</v>
      </c>
      <c r="T16" s="68">
        <v>121613</v>
      </c>
      <c r="U16" s="68">
        <v>127800</v>
      </c>
      <c r="V16" s="68">
        <v>115264</v>
      </c>
      <c r="W16" s="47"/>
      <c r="X16" s="47"/>
      <c r="Y16" s="47"/>
      <c r="Z16" s="12" t="s">
        <v>17</v>
      </c>
      <c r="AA16" s="13"/>
      <c r="AB16" s="44"/>
      <c r="AC16" s="13"/>
      <c r="AD16" s="13"/>
    </row>
    <row r="17" spans="4:30" x14ac:dyDescent="0.2">
      <c r="D17" s="12" t="s">
        <v>38</v>
      </c>
      <c r="E17" s="13">
        <f>14961+465</f>
        <v>15426</v>
      </c>
      <c r="F17" s="44">
        <f>11582+312</f>
        <v>11894</v>
      </c>
      <c r="G17" s="13">
        <f>17379+454</f>
        <v>17833</v>
      </c>
      <c r="H17" s="13">
        <f>22303+590</f>
        <v>22893</v>
      </c>
      <c r="I17" s="12" t="s">
        <v>38</v>
      </c>
      <c r="J17" s="13">
        <v>12450</v>
      </c>
      <c r="K17" s="40">
        <v>12638</v>
      </c>
      <c r="L17" s="13">
        <v>15041</v>
      </c>
      <c r="M17" s="13">
        <v>23846</v>
      </c>
      <c r="N17" s="12" t="s">
        <v>38</v>
      </c>
      <c r="O17" s="13">
        <v>28938</v>
      </c>
      <c r="P17" s="40">
        <v>18457</v>
      </c>
      <c r="Q17" s="13">
        <v>25923</v>
      </c>
      <c r="R17" s="13">
        <v>33909</v>
      </c>
      <c r="S17" s="66" t="s">
        <v>38</v>
      </c>
      <c r="T17" s="68">
        <v>15853</v>
      </c>
      <c r="U17" s="68">
        <v>18883</v>
      </c>
      <c r="V17" s="68">
        <v>23048</v>
      </c>
      <c r="W17" s="47"/>
      <c r="X17" s="47"/>
      <c r="Y17" s="47"/>
      <c r="Z17" s="12" t="s">
        <v>38</v>
      </c>
      <c r="AA17" s="13"/>
      <c r="AB17" s="44"/>
      <c r="AC17" s="13"/>
      <c r="AD17" s="13"/>
    </row>
    <row r="18" spans="4:30" x14ac:dyDescent="0.2">
      <c r="D18" s="12" t="s">
        <v>18</v>
      </c>
      <c r="E18" s="13">
        <v>6710</v>
      </c>
      <c r="F18" s="44">
        <v>7289</v>
      </c>
      <c r="G18" s="13">
        <v>6269</v>
      </c>
      <c r="H18" s="13">
        <v>5366</v>
      </c>
      <c r="I18" s="12" t="s">
        <v>18</v>
      </c>
      <c r="J18" s="13">
        <v>10694</v>
      </c>
      <c r="K18" s="40">
        <v>12922</v>
      </c>
      <c r="L18" s="13">
        <v>9722</v>
      </c>
      <c r="M18" s="13">
        <v>8094</v>
      </c>
      <c r="N18" s="12" t="s">
        <v>18</v>
      </c>
      <c r="O18" s="13">
        <v>45745</v>
      </c>
      <c r="P18" s="40">
        <v>40415</v>
      </c>
      <c r="Q18" s="13">
        <v>46742</v>
      </c>
      <c r="R18" s="13">
        <v>43823</v>
      </c>
      <c r="S18" s="66" t="s">
        <v>18</v>
      </c>
      <c r="T18" s="68">
        <v>29489</v>
      </c>
      <c r="U18" s="68">
        <v>29757</v>
      </c>
      <c r="V18" s="68">
        <v>26444</v>
      </c>
      <c r="W18" s="47"/>
      <c r="X18" s="47"/>
      <c r="Y18" s="47"/>
      <c r="Z18" s="12" t="s">
        <v>18</v>
      </c>
      <c r="AA18" s="13"/>
      <c r="AB18" s="44"/>
      <c r="AC18" s="13"/>
      <c r="AD18" s="13"/>
    </row>
    <row r="19" spans="4:30" x14ac:dyDescent="0.2">
      <c r="D19" s="12" t="s">
        <v>22</v>
      </c>
      <c r="E19" s="13">
        <f>1904+2470</f>
        <v>4374</v>
      </c>
      <c r="F19" s="44">
        <f>2426+2496</f>
        <v>4922</v>
      </c>
      <c r="G19" s="13">
        <f>2503+2922</f>
        <v>5425</v>
      </c>
      <c r="H19" s="13">
        <f>3147+2789</f>
        <v>5936</v>
      </c>
      <c r="I19" s="12" t="s">
        <v>22</v>
      </c>
      <c r="J19" s="13">
        <v>7188</v>
      </c>
      <c r="K19" s="40">
        <v>7887</v>
      </c>
      <c r="L19" s="13">
        <v>6628</v>
      </c>
      <c r="M19" s="13">
        <v>5545</v>
      </c>
      <c r="N19" s="12" t="s">
        <v>22</v>
      </c>
      <c r="O19" s="13">
        <f>17888+6203</f>
        <v>24091</v>
      </c>
      <c r="P19" s="40">
        <f>13357+5346</f>
        <v>18703</v>
      </c>
      <c r="Q19" s="13">
        <f>17941+7272</f>
        <v>25213</v>
      </c>
      <c r="R19" s="13">
        <f>16243+7381</f>
        <v>23624</v>
      </c>
      <c r="S19" s="66" t="s">
        <v>22</v>
      </c>
      <c r="T19" s="69">
        <v>12586</v>
      </c>
      <c r="U19" s="68">
        <v>12332</v>
      </c>
      <c r="V19" s="68">
        <v>10649</v>
      </c>
      <c r="W19" s="47"/>
      <c r="X19" s="47"/>
      <c r="Y19" s="47"/>
      <c r="Z19" s="12" t="s">
        <v>22</v>
      </c>
      <c r="AA19" s="13"/>
      <c r="AB19" s="44"/>
      <c r="AC19" s="13"/>
      <c r="AD19" s="13"/>
    </row>
    <row r="20" spans="4:30" x14ac:dyDescent="0.2">
      <c r="D20" s="12" t="s">
        <v>19</v>
      </c>
      <c r="E20" s="13">
        <v>30002</v>
      </c>
      <c r="F20" s="44">
        <v>29658</v>
      </c>
      <c r="G20" s="13">
        <v>31700</v>
      </c>
      <c r="H20" s="13">
        <v>30813</v>
      </c>
      <c r="I20" s="12" t="s">
        <v>19</v>
      </c>
      <c r="J20" s="13">
        <v>46474</v>
      </c>
      <c r="K20" s="40">
        <v>47269</v>
      </c>
      <c r="L20" s="13">
        <v>43354</v>
      </c>
      <c r="M20" s="13">
        <v>39037</v>
      </c>
      <c r="N20" s="12" t="s">
        <v>19</v>
      </c>
      <c r="O20" s="13">
        <v>167968</v>
      </c>
      <c r="P20" s="40">
        <v>160389</v>
      </c>
      <c r="Q20" s="13">
        <v>167924</v>
      </c>
      <c r="R20" s="13">
        <v>165410</v>
      </c>
      <c r="S20" s="66" t="s">
        <v>19</v>
      </c>
      <c r="T20" s="68">
        <v>97952</v>
      </c>
      <c r="U20" s="68">
        <v>105802</v>
      </c>
      <c r="V20" s="68">
        <v>99809</v>
      </c>
      <c r="W20" s="47"/>
      <c r="X20" s="47"/>
      <c r="Y20" s="47"/>
      <c r="Z20" s="12" t="s">
        <v>19</v>
      </c>
      <c r="AA20" s="13"/>
      <c r="AB20" s="44"/>
      <c r="AC20" s="13"/>
      <c r="AD20" s="13"/>
    </row>
    <row r="21" spans="4:30" x14ac:dyDescent="0.2">
      <c r="D21" s="12" t="s">
        <v>23</v>
      </c>
      <c r="E21" s="13">
        <v>13551</v>
      </c>
      <c r="F21" s="44">
        <v>13362</v>
      </c>
      <c r="G21" s="13">
        <v>14505</v>
      </c>
      <c r="H21" s="13">
        <v>15166</v>
      </c>
      <c r="I21" s="12" t="s">
        <v>23</v>
      </c>
      <c r="J21" s="13">
        <v>19229</v>
      </c>
      <c r="K21" s="40">
        <v>21939</v>
      </c>
      <c r="L21" s="13">
        <v>21616</v>
      </c>
      <c r="M21" s="13">
        <v>20576</v>
      </c>
      <c r="N21" s="12" t="s">
        <v>23</v>
      </c>
      <c r="O21" s="13">
        <v>23607</v>
      </c>
      <c r="P21" s="40">
        <v>23046</v>
      </c>
      <c r="Q21" s="13">
        <v>22745</v>
      </c>
      <c r="R21" s="13">
        <v>22677</v>
      </c>
      <c r="S21" s="66" t="s">
        <v>23</v>
      </c>
      <c r="T21" s="68">
        <v>14185</v>
      </c>
      <c r="U21" s="68">
        <v>12707</v>
      </c>
      <c r="V21" s="68">
        <v>12378</v>
      </c>
      <c r="W21" s="47"/>
      <c r="X21" s="47"/>
      <c r="Y21" s="47"/>
      <c r="Z21" s="12" t="s">
        <v>23</v>
      </c>
      <c r="AA21" s="13"/>
      <c r="AB21" s="44"/>
      <c r="AC21" s="13"/>
      <c r="AD21" s="13"/>
    </row>
    <row r="22" spans="4:30" x14ac:dyDescent="0.2">
      <c r="D22" s="12"/>
      <c r="E22" s="13"/>
      <c r="F22" s="44"/>
      <c r="G22" s="13"/>
      <c r="H22" s="13"/>
      <c r="I22" s="12"/>
      <c r="J22" s="13"/>
      <c r="K22" s="40"/>
      <c r="L22" s="13"/>
      <c r="M22" s="13"/>
      <c r="N22" s="12"/>
      <c r="O22" s="13"/>
      <c r="P22" s="40"/>
      <c r="Q22" s="13"/>
      <c r="R22" s="13"/>
      <c r="S22" s="12"/>
      <c r="T22" s="58"/>
      <c r="U22" s="58"/>
      <c r="V22" s="58"/>
      <c r="W22" s="47"/>
      <c r="X22" s="47"/>
      <c r="Y22" s="47"/>
      <c r="Z22" s="12"/>
      <c r="AA22" s="13"/>
      <c r="AB22" s="44"/>
      <c r="AC22" s="13"/>
      <c r="AD22" s="13"/>
    </row>
    <row r="23" spans="4:30" x14ac:dyDescent="0.2">
      <c r="D23" s="12" t="s">
        <v>20</v>
      </c>
      <c r="E23" s="13">
        <v>8395</v>
      </c>
      <c r="F23" s="44">
        <v>5459</v>
      </c>
      <c r="G23" s="13">
        <v>8705</v>
      </c>
      <c r="H23" s="13">
        <v>6202</v>
      </c>
      <c r="I23" s="12" t="s">
        <v>20</v>
      </c>
      <c r="J23" s="13">
        <v>9948</v>
      </c>
      <c r="K23" s="40">
        <v>10385</v>
      </c>
      <c r="L23" s="13">
        <v>10462</v>
      </c>
      <c r="M23" s="13">
        <v>9183</v>
      </c>
      <c r="N23" s="12" t="s">
        <v>20</v>
      </c>
      <c r="O23" s="13">
        <v>7272</v>
      </c>
      <c r="P23" s="40">
        <v>-1185</v>
      </c>
      <c r="Q23" s="13">
        <v>17983</v>
      </c>
      <c r="R23" s="13">
        <v>24901</v>
      </c>
      <c r="S23" s="66" t="s">
        <v>20</v>
      </c>
      <c r="T23" s="68">
        <v>343</v>
      </c>
      <c r="U23" s="68">
        <v>7888</v>
      </c>
      <c r="V23" s="68">
        <v>22332</v>
      </c>
      <c r="W23" s="47"/>
      <c r="X23" s="47"/>
      <c r="Y23" s="47"/>
      <c r="Z23" s="12" t="s">
        <v>20</v>
      </c>
      <c r="AA23" s="13"/>
      <c r="AB23" s="44"/>
      <c r="AC23" s="13"/>
      <c r="AD23" s="13"/>
    </row>
    <row r="24" spans="4:30" x14ac:dyDescent="0.2">
      <c r="D24" s="16"/>
      <c r="E24" s="17"/>
      <c r="F24" s="17"/>
      <c r="G24" s="17"/>
      <c r="H24" s="17"/>
      <c r="I24" s="16"/>
      <c r="J24" s="17"/>
      <c r="K24" s="17"/>
      <c r="L24" s="17"/>
      <c r="M24" s="17"/>
      <c r="N24" s="16"/>
      <c r="O24" s="17"/>
      <c r="P24" s="17"/>
      <c r="Q24" s="17"/>
      <c r="R24" s="17"/>
      <c r="S24" s="16"/>
      <c r="T24" s="59"/>
      <c r="U24" s="59"/>
      <c r="V24" s="59"/>
      <c r="W24" s="48"/>
      <c r="X24" s="48"/>
      <c r="Y24" s="48"/>
      <c r="Z24" s="16"/>
      <c r="AA24" s="17"/>
      <c r="AB24" s="17"/>
      <c r="AC24" s="17"/>
      <c r="AD24" s="17"/>
    </row>
    <row r="25" spans="4:30" x14ac:dyDescent="0.2">
      <c r="D25" s="3" t="s">
        <v>2</v>
      </c>
      <c r="E25" s="4">
        <v>2018</v>
      </c>
      <c r="F25" s="4">
        <v>2017</v>
      </c>
      <c r="G25" s="4">
        <v>2019</v>
      </c>
      <c r="H25" s="4">
        <v>2020</v>
      </c>
      <c r="I25" s="6" t="s">
        <v>1</v>
      </c>
      <c r="J25" s="4">
        <v>2018</v>
      </c>
      <c r="K25" s="4">
        <v>2017</v>
      </c>
      <c r="L25" s="4">
        <v>2019</v>
      </c>
      <c r="M25" s="4">
        <v>2020</v>
      </c>
      <c r="N25" s="7" t="s">
        <v>3</v>
      </c>
      <c r="O25" s="4">
        <v>2018</v>
      </c>
      <c r="P25" s="4">
        <v>2017</v>
      </c>
      <c r="Q25" s="4">
        <v>2019</v>
      </c>
      <c r="R25" s="4">
        <v>2019</v>
      </c>
      <c r="S25" s="11" t="s">
        <v>42</v>
      </c>
      <c r="T25" s="56">
        <v>2018</v>
      </c>
      <c r="U25" s="56">
        <v>2019</v>
      </c>
      <c r="V25" s="56">
        <v>2020</v>
      </c>
      <c r="W25" s="45">
        <v>2018</v>
      </c>
      <c r="X25" s="45">
        <v>2019</v>
      </c>
      <c r="Y25" s="45">
        <v>2019</v>
      </c>
      <c r="Z25" s="11" t="s">
        <v>42</v>
      </c>
      <c r="AA25" s="4">
        <v>2018</v>
      </c>
      <c r="AB25" s="4">
        <v>2017</v>
      </c>
      <c r="AC25" s="4">
        <v>2019</v>
      </c>
      <c r="AD25" s="4">
        <v>2020</v>
      </c>
    </row>
    <row r="26" spans="4:30" x14ac:dyDescent="0.2">
      <c r="D26" s="2" t="s">
        <v>6</v>
      </c>
      <c r="E26" s="18">
        <f>E8/E11</f>
        <v>0.16816372358885373</v>
      </c>
      <c r="F26" s="18">
        <f>F8/F11</f>
        <v>0.14048844726445589</v>
      </c>
      <c r="G26" s="20">
        <f>G8/G11</f>
        <v>0.1643961286179533</v>
      </c>
      <c r="H26" s="20">
        <f>H8/H11</f>
        <v>8.4694646896205081E-2</v>
      </c>
      <c r="I26" s="2" t="s">
        <v>6</v>
      </c>
      <c r="J26" s="18">
        <f>J8/J11</f>
        <v>0.14584588202224633</v>
      </c>
      <c r="K26" s="18">
        <f>K8/K11</f>
        <v>0.16724639062276647</v>
      </c>
      <c r="L26" s="18">
        <f>L8/L11</f>
        <v>0.23121185701830863</v>
      </c>
      <c r="M26" s="18">
        <f>M8/M11</f>
        <v>9.2803835891883536E-4</v>
      </c>
      <c r="N26" s="2" t="s">
        <v>6</v>
      </c>
      <c r="O26" s="18">
        <f>O8/O11</f>
        <v>0.10356905455847011</v>
      </c>
      <c r="P26" s="18">
        <f>P8/P11</f>
        <v>0.10509089908963393</v>
      </c>
      <c r="Q26" s="18">
        <f>Q8/Q11</f>
        <v>0.11345642170301898</v>
      </c>
      <c r="R26" s="18">
        <f>R8/R11</f>
        <v>6.8518360342591803E-2</v>
      </c>
      <c r="S26" s="2" t="s">
        <v>6</v>
      </c>
      <c r="T26" s="60">
        <f t="shared" ref="T26:Y26" si="0">T8/T11</f>
        <v>0.1147866107519719</v>
      </c>
      <c r="U26" s="60">
        <f t="shared" si="0"/>
        <v>4.3108798395951685E-2</v>
      </c>
      <c r="V26" s="60">
        <f t="shared" si="0"/>
        <v>6.4403675620100242E-2</v>
      </c>
      <c r="W26" s="49" t="e">
        <f t="shared" si="0"/>
        <v>#DIV/0!</v>
      </c>
      <c r="X26" s="49" t="e">
        <f t="shared" si="0"/>
        <v>#DIV/0!</v>
      </c>
      <c r="Y26" s="49" t="e">
        <f t="shared" si="0"/>
        <v>#DIV/0!</v>
      </c>
      <c r="Z26" s="2" t="s">
        <v>6</v>
      </c>
      <c r="AA26" s="18" t="e">
        <f>AA8/AA11</f>
        <v>#DIV/0!</v>
      </c>
      <c r="AB26" s="18" t="e">
        <f>AB8/AB11</f>
        <v>#DIV/0!</v>
      </c>
      <c r="AC26" s="20" t="e">
        <f>AC8/AC11</f>
        <v>#DIV/0!</v>
      </c>
      <c r="AD26" s="20" t="e">
        <f>AD8/AD11</f>
        <v>#DIV/0!</v>
      </c>
    </row>
    <row r="27" spans="4:30" x14ac:dyDescent="0.2">
      <c r="D27" s="2" t="s">
        <v>7</v>
      </c>
      <c r="E27" s="18">
        <f>E8/E4</f>
        <v>4.4510786604887408E-2</v>
      </c>
      <c r="F27" s="18">
        <f>F8/F4</f>
        <v>3.7699177589308658E-2</v>
      </c>
      <c r="G27" s="18">
        <f>G8/G4</f>
        <v>4.7958678460076808E-2</v>
      </c>
      <c r="H27" s="18">
        <f>H8/H4</f>
        <v>3.3292719070043136E-2</v>
      </c>
      <c r="I27" s="2" t="s">
        <v>7</v>
      </c>
      <c r="J27" s="18">
        <f>J8/J4</f>
        <v>3.2894975183856826E-2</v>
      </c>
      <c r="K27" s="18">
        <f>K8/K4</f>
        <v>3.3197767899366314E-2</v>
      </c>
      <c r="L27" s="18">
        <f>L8/L4</f>
        <v>6.1282778892103484E-2</v>
      </c>
      <c r="M27" s="18">
        <f>M8/M4</f>
        <v>2.7689325764917625E-4</v>
      </c>
      <c r="N27" s="2" t="s">
        <v>7</v>
      </c>
      <c r="O27" s="18">
        <f>O8/O4</f>
        <v>5.1528732366895771E-2</v>
      </c>
      <c r="P27" s="18">
        <f>P8/P4</f>
        <v>4.9936832934001307E-2</v>
      </c>
      <c r="Q27" s="18">
        <f>Q8/Q4</f>
        <v>5.5531365781057031E-2</v>
      </c>
      <c r="R27" s="18">
        <f>R8/R4</f>
        <v>3.9590100680174441E-2</v>
      </c>
      <c r="S27" s="2" t="s">
        <v>7</v>
      </c>
      <c r="T27" s="60">
        <f t="shared" ref="T27:Y27" si="1">T8/T4</f>
        <v>4.5302995901100609E-2</v>
      </c>
      <c r="U27" s="60">
        <f t="shared" si="1"/>
        <v>1.5682074734435149E-2</v>
      </c>
      <c r="V27" s="60">
        <f t="shared" si="1"/>
        <v>2.59803381526677E-2</v>
      </c>
      <c r="W27" s="49" t="e">
        <f t="shared" si="1"/>
        <v>#DIV/0!</v>
      </c>
      <c r="X27" s="49" t="e">
        <f t="shared" si="1"/>
        <v>#DIV/0!</v>
      </c>
      <c r="Y27" s="49" t="e">
        <f t="shared" si="1"/>
        <v>#DIV/0!</v>
      </c>
      <c r="Z27" s="2" t="s">
        <v>7</v>
      </c>
      <c r="AA27" s="18">
        <f>AA8/AA4</f>
        <v>0</v>
      </c>
      <c r="AB27" s="18">
        <f>AB8/AB4</f>
        <v>0</v>
      </c>
      <c r="AC27" s="18">
        <f>AC8/AC4</f>
        <v>0</v>
      </c>
      <c r="AD27" s="18">
        <f>AD8/AD4</f>
        <v>0</v>
      </c>
    </row>
    <row r="28" spans="4:30" x14ac:dyDescent="0.2">
      <c r="E28" s="15"/>
      <c r="F28" s="15"/>
      <c r="G28" s="15"/>
      <c r="H28" s="15"/>
      <c r="J28" s="15"/>
      <c r="K28" s="15"/>
      <c r="L28" s="15"/>
      <c r="M28" s="15"/>
      <c r="O28" s="15"/>
      <c r="P28" s="15"/>
      <c r="Q28" s="15"/>
      <c r="R28" s="15"/>
      <c r="T28" s="61"/>
      <c r="U28" s="61"/>
      <c r="V28" s="61"/>
      <c r="W28" s="50"/>
      <c r="X28" s="50"/>
      <c r="Y28" s="50"/>
      <c r="AA28" s="15"/>
      <c r="AB28" s="15"/>
      <c r="AC28" s="15"/>
      <c r="AD28" s="15"/>
    </row>
    <row r="29" spans="4:30" x14ac:dyDescent="0.2">
      <c r="D29" s="19" t="s">
        <v>0</v>
      </c>
      <c r="E29" s="20">
        <f>E6/E10</f>
        <v>7.1022727272727279E-2</v>
      </c>
      <c r="F29" s="20">
        <f>F6/F10</f>
        <v>5.3077786411119744E-2</v>
      </c>
      <c r="G29" s="20">
        <f>G6/G10</f>
        <v>6.6909382793911079E-2</v>
      </c>
      <c r="H29" s="20">
        <f>H6/H10</f>
        <v>4.1545367977145968E-2</v>
      </c>
      <c r="I29" s="19" t="s">
        <v>0</v>
      </c>
      <c r="J29" s="20">
        <f>J6/J10</f>
        <v>5.0881050447493109E-2</v>
      </c>
      <c r="K29" s="20">
        <f>K6/K10</f>
        <v>6.1579040280792113E-2</v>
      </c>
      <c r="L29" s="20">
        <f>L6/L10</f>
        <v>4.9131002407082534E-2</v>
      </c>
      <c r="M29" s="20">
        <f>M6/M10</f>
        <v>2.1708613255790633E-2</v>
      </c>
      <c r="N29" s="19" t="s">
        <v>0</v>
      </c>
      <c r="O29" s="20">
        <f>O6/O10</f>
        <v>3.0382664419979222E-2</v>
      </c>
      <c r="P29" s="20">
        <f>P6/P10</f>
        <v>3.2729107304005516E-2</v>
      </c>
      <c r="Q29" s="20">
        <f>Q6/Q10</f>
        <v>3.4749042659776956E-2</v>
      </c>
      <c r="R29" s="20">
        <f>R6/R10</f>
        <v>1.9462336606894996E-2</v>
      </c>
      <c r="S29" s="19" t="s">
        <v>0</v>
      </c>
      <c r="T29" s="60">
        <f t="shared" ref="T29:Y29" si="2">T6/T10</f>
        <v>3.9528582943622409E-2</v>
      </c>
      <c r="U29" s="60">
        <f t="shared" si="2"/>
        <v>1.4260774109073596E-2</v>
      </c>
      <c r="V29" s="60">
        <f t="shared" si="2"/>
        <v>2.3108662861302528E-2</v>
      </c>
      <c r="W29" s="49" t="e">
        <f t="shared" si="2"/>
        <v>#DIV/0!</v>
      </c>
      <c r="X29" s="49" t="e">
        <f t="shared" si="2"/>
        <v>#DIV/0!</v>
      </c>
      <c r="Y29" s="49" t="e">
        <f t="shared" si="2"/>
        <v>#DIV/0!</v>
      </c>
      <c r="Z29" s="19" t="s">
        <v>0</v>
      </c>
      <c r="AA29" s="20" t="e">
        <f>AA6/AA10</f>
        <v>#DIV/0!</v>
      </c>
      <c r="AB29" s="20" t="e">
        <f>AB6/AB10</f>
        <v>#DIV/0!</v>
      </c>
      <c r="AC29" s="20" t="e">
        <f>AC6/AC10</f>
        <v>#DIV/0!</v>
      </c>
      <c r="AD29" s="20" t="e">
        <f>AD6/AD10</f>
        <v>#DIV/0!</v>
      </c>
    </row>
    <row r="30" spans="4:30" x14ac:dyDescent="0.2">
      <c r="D30" s="19" t="s">
        <v>8</v>
      </c>
      <c r="E30" s="20">
        <f>E6/E4</f>
        <v>5.9437772704553742E-2</v>
      </c>
      <c r="F30" s="20">
        <f>F6/F4</f>
        <v>4.9376766897969673E-2</v>
      </c>
      <c r="G30" s="20">
        <f>G6/G4</f>
        <v>6.2464037681818789E-2</v>
      </c>
      <c r="H30" s="20">
        <f>H6/H4</f>
        <v>5.0284848684427175E-2</v>
      </c>
      <c r="I30" s="19" t="s">
        <v>8</v>
      </c>
      <c r="J30" s="20">
        <f>J6/J4</f>
        <v>4.4641886751440062E-2</v>
      </c>
      <c r="K30" s="20">
        <f>K6/K4</f>
        <v>5.6086257448217158E-2</v>
      </c>
      <c r="L30" s="20">
        <f>L6/L4</f>
        <v>4.4524758057807312E-2</v>
      </c>
      <c r="M30" s="20">
        <f>M6/M4</f>
        <v>2.4978079283769439E-2</v>
      </c>
      <c r="N30" s="19" t="s">
        <v>8</v>
      </c>
      <c r="O30" s="20">
        <f>O6/O4</f>
        <v>5.9020814164995397E-2</v>
      </c>
      <c r="P30" s="20">
        <f>P6/P4</f>
        <v>6.019603572206491E-2</v>
      </c>
      <c r="Q30" s="20">
        <f>Q6/Q4</f>
        <v>6.7133221444630922E-2</v>
      </c>
      <c r="R30" s="20">
        <f>R6/R4</f>
        <v>4.3408230290195797E-2</v>
      </c>
      <c r="S30" s="19" t="s">
        <v>8</v>
      </c>
      <c r="T30" s="60">
        <f t="shared" ref="T30:Y30" si="3">T6/T4</f>
        <v>6.651450149974307E-2</v>
      </c>
      <c r="U30" s="60">
        <f t="shared" si="3"/>
        <v>2.4967437552461721E-2</v>
      </c>
      <c r="V30" s="60">
        <f t="shared" si="3"/>
        <v>4.2790763986546472E-2</v>
      </c>
      <c r="W30" s="49" t="e">
        <f t="shared" si="3"/>
        <v>#DIV/0!</v>
      </c>
      <c r="X30" s="49" t="e">
        <f t="shared" si="3"/>
        <v>#DIV/0!</v>
      </c>
      <c r="Y30" s="49" t="e">
        <f t="shared" si="3"/>
        <v>#DIV/0!</v>
      </c>
      <c r="Z30" s="19" t="s">
        <v>8</v>
      </c>
      <c r="AA30" s="20">
        <f>AA6/AA4</f>
        <v>0</v>
      </c>
      <c r="AB30" s="20">
        <f>AB6/AB4</f>
        <v>0</v>
      </c>
      <c r="AC30" s="20">
        <f>AC6/AC4</f>
        <v>0</v>
      </c>
      <c r="AD30" s="20">
        <f>AD6/AD4</f>
        <v>0</v>
      </c>
    </row>
    <row r="31" spans="4:30" x14ac:dyDescent="0.2">
      <c r="D31" s="19" t="s">
        <v>9</v>
      </c>
      <c r="E31" s="21">
        <f>E4/E10</f>
        <v>1.1949089617768596</v>
      </c>
      <c r="F31" s="21">
        <f>F4/F10</f>
        <v>1.074954674954675</v>
      </c>
      <c r="G31" s="21">
        <f>G4/G10</f>
        <v>1.0711664707737294</v>
      </c>
      <c r="H31" s="21">
        <f>H4/H10</f>
        <v>0.82620051693647123</v>
      </c>
      <c r="I31" s="19" t="s">
        <v>9</v>
      </c>
      <c r="J31" s="21">
        <f>J4/J10</f>
        <v>1.1397603047288718</v>
      </c>
      <c r="K31" s="21">
        <f>K4/K10</f>
        <v>1.0979345579912565</v>
      </c>
      <c r="L31" s="21">
        <f>L4/L10</f>
        <v>1.1034535514666883</v>
      </c>
      <c r="M31" s="21">
        <f>M4/M10</f>
        <v>0.86910658778702499</v>
      </c>
      <c r="N31" s="19" t="s">
        <v>9</v>
      </c>
      <c r="O31" s="21">
        <f>O4/O10</f>
        <v>0.51477880896463213</v>
      </c>
      <c r="P31" s="21">
        <f>P4/P10</f>
        <v>0.54370868299569153</v>
      </c>
      <c r="Q31" s="21">
        <f>Q4/Q10</f>
        <v>0.51761321610995126</v>
      </c>
      <c r="R31" s="21">
        <f>R4/R10</f>
        <v>0.44835591031433436</v>
      </c>
      <c r="S31" s="19" t="s">
        <v>9</v>
      </c>
      <c r="T31" s="62">
        <f t="shared" ref="T31:Y31" si="4">T4/T10</f>
        <v>0.59428518672390718</v>
      </c>
      <c r="U31" s="62">
        <f t="shared" si="4"/>
        <v>0.57117491849569169</v>
      </c>
      <c r="V31" s="62">
        <f t="shared" si="4"/>
        <v>0.54003856693392871</v>
      </c>
      <c r="W31" s="51" t="e">
        <f t="shared" si="4"/>
        <v>#DIV/0!</v>
      </c>
      <c r="X31" s="51" t="e">
        <f t="shared" si="4"/>
        <v>#DIV/0!</v>
      </c>
      <c r="Y31" s="51" t="e">
        <f t="shared" si="4"/>
        <v>#DIV/0!</v>
      </c>
      <c r="Z31" s="19" t="s">
        <v>9</v>
      </c>
      <c r="AA31" s="21" t="e">
        <f>AA4/AA10</f>
        <v>#DIV/0!</v>
      </c>
      <c r="AB31" s="21" t="e">
        <f>AB4/AB10</f>
        <v>#DIV/0!</v>
      </c>
      <c r="AC31" s="21" t="e">
        <f>AC4/AC10</f>
        <v>#DIV/0!</v>
      </c>
      <c r="AD31" s="21" t="e">
        <f>AD4/AD10</f>
        <v>#DIV/0!</v>
      </c>
    </row>
    <row r="32" spans="4:30" x14ac:dyDescent="0.2">
      <c r="D32" s="19" t="s">
        <v>4</v>
      </c>
      <c r="E32" s="20">
        <f>E5/E4</f>
        <v>9.9895983897767035E-2</v>
      </c>
      <c r="F32" s="20">
        <f>F5/F4</f>
        <v>9.3308275507581598E-2</v>
      </c>
      <c r="G32" s="20">
        <f>G5/G4</f>
        <v>0.11220243272537501</v>
      </c>
      <c r="H32" s="20">
        <f>H5/H4</f>
        <v>0.1171008002107551</v>
      </c>
      <c r="I32" s="19" t="s">
        <v>4</v>
      </c>
      <c r="J32" s="20">
        <f>J5/J4</f>
        <v>9.4518711734231792E-2</v>
      </c>
      <c r="K32" s="20">
        <f>K5/K4</f>
        <v>0.10785964248557647</v>
      </c>
      <c r="L32" s="20">
        <f>L5/L4</f>
        <v>9.4854280089104973E-2</v>
      </c>
      <c r="M32" s="20">
        <f>M5/M4</f>
        <v>8.4313996954174172E-2</v>
      </c>
      <c r="N32" s="19" t="s">
        <v>4</v>
      </c>
      <c r="O32" s="20">
        <f>O5/O4</f>
        <v>0.1546794771230745</v>
      </c>
      <c r="P32" s="20">
        <f>P5/P4</f>
        <v>0.15675887606186015</v>
      </c>
      <c r="Q32" s="20">
        <f>Q5/Q4</f>
        <v>0.1638707685487191</v>
      </c>
      <c r="R32" s="20">
        <f>R5/R4</f>
        <v>0.16486154232695036</v>
      </c>
      <c r="S32" s="19" t="s">
        <v>4</v>
      </c>
      <c r="T32" s="60">
        <f t="shared" ref="T32:Y32" si="5">T5/T4</f>
        <v>0.10418733045733201</v>
      </c>
      <c r="U32" s="60">
        <f t="shared" si="5"/>
        <v>6.9837043040319541E-2</v>
      </c>
      <c r="V32" s="60">
        <f t="shared" si="5"/>
        <v>0.10083663298965063</v>
      </c>
      <c r="W32" s="49" t="e">
        <f t="shared" si="5"/>
        <v>#DIV/0!</v>
      </c>
      <c r="X32" s="49" t="e">
        <f t="shared" si="5"/>
        <v>#DIV/0!</v>
      </c>
      <c r="Y32" s="49" t="e">
        <f t="shared" si="5"/>
        <v>#DIV/0!</v>
      </c>
      <c r="Z32" s="19" t="s">
        <v>4</v>
      </c>
      <c r="AA32" s="20">
        <f>AA5/AA4</f>
        <v>0.16002307059212362</v>
      </c>
      <c r="AB32" s="20">
        <f>AB5/AB4</f>
        <v>0.16524356710758634</v>
      </c>
      <c r="AC32" s="20">
        <f>AC5/AC4</f>
        <v>0.17055843022908426</v>
      </c>
      <c r="AD32" s="20">
        <f>AD5/AD4</f>
        <v>0.14784897108812456</v>
      </c>
    </row>
    <row r="33" spans="4:30" x14ac:dyDescent="0.2">
      <c r="D33" s="8"/>
      <c r="E33" s="9"/>
      <c r="F33" s="9"/>
      <c r="G33" s="9"/>
      <c r="H33" s="9"/>
      <c r="I33" s="8"/>
      <c r="J33" s="9"/>
      <c r="K33" s="9"/>
      <c r="L33" s="9"/>
      <c r="M33" s="9"/>
      <c r="N33" s="8"/>
      <c r="O33" s="9"/>
      <c r="P33" s="9"/>
      <c r="Q33" s="9"/>
      <c r="R33" s="9"/>
      <c r="S33" s="8"/>
      <c r="T33" s="63"/>
      <c r="U33" s="63"/>
      <c r="V33" s="63"/>
      <c r="W33" s="52"/>
      <c r="X33" s="52"/>
      <c r="Y33" s="52"/>
      <c r="Z33" s="8"/>
      <c r="AA33" s="9"/>
      <c r="AB33" s="9"/>
      <c r="AC33" s="9"/>
      <c r="AD33" s="9"/>
    </row>
    <row r="34" spans="4:30" x14ac:dyDescent="0.2">
      <c r="D34" s="19" t="s">
        <v>24</v>
      </c>
      <c r="E34" s="22">
        <f>E6/(E6-E7)</f>
        <v>8.9795918367346932</v>
      </c>
      <c r="F34" s="22">
        <f>F6/(F6-F7)</f>
        <v>146.38095238095238</v>
      </c>
      <c r="G34" s="22">
        <f>G6/(G6-G7)</f>
        <v>12.684782608695652</v>
      </c>
      <c r="H34" s="22">
        <f>H6/(H6-H7)</f>
        <v>9.6340694006309153</v>
      </c>
      <c r="I34" s="19" t="s">
        <v>24</v>
      </c>
      <c r="J34" s="22">
        <f>J6/(J6-J7)</f>
        <v>6.0036540803897687</v>
      </c>
      <c r="K34" s="22">
        <f>K6/(K6-K7)</f>
        <v>116.27450980392157</v>
      </c>
      <c r="L34" s="22">
        <f>L6/(L6-L7)</f>
        <v>6.0515075376884422</v>
      </c>
      <c r="M34" s="22">
        <f>M6/(M6-M7)</f>
        <v>2.6761433868974041</v>
      </c>
      <c r="N34" s="19" t="s">
        <v>24</v>
      </c>
      <c r="O34" s="22">
        <f>O6/(O6-O7)</f>
        <v>-8.0789320951828199</v>
      </c>
      <c r="P34" s="22">
        <f>P6/(P6-P7)</f>
        <v>95.296551724137927</v>
      </c>
      <c r="Q34" s="22">
        <f>Q6/(Q6-Q7)</f>
        <v>-12.148997134670488</v>
      </c>
      <c r="R34" s="22">
        <f>R6/(R6-R7)</f>
        <v>-4.8569277108433733</v>
      </c>
      <c r="S34" s="19" t="s">
        <v>24</v>
      </c>
      <c r="T34" s="64">
        <f t="shared" ref="T34:Y34" si="6">T6/(T6-T7)</f>
        <v>20.729981378026071</v>
      </c>
      <c r="U34" s="64">
        <f t="shared" si="6"/>
        <v>8.9296066252587991</v>
      </c>
      <c r="V34" s="64">
        <f t="shared" si="6"/>
        <v>25.011363636363637</v>
      </c>
      <c r="W34" s="53" t="e">
        <f t="shared" si="6"/>
        <v>#DIV/0!</v>
      </c>
      <c r="X34" s="53" t="e">
        <f t="shared" si="6"/>
        <v>#DIV/0!</v>
      </c>
      <c r="Y34" s="53" t="e">
        <f t="shared" si="6"/>
        <v>#DIV/0!</v>
      </c>
      <c r="Z34" s="19" t="s">
        <v>24</v>
      </c>
      <c r="AA34" s="22" t="e">
        <f>AA6/(AA6-AA7)</f>
        <v>#DIV/0!</v>
      </c>
      <c r="AB34" s="22" t="e">
        <f>AB6/(AB6-AB7)</f>
        <v>#DIV/0!</v>
      </c>
      <c r="AC34" s="22" t="e">
        <f>AC6/(AC6-AC7)</f>
        <v>#DIV/0!</v>
      </c>
      <c r="AD34" s="22" t="e">
        <f>AD6/(AD6-AD7)</f>
        <v>#DIV/0!</v>
      </c>
    </row>
    <row r="35" spans="4:30" x14ac:dyDescent="0.2">
      <c r="D35" s="19" t="s">
        <v>33</v>
      </c>
      <c r="E35" s="22">
        <f t="shared" ref="E35:F35" si="7">1-(1/E34)</f>
        <v>0.88863636363636367</v>
      </c>
      <c r="F35" s="22">
        <f t="shared" si="7"/>
        <v>0.9931685100845804</v>
      </c>
      <c r="G35" s="22">
        <f>1-(1/G34)</f>
        <v>0.921165381319623</v>
      </c>
      <c r="H35" s="22">
        <f>1-(1/H34)</f>
        <v>0.89620170268500332</v>
      </c>
      <c r="I35" s="19" t="s">
        <v>33</v>
      </c>
      <c r="J35" s="22">
        <f t="shared" ref="J35:K35" si="8">1-(1/J34)</f>
        <v>0.83343477378778652</v>
      </c>
      <c r="K35" s="22">
        <f t="shared" si="8"/>
        <v>0.99139966273187186</v>
      </c>
      <c r="L35" s="22">
        <f>1-(1/L34)</f>
        <v>0.83475192028233347</v>
      </c>
      <c r="M35" s="22">
        <f>1-(1/M34)</f>
        <v>0.62632794457274832</v>
      </c>
      <c r="N35" s="19" t="s">
        <v>33</v>
      </c>
      <c r="O35" s="22">
        <f t="shared" ref="O35:P35" si="9">1-(1/O34)</f>
        <v>1.123778735632184</v>
      </c>
      <c r="P35" s="22">
        <f t="shared" si="9"/>
        <v>0.98950644087422202</v>
      </c>
      <c r="Q35" s="22">
        <f>1-(1/Q34)</f>
        <v>1.082311320754717</v>
      </c>
      <c r="R35" s="22">
        <f>1-(1/R34)</f>
        <v>1.2058914728682171</v>
      </c>
      <c r="S35" s="19" t="s">
        <v>33</v>
      </c>
      <c r="T35" s="64">
        <f>1-(1/T34)</f>
        <v>0.95176068990298235</v>
      </c>
      <c r="U35" s="64">
        <f t="shared" ref="U35" si="10">1-(1/U34)</f>
        <v>0.88801298400185491</v>
      </c>
      <c r="V35" s="64">
        <f>1-(1/V34)</f>
        <v>0.96001817355747388</v>
      </c>
      <c r="W35" s="53" t="e">
        <f t="shared" ref="W35:X35" si="11">1-(1/W34)</f>
        <v>#DIV/0!</v>
      </c>
      <c r="X35" s="53" t="e">
        <f t="shared" si="11"/>
        <v>#DIV/0!</v>
      </c>
      <c r="Y35" s="53" t="e">
        <f>1-(1/Y34)</f>
        <v>#DIV/0!</v>
      </c>
      <c r="Z35" s="19" t="s">
        <v>33</v>
      </c>
      <c r="AA35" s="22" t="e">
        <f t="shared" ref="AA35:AB35" si="12">1-(1/AA34)</f>
        <v>#DIV/0!</v>
      </c>
      <c r="AB35" s="22" t="e">
        <f t="shared" si="12"/>
        <v>#DIV/0!</v>
      </c>
      <c r="AC35" s="22" t="e">
        <f>1-(1/AC34)</f>
        <v>#DIV/0!</v>
      </c>
      <c r="AD35" s="22" t="e">
        <f>1-(1/AD34)</f>
        <v>#DIV/0!</v>
      </c>
    </row>
    <row r="36" spans="4:30" x14ac:dyDescent="0.2">
      <c r="D36" s="19" t="s">
        <v>25</v>
      </c>
      <c r="E36" s="23">
        <f>E12/E11</f>
        <v>2.1617842196590793</v>
      </c>
      <c r="F36" s="23">
        <f>F12/F11</f>
        <v>2.4667185442356039</v>
      </c>
      <c r="G36" s="23">
        <f>G12/G11</f>
        <v>2.2001284344754826</v>
      </c>
      <c r="H36" s="23">
        <f>H12/H11</f>
        <v>2.0790818463600571</v>
      </c>
      <c r="I36" s="19" t="s">
        <v>25</v>
      </c>
      <c r="J36" s="23">
        <f>J12/J11</f>
        <v>2.8900132514154921</v>
      </c>
      <c r="K36" s="23">
        <f>K12/K11</f>
        <v>3.5885071711059227</v>
      </c>
      <c r="L36" s="23">
        <f>L12/L11</f>
        <v>2.4191455972101132</v>
      </c>
      <c r="M36" s="23">
        <f>M12/M11</f>
        <v>2.8563860639573102</v>
      </c>
      <c r="N36" s="19" t="s">
        <v>25</v>
      </c>
      <c r="O36" s="23">
        <f>O12/O11</f>
        <v>2.9044502394709482</v>
      </c>
      <c r="P36" s="23">
        <f>P12/P11</f>
        <v>2.8705960009901261</v>
      </c>
      <c r="Q36" s="23">
        <f>Q12/Q11</f>
        <v>2.9471658134588479</v>
      </c>
      <c r="R36" s="23">
        <f>R12/R11</f>
        <v>2.8600902293004511</v>
      </c>
      <c r="S36" s="19" t="s">
        <v>25</v>
      </c>
      <c r="T36" s="65">
        <f t="shared" ref="T36:Y36" si="13">T12/T11</f>
        <v>3.2635308010234207</v>
      </c>
      <c r="U36" s="65">
        <f t="shared" si="13"/>
        <v>3.8127496379752071</v>
      </c>
      <c r="V36" s="65">
        <f t="shared" si="13"/>
        <v>3.5903000899627298</v>
      </c>
      <c r="W36" s="54" t="e">
        <f t="shared" si="13"/>
        <v>#DIV/0!</v>
      </c>
      <c r="X36" s="54" t="e">
        <f t="shared" si="13"/>
        <v>#DIV/0!</v>
      </c>
      <c r="Y36" s="54" t="e">
        <f t="shared" si="13"/>
        <v>#DIV/0!</v>
      </c>
      <c r="Z36" s="19" t="s">
        <v>25</v>
      </c>
      <c r="AA36" s="23" t="e">
        <f>AA12/AA11</f>
        <v>#DIV/0!</v>
      </c>
      <c r="AB36" s="23" t="e">
        <f>AB12/AB11</f>
        <v>#DIV/0!</v>
      </c>
      <c r="AC36" s="23" t="e">
        <f>AC12/AC11</f>
        <v>#DIV/0!</v>
      </c>
      <c r="AD36" s="23" t="e">
        <f>AD12/AD11</f>
        <v>#DIV/0!</v>
      </c>
    </row>
    <row r="37" spans="4:30" x14ac:dyDescent="0.2">
      <c r="D37" s="19" t="s">
        <v>32</v>
      </c>
      <c r="E37" s="20">
        <f>E8/E7</f>
        <v>0.84271099744245526</v>
      </c>
      <c r="F37" s="20">
        <f>F8/F7</f>
        <v>0.7687520471667213</v>
      </c>
      <c r="G37" s="20">
        <f>G8/G7</f>
        <v>0.83348837209302329</v>
      </c>
      <c r="H37" s="20">
        <f>H8/H7</f>
        <v>0.73876507124588964</v>
      </c>
      <c r="I37" s="19" t="s">
        <v>32</v>
      </c>
      <c r="J37" s="20">
        <f>J8/J7</f>
        <v>0.88412852969814992</v>
      </c>
      <c r="K37" s="20">
        <f>K8/K7</f>
        <v>0.59704031297839766</v>
      </c>
      <c r="L37" s="20">
        <f>L8/L7</f>
        <v>1.6488435712509326</v>
      </c>
      <c r="M37" s="20">
        <f>M8/M7</f>
        <v>1.7699115044247787E-2</v>
      </c>
      <c r="N37" s="19" t="s">
        <v>32</v>
      </c>
      <c r="O37" s="20">
        <f>O8/O7</f>
        <v>0.77689701463913574</v>
      </c>
      <c r="P37" s="20">
        <f>P8/P7</f>
        <v>0.83836758575294379</v>
      </c>
      <c r="Q37" s="20">
        <f>Q8/Q7</f>
        <v>0.76427326214861624</v>
      </c>
      <c r="R37" s="20">
        <f>R8/R7</f>
        <v>0.75632124796434386</v>
      </c>
      <c r="S37" s="19" t="s">
        <v>32</v>
      </c>
      <c r="T37" s="60">
        <f t="shared" ref="T37:Y37" si="14">T8/T7</f>
        <v>0.71562057574327509</v>
      </c>
      <c r="U37" s="60">
        <f t="shared" si="14"/>
        <v>0.70731070496083548</v>
      </c>
      <c r="V37" s="60">
        <f t="shared" si="14"/>
        <v>0.63243413787663671</v>
      </c>
      <c r="W37" s="49" t="e">
        <f t="shared" si="14"/>
        <v>#DIV/0!</v>
      </c>
      <c r="X37" s="49" t="e">
        <f t="shared" si="14"/>
        <v>#DIV/0!</v>
      </c>
      <c r="Y37" s="49" t="e">
        <f t="shared" si="14"/>
        <v>#DIV/0!</v>
      </c>
      <c r="Z37" s="19" t="s">
        <v>32</v>
      </c>
      <c r="AA37" s="20" t="e">
        <f>AA8/AA7</f>
        <v>#DIV/0!</v>
      </c>
      <c r="AB37" s="20" t="e">
        <f>AB8/AB7</f>
        <v>#DIV/0!</v>
      </c>
      <c r="AC37" s="20" t="e">
        <f>AC8/AC7</f>
        <v>#DIV/0!</v>
      </c>
      <c r="AD37" s="20" t="e">
        <f>AD8/AD7</f>
        <v>#DIV/0!</v>
      </c>
    </row>
    <row r="38" spans="4:30" x14ac:dyDescent="0.2">
      <c r="D38" s="8"/>
      <c r="E38" s="9"/>
      <c r="F38" s="9"/>
      <c r="G38" s="9"/>
      <c r="H38" s="9"/>
      <c r="I38" s="8"/>
      <c r="J38" s="9"/>
      <c r="K38" s="9"/>
      <c r="L38" s="9"/>
      <c r="M38" s="9"/>
      <c r="N38" s="8"/>
      <c r="O38" s="9"/>
      <c r="P38" s="9"/>
      <c r="Q38" s="9"/>
      <c r="R38" s="9"/>
      <c r="S38" s="8"/>
      <c r="T38" s="63"/>
      <c r="U38" s="63"/>
      <c r="V38" s="63"/>
      <c r="W38" s="52"/>
      <c r="X38" s="52"/>
      <c r="Y38" s="52"/>
      <c r="Z38" s="8"/>
      <c r="AA38" s="9"/>
      <c r="AB38" s="9"/>
      <c r="AC38" s="9"/>
      <c r="AD38" s="9"/>
    </row>
    <row r="39" spans="4:30" x14ac:dyDescent="0.2">
      <c r="D39" s="19" t="s">
        <v>26</v>
      </c>
      <c r="E39" s="21">
        <f>E16/E20</f>
        <v>0.93813745750283317</v>
      </c>
      <c r="F39" s="21">
        <f>F16/F20</f>
        <v>0.89726212151864593</v>
      </c>
      <c r="G39" s="21">
        <f>G16/G20</f>
        <v>0.98823343848580447</v>
      </c>
      <c r="H39" s="21">
        <f>H16/H20</f>
        <v>1.1440301171583422</v>
      </c>
      <c r="I39" s="19" t="s">
        <v>26</v>
      </c>
      <c r="J39" s="21">
        <f>J16/J20</f>
        <v>0.82394457115806685</v>
      </c>
      <c r="K39" s="21">
        <f>K16/K20</f>
        <v>0.76739512153842904</v>
      </c>
      <c r="L39" s="21">
        <f>L16/L20</f>
        <v>0.80573880149467181</v>
      </c>
      <c r="M39" s="21">
        <f>M16/M20</f>
        <v>1.0260265901580552</v>
      </c>
      <c r="N39" s="19" t="s">
        <v>26</v>
      </c>
      <c r="O39" s="21">
        <f>O16/O20</f>
        <v>1.0926843208230139</v>
      </c>
      <c r="P39" s="21">
        <f>P16/P20</f>
        <v>0.99827294889300389</v>
      </c>
      <c r="Q39" s="21">
        <f>Q16/Q20</f>
        <v>1.1163562087611063</v>
      </c>
      <c r="R39" s="21">
        <f>R16/R20</f>
        <v>1.1785502690284746</v>
      </c>
      <c r="S39" s="19" t="s">
        <v>26</v>
      </c>
      <c r="T39" s="62">
        <f t="shared" ref="T39:Y39" si="15">T16/T20</f>
        <v>1.2415570891865404</v>
      </c>
      <c r="U39" s="62">
        <f t="shared" si="15"/>
        <v>1.2079166745430143</v>
      </c>
      <c r="V39" s="62">
        <f t="shared" si="15"/>
        <v>1.1548457553928002</v>
      </c>
      <c r="W39" s="51" t="e">
        <f t="shared" si="15"/>
        <v>#DIV/0!</v>
      </c>
      <c r="X39" s="51" t="e">
        <f t="shared" si="15"/>
        <v>#DIV/0!</v>
      </c>
      <c r="Y39" s="51" t="e">
        <f t="shared" si="15"/>
        <v>#DIV/0!</v>
      </c>
      <c r="Z39" s="19" t="s">
        <v>26</v>
      </c>
      <c r="AA39" s="21" t="e">
        <f>AA16/AA20</f>
        <v>#DIV/0!</v>
      </c>
      <c r="AB39" s="21" t="e">
        <f>AB16/AB20</f>
        <v>#DIV/0!</v>
      </c>
      <c r="AC39" s="21" t="e">
        <f>AC16/AC20</f>
        <v>#DIV/0!</v>
      </c>
      <c r="AD39" s="21" t="e">
        <f>AD16/AD20</f>
        <v>#DIV/0!</v>
      </c>
    </row>
    <row r="40" spans="4:30" x14ac:dyDescent="0.2">
      <c r="D40" s="19" t="s">
        <v>35</v>
      </c>
      <c r="E40" s="21">
        <f t="shared" ref="E40:F40" si="16">E23/E14</f>
        <v>1.080994076744785</v>
      </c>
      <c r="F40" s="21">
        <f t="shared" si="16"/>
        <v>0.7074909279419388</v>
      </c>
      <c r="G40" s="21">
        <f>G23/G14</f>
        <v>0.74344521308395251</v>
      </c>
      <c r="H40" s="21">
        <f>H23/H14</f>
        <v>0.45177738927738925</v>
      </c>
      <c r="I40" s="19" t="s">
        <v>35</v>
      </c>
      <c r="J40" s="21">
        <f t="shared" ref="J40:K40" si="17">J23/J14</f>
        <v>0.67512724804886326</v>
      </c>
      <c r="K40" s="21">
        <f t="shared" si="17"/>
        <v>0.57344008834897842</v>
      </c>
      <c r="L40" s="21">
        <f>L23/L14</f>
        <v>0.79143656857553524</v>
      </c>
      <c r="M40" s="21">
        <f>M23/M14</f>
        <v>0.42220689655172416</v>
      </c>
      <c r="N40" s="19" t="s">
        <v>35</v>
      </c>
      <c r="O40" s="21">
        <f t="shared" ref="O40:Y40" si="18">O23/O14</f>
        <v>3.5731483210330289E-2</v>
      </c>
      <c r="P40" s="21">
        <f t="shared" si="18"/>
        <v>-6.7827848912751067E-3</v>
      </c>
      <c r="Q40" s="21">
        <f>Q23/Q14</f>
        <v>8.2937853107344639E-2</v>
      </c>
      <c r="R40" s="21">
        <f>R23/R14</f>
        <v>0.11988118278016889</v>
      </c>
      <c r="S40" s="19" t="s">
        <v>35</v>
      </c>
      <c r="T40" s="62">
        <f t="shared" ref="T40" si="19">T23/T14</f>
        <v>2.2138458956717055E-3</v>
      </c>
      <c r="U40" s="62">
        <f>U23/U14</f>
        <v>4.5955582484677591E-2</v>
      </c>
      <c r="V40" s="62">
        <f>V23/V14</f>
        <v>0.1445998445998446</v>
      </c>
      <c r="W40" s="51" t="e">
        <f t="shared" si="18"/>
        <v>#DIV/0!</v>
      </c>
      <c r="X40" s="51" t="e">
        <f t="shared" ref="X40" si="20">X23/X14</f>
        <v>#DIV/0!</v>
      </c>
      <c r="Y40" s="51" t="e">
        <f t="shared" si="18"/>
        <v>#DIV/0!</v>
      </c>
      <c r="Z40" s="19" t="s">
        <v>35</v>
      </c>
      <c r="AA40" s="21" t="e">
        <f t="shared" ref="AA40:AB40" si="21">AA23/AA14</f>
        <v>#DIV/0!</v>
      </c>
      <c r="AB40" s="21" t="e">
        <f t="shared" si="21"/>
        <v>#DIV/0!</v>
      </c>
      <c r="AC40" s="21" t="e">
        <f>AC23/AC14</f>
        <v>#DIV/0!</v>
      </c>
      <c r="AD40" s="21" t="e">
        <f>AD23/AD14</f>
        <v>#DIV/0!</v>
      </c>
    </row>
    <row r="41" spans="4:30" x14ac:dyDescent="0.2">
      <c r="D41" s="19" t="s">
        <v>39</v>
      </c>
      <c r="E41" s="20">
        <f t="shared" ref="E41:Y41" si="22">(E19+E18-E21)/E4</f>
        <v>-3.3325678468666839E-2</v>
      </c>
      <c r="F41" s="20">
        <f t="shared" si="22"/>
        <v>-1.8488177846312001E-2</v>
      </c>
      <c r="G41" s="20">
        <f>(G19+G18-G21)/G4</f>
        <v>-3.7614912151583683E-2</v>
      </c>
      <c r="H41" s="20">
        <f>(H19+H18-H21)/H4</f>
        <v>-6.3621694602693707E-2</v>
      </c>
      <c r="I41" s="19" t="s">
        <v>36</v>
      </c>
      <c r="J41" s="20">
        <f t="shared" si="22"/>
        <v>-1.219976089555483E-2</v>
      </c>
      <c r="K41" s="20">
        <f t="shared" si="22"/>
        <v>-1.0687600491818784E-2</v>
      </c>
      <c r="L41" s="20">
        <f>(L19+L18-L21)/L4</f>
        <v>-4.8674979433758217E-2</v>
      </c>
      <c r="M41" s="20">
        <f t="shared" ref="M41" si="23">(M19+M18-M21)/M4</f>
        <v>-8.0033688679680651E-2</v>
      </c>
      <c r="N41" s="19" t="s">
        <v>36</v>
      </c>
      <c r="O41" s="20">
        <f t="shared" si="22"/>
        <v>0.19601100704264168</v>
      </c>
      <c r="P41" s="20">
        <f t="shared" si="22"/>
        <v>0.15714223480723155</v>
      </c>
      <c r="Q41" s="20">
        <f>(Q19+Q18-Q21)/Q4</f>
        <v>0.19478925868456887</v>
      </c>
      <c r="R41" s="20">
        <f t="shared" ref="R41" si="24">(R19+R18-R21)/R4</f>
        <v>0.200866818614167</v>
      </c>
      <c r="S41" s="19" t="s">
        <v>36</v>
      </c>
      <c r="T41" s="60">
        <f t="shared" ref="T41" si="25">(T19+T18-T21)/T4</f>
        <v>0.16664475806933474</v>
      </c>
      <c r="U41" s="60">
        <f>(U19+U18-U21)/U4</f>
        <v>0.17008885930128223</v>
      </c>
      <c r="V41" s="60">
        <f>(V19+V18-V21)/V4</f>
        <v>0.16016564166704469</v>
      </c>
      <c r="W41" s="49" t="e">
        <f t="shared" si="22"/>
        <v>#DIV/0!</v>
      </c>
      <c r="X41" s="49" t="e">
        <f t="shared" ref="X41" si="26">(X19+X18-X21)/X4</f>
        <v>#DIV/0!</v>
      </c>
      <c r="Y41" s="49" t="e">
        <f t="shared" si="22"/>
        <v>#DIV/0!</v>
      </c>
      <c r="Z41" s="19" t="s">
        <v>39</v>
      </c>
      <c r="AA41" s="20">
        <f t="shared" ref="AA41:AB41" si="27">(AA19+AA18-AA21)/AA4</f>
        <v>0</v>
      </c>
      <c r="AB41" s="20">
        <f t="shared" si="27"/>
        <v>0</v>
      </c>
      <c r="AC41" s="20">
        <f>(AC19+AC18-AC21)/AC4</f>
        <v>0</v>
      </c>
      <c r="AD41" s="20">
        <f>(AD19+AD18-AD21)/AD4</f>
        <v>0</v>
      </c>
    </row>
    <row r="42" spans="4:30" x14ac:dyDescent="0.2">
      <c r="D42" s="19" t="s">
        <v>37</v>
      </c>
      <c r="E42" s="21">
        <f t="shared" ref="E42:Y42" si="28">E4/E18</f>
        <v>11.032339791356184</v>
      </c>
      <c r="F42" s="21">
        <f t="shared" si="28"/>
        <v>8.5410893126629173</v>
      </c>
      <c r="G42" s="21">
        <f>G4/G18</f>
        <v>11.920721008135269</v>
      </c>
      <c r="H42" s="21">
        <f>H4/H18</f>
        <v>11.318300409988819</v>
      </c>
      <c r="I42" s="19" t="s">
        <v>37</v>
      </c>
      <c r="J42" s="21">
        <f t="shared" si="28"/>
        <v>10.324668038152234</v>
      </c>
      <c r="K42" s="21">
        <f t="shared" si="28"/>
        <v>8.1821699427333225</v>
      </c>
      <c r="L42" s="21">
        <f>L4/L18</f>
        <v>11.128060069944455</v>
      </c>
      <c r="M42" s="21">
        <f t="shared" ref="M42" si="29">M4/M18</f>
        <v>10.708673091178651</v>
      </c>
      <c r="N42" s="19" t="s">
        <v>37</v>
      </c>
      <c r="O42" s="21">
        <f t="shared" si="28"/>
        <v>5.1557328669799976</v>
      </c>
      <c r="P42" s="21">
        <f t="shared" si="28"/>
        <v>5.679821848323642</v>
      </c>
      <c r="Q42" s="21">
        <f>Q4/Q18</f>
        <v>5.4048179367592315</v>
      </c>
      <c r="R42" s="21">
        <f t="shared" ref="R42" si="30">R4/R18</f>
        <v>5.0860050658330103</v>
      </c>
      <c r="S42" s="19" t="s">
        <v>37</v>
      </c>
      <c r="T42" s="62">
        <f t="shared" ref="T42" si="31">T4/T18</f>
        <v>5.6754043880769096</v>
      </c>
      <c r="U42" s="62">
        <f>U4/U18</f>
        <v>5.8051886950969518</v>
      </c>
      <c r="V42" s="62">
        <f>V4/V18</f>
        <v>5.8353123581908939</v>
      </c>
      <c r="W42" s="51" t="e">
        <f t="shared" si="28"/>
        <v>#DIV/0!</v>
      </c>
      <c r="X42" s="51" t="e">
        <f t="shared" ref="X42" si="32">X4/X18</f>
        <v>#DIV/0!</v>
      </c>
      <c r="Y42" s="51" t="e">
        <f t="shared" si="28"/>
        <v>#DIV/0!</v>
      </c>
      <c r="Z42" s="19" t="s">
        <v>37</v>
      </c>
      <c r="AA42" s="21" t="e">
        <f t="shared" ref="AA42:AB42" si="33">AA4/AA18</f>
        <v>#DIV/0!</v>
      </c>
      <c r="AB42" s="21" t="e">
        <f t="shared" si="33"/>
        <v>#DIV/0!</v>
      </c>
      <c r="AC42" s="21" t="e">
        <f>AC4/AC18</f>
        <v>#DIV/0!</v>
      </c>
      <c r="AD42" s="21" t="e">
        <f>AD4/AD18</f>
        <v>#DIV/0!</v>
      </c>
    </row>
    <row r="43" spans="4:30" x14ac:dyDescent="0.2">
      <c r="D43" s="19" t="s">
        <v>40</v>
      </c>
      <c r="E43" s="20">
        <f t="shared" ref="E43:F43" si="34">(E14-E17)/E10</f>
        <v>-0.12364411157024793</v>
      </c>
      <c r="F43" s="20">
        <f t="shared" si="34"/>
        <v>-7.2140205473538804E-2</v>
      </c>
      <c r="G43" s="20">
        <f>(G14-G17)/G10</f>
        <v>-8.7779147435713675E-2</v>
      </c>
      <c r="H43" s="20">
        <f>(H14-H17)/H10</f>
        <v>-0.12467691470548224</v>
      </c>
      <c r="I43" s="19" t="s">
        <v>40</v>
      </c>
      <c r="J43" s="20">
        <f t="shared" ref="J43:K43" si="35">(J14-J17)/J10</f>
        <v>2.3587583743664386E-2</v>
      </c>
      <c r="K43" s="20">
        <f t="shared" si="35"/>
        <v>5.6823019969054714E-2</v>
      </c>
      <c r="L43" s="20">
        <f>(L14-L17)/L10</f>
        <v>-1.8583493125535474E-2</v>
      </c>
      <c r="M43" s="20">
        <f>(M14-M17)/M10</f>
        <v>-2.1016745212072595E-2</v>
      </c>
      <c r="N43" s="19" t="s">
        <v>40</v>
      </c>
      <c r="O43" s="20">
        <f t="shared" ref="O43:Y43" si="36">(O14-O17)/O10</f>
        <v>0.38104924960057274</v>
      </c>
      <c r="P43" s="20">
        <f t="shared" si="36"/>
        <v>0.37009140369451887</v>
      </c>
      <c r="Q43" s="20">
        <f>(Q14-Q17)/Q10</f>
        <v>0.3911357159101852</v>
      </c>
      <c r="R43" s="20">
        <f>(R14-R17)/R10</f>
        <v>0.34962805312262379</v>
      </c>
      <c r="S43" s="19" t="s">
        <v>40</v>
      </c>
      <c r="T43" s="60">
        <f t="shared" ref="T43" si="37">(T14-T17)/T10</f>
        <v>0.49386227491753043</v>
      </c>
      <c r="U43" s="60">
        <f>(U14-U17)/U10</f>
        <v>0.50509856565643207</v>
      </c>
      <c r="V43" s="60">
        <f>(V14-V17)/V10</f>
        <v>0.45983544308227497</v>
      </c>
      <c r="W43" s="49" t="e">
        <f t="shared" si="36"/>
        <v>#DIV/0!</v>
      </c>
      <c r="X43" s="49" t="e">
        <f t="shared" ref="X43" si="38">(X14-X17)/X10</f>
        <v>#DIV/0!</v>
      </c>
      <c r="Y43" s="49" t="e">
        <f t="shared" si="36"/>
        <v>#DIV/0!</v>
      </c>
      <c r="Z43" s="19" t="s">
        <v>40</v>
      </c>
      <c r="AA43" s="20" t="e">
        <f t="shared" ref="AA43:AB43" si="39">(AA14-AA17)/AA10</f>
        <v>#DIV/0!</v>
      </c>
      <c r="AB43" s="20" t="e">
        <f t="shared" si="39"/>
        <v>#DIV/0!</v>
      </c>
      <c r="AC43" s="20" t="e">
        <f>(AC14-AC17)/AC10</f>
        <v>#DIV/0!</v>
      </c>
      <c r="AD43" s="20" t="e">
        <f>(AD14-AD17)/AD10</f>
        <v>#DIV/0!</v>
      </c>
    </row>
    <row r="44" spans="4:30" x14ac:dyDescent="0.2">
      <c r="D44" s="8"/>
      <c r="E44" s="9"/>
      <c r="F44" s="9"/>
      <c r="G44" s="9"/>
      <c r="H44" s="9"/>
      <c r="I44" s="10"/>
      <c r="L44" s="10"/>
      <c r="M44" s="10"/>
    </row>
    <row r="45" spans="4:30" x14ac:dyDescent="0.2">
      <c r="D45" s="8"/>
      <c r="E45" s="9"/>
      <c r="F45" s="9"/>
      <c r="G45" s="9"/>
      <c r="H45" s="9"/>
      <c r="I45" s="10"/>
      <c r="L45" s="10"/>
      <c r="M45" s="10"/>
    </row>
    <row r="46" spans="4:30" x14ac:dyDescent="0.2">
      <c r="D46" s="8"/>
      <c r="E46" s="9"/>
      <c r="F46" s="9"/>
      <c r="G46" s="9"/>
      <c r="H46" s="9"/>
      <c r="I46" s="10"/>
      <c r="L46" s="10"/>
      <c r="M46" s="10"/>
    </row>
    <row r="47" spans="4:30" x14ac:dyDescent="0.2">
      <c r="D47" s="8"/>
      <c r="E47" s="9"/>
      <c r="F47" s="9"/>
      <c r="G47" s="9"/>
      <c r="H47" s="9"/>
      <c r="I47" s="10"/>
      <c r="L47" s="10"/>
      <c r="M47" s="10"/>
    </row>
    <row r="48" spans="4:30" x14ac:dyDescent="0.2">
      <c r="D48" s="8"/>
      <c r="E48" s="9"/>
      <c r="F48" s="9"/>
      <c r="G48" s="9"/>
      <c r="H48" s="9"/>
      <c r="I48" s="10"/>
      <c r="L48" s="10"/>
      <c r="M48" s="10"/>
    </row>
    <row r="49" spans="4:13" x14ac:dyDescent="0.2">
      <c r="D49" s="8"/>
      <c r="E49" s="9"/>
      <c r="F49" s="9"/>
      <c r="G49" s="9"/>
      <c r="H49" s="9"/>
      <c r="I49" s="10"/>
      <c r="L49" s="10"/>
      <c r="M49" s="10"/>
    </row>
    <row r="50" spans="4:13" x14ac:dyDescent="0.2">
      <c r="D50" s="8"/>
      <c r="E50" s="9"/>
      <c r="F50" s="9"/>
      <c r="G50" s="9"/>
      <c r="H50" s="9"/>
      <c r="I50" s="10"/>
      <c r="L50" s="10"/>
      <c r="M50" s="10"/>
    </row>
    <row r="51" spans="4:13" x14ac:dyDescent="0.2">
      <c r="D51" s="24" t="s">
        <v>6</v>
      </c>
      <c r="E51" s="4">
        <v>2018</v>
      </c>
      <c r="F51" s="4">
        <v>2017</v>
      </c>
      <c r="G51" s="4">
        <v>2019</v>
      </c>
      <c r="H51" s="4">
        <v>2020</v>
      </c>
      <c r="I51" s="24" t="s">
        <v>8</v>
      </c>
      <c r="J51" s="4">
        <v>2018</v>
      </c>
      <c r="K51" s="4">
        <v>2017</v>
      </c>
      <c r="L51" s="4">
        <v>2019</v>
      </c>
      <c r="M51" s="4">
        <v>2020</v>
      </c>
    </row>
    <row r="52" spans="4:13" x14ac:dyDescent="0.2">
      <c r="D52" s="3" t="s">
        <v>2</v>
      </c>
      <c r="E52" s="34">
        <f>E26</f>
        <v>0.16816372358885373</v>
      </c>
      <c r="F52" s="34">
        <f>F26</f>
        <v>0.14048844726445589</v>
      </c>
      <c r="G52" s="34">
        <f>G26</f>
        <v>0.1643961286179533</v>
      </c>
      <c r="H52" s="34">
        <f>H26</f>
        <v>8.4694646896205081E-2</v>
      </c>
      <c r="I52" s="3" t="s">
        <v>2</v>
      </c>
      <c r="J52" s="34">
        <f>E30</f>
        <v>5.9437772704553742E-2</v>
      </c>
      <c r="K52" s="34">
        <f>F30</f>
        <v>4.9376766897969673E-2</v>
      </c>
      <c r="L52" s="34">
        <f>G30</f>
        <v>6.2464037681818789E-2</v>
      </c>
      <c r="M52" s="34">
        <f>H30</f>
        <v>5.0284848684427175E-2</v>
      </c>
    </row>
    <row r="53" spans="4:13" x14ac:dyDescent="0.2">
      <c r="D53" s="6" t="s">
        <v>1</v>
      </c>
      <c r="E53" s="34">
        <f>J26</f>
        <v>0.14584588202224633</v>
      </c>
      <c r="F53" s="34">
        <f>K26</f>
        <v>0.16724639062276647</v>
      </c>
      <c r="G53" s="34">
        <f>L26</f>
        <v>0.23121185701830863</v>
      </c>
      <c r="H53" s="34">
        <f>M26</f>
        <v>9.2803835891883536E-4</v>
      </c>
      <c r="I53" s="6" t="s">
        <v>1</v>
      </c>
      <c r="J53" s="34">
        <f>J30</f>
        <v>4.4641886751440062E-2</v>
      </c>
      <c r="K53" s="34">
        <f>K30</f>
        <v>5.6086257448217158E-2</v>
      </c>
      <c r="L53" s="34">
        <f>L30</f>
        <v>4.4524758057807312E-2</v>
      </c>
      <c r="M53" s="34">
        <f>M30</f>
        <v>2.4978079283769439E-2</v>
      </c>
    </row>
    <row r="54" spans="4:13" x14ac:dyDescent="0.2">
      <c r="D54" s="7" t="s">
        <v>3</v>
      </c>
      <c r="E54" s="34">
        <f>O26</f>
        <v>0.10356905455847011</v>
      </c>
      <c r="F54" s="34">
        <f>P26</f>
        <v>0.10509089908963393</v>
      </c>
      <c r="G54" s="34">
        <f>Q26</f>
        <v>0.11345642170301898</v>
      </c>
      <c r="H54" s="34">
        <f>R26</f>
        <v>6.8518360342591803E-2</v>
      </c>
      <c r="I54" s="7" t="s">
        <v>3</v>
      </c>
      <c r="J54" s="34">
        <f>O30</f>
        <v>5.9020814164995397E-2</v>
      </c>
      <c r="K54" s="34">
        <f>P30</f>
        <v>6.019603572206491E-2</v>
      </c>
      <c r="L54" s="34">
        <f>Q30</f>
        <v>6.7133221444630922E-2</v>
      </c>
      <c r="M54" s="34">
        <f>R30</f>
        <v>4.3408230290195797E-2</v>
      </c>
    </row>
    <row r="55" spans="4:13" x14ac:dyDescent="0.2">
      <c r="D55" s="11" t="s">
        <v>42</v>
      </c>
      <c r="E55" s="34">
        <f>T26</f>
        <v>0.1147866107519719</v>
      </c>
      <c r="F55" s="9"/>
      <c r="G55" s="34">
        <f>U26</f>
        <v>4.3108798395951685E-2</v>
      </c>
      <c r="H55" s="34">
        <f>V26</f>
        <v>6.4403675620100242E-2</v>
      </c>
      <c r="I55" s="11" t="s">
        <v>42</v>
      </c>
      <c r="J55" s="34">
        <f>T30</f>
        <v>6.651450149974307E-2</v>
      </c>
      <c r="K55" s="9"/>
      <c r="L55" s="34">
        <f>U30</f>
        <v>2.4967437552461721E-2</v>
      </c>
      <c r="M55" s="34">
        <f>V30</f>
        <v>4.2790763986546472E-2</v>
      </c>
    </row>
    <row r="56" spans="4:13" x14ac:dyDescent="0.2">
      <c r="D56" s="71" t="s">
        <v>41</v>
      </c>
      <c r="E56" s="70">
        <f>AVERAGE(E52:E55)</f>
        <v>0.13309131773038552</v>
      </c>
      <c r="F56" s="70">
        <f t="shared" ref="F56" si="40">AVERAGE(F52:F54)</f>
        <v>0.13760857899228543</v>
      </c>
      <c r="G56" s="70">
        <f>AVERAGE(G52:G55)</f>
        <v>0.13804330143380816</v>
      </c>
      <c r="H56" s="70">
        <f>AVERAGE(H52:H55)</f>
        <v>5.4636180304453989E-2</v>
      </c>
      <c r="I56" s="71" t="s">
        <v>41</v>
      </c>
      <c r="J56" s="70">
        <f>AVERAGE(J52:J55)</f>
        <v>5.7403743780183064E-2</v>
      </c>
      <c r="K56" s="70">
        <f t="shared" ref="K56:M56" si="41">AVERAGE(K52:K55)</f>
        <v>5.5219686689417243E-2</v>
      </c>
      <c r="L56" s="70">
        <f t="shared" si="41"/>
        <v>4.9772363684179685E-2</v>
      </c>
      <c r="M56" s="70">
        <f t="shared" si="41"/>
        <v>4.0365480561234721E-2</v>
      </c>
    </row>
    <row r="57" spans="4:13" x14ac:dyDescent="0.2">
      <c r="D57" s="8"/>
      <c r="E57" s="9"/>
      <c r="F57" s="9"/>
      <c r="G57" s="9"/>
      <c r="H57" s="9"/>
      <c r="I57" s="8"/>
      <c r="L57" s="8"/>
      <c r="M57" s="8"/>
    </row>
    <row r="58" spans="4:13" x14ac:dyDescent="0.2">
      <c r="D58" s="25" t="s">
        <v>0</v>
      </c>
      <c r="E58" s="4">
        <v>2018</v>
      </c>
      <c r="F58" s="4">
        <v>2017</v>
      </c>
      <c r="G58" s="4">
        <v>2019</v>
      </c>
      <c r="H58" s="4">
        <v>2020</v>
      </c>
      <c r="I58" s="24" t="s">
        <v>4</v>
      </c>
      <c r="J58" s="4">
        <v>2018</v>
      </c>
      <c r="K58" s="4">
        <v>2017</v>
      </c>
      <c r="L58" s="4">
        <v>2019</v>
      </c>
      <c r="M58" s="4">
        <v>2020</v>
      </c>
    </row>
    <row r="59" spans="4:13" x14ac:dyDescent="0.2">
      <c r="D59" s="3" t="s">
        <v>2</v>
      </c>
      <c r="E59" s="34">
        <f>E29</f>
        <v>7.1022727272727279E-2</v>
      </c>
      <c r="F59" s="34">
        <f>F29</f>
        <v>5.3077786411119744E-2</v>
      </c>
      <c r="G59" s="34">
        <f>G29</f>
        <v>6.6909382793911079E-2</v>
      </c>
      <c r="H59" s="34">
        <f>H29</f>
        <v>4.1545367977145968E-2</v>
      </c>
      <c r="I59" s="3" t="s">
        <v>2</v>
      </c>
      <c r="J59" s="34">
        <f>E32</f>
        <v>9.9895983897767035E-2</v>
      </c>
      <c r="K59" s="34">
        <f>F32</f>
        <v>9.3308275507581598E-2</v>
      </c>
      <c r="L59" s="34">
        <f>G32</f>
        <v>0.11220243272537501</v>
      </c>
      <c r="M59" s="34">
        <f>H32</f>
        <v>0.1171008002107551</v>
      </c>
    </row>
    <row r="60" spans="4:13" x14ac:dyDescent="0.2">
      <c r="D60" s="6" t="s">
        <v>1</v>
      </c>
      <c r="E60" s="34">
        <f>J29</f>
        <v>5.0881050447493109E-2</v>
      </c>
      <c r="F60" s="34">
        <f>K29</f>
        <v>6.1579040280792113E-2</v>
      </c>
      <c r="G60" s="34">
        <f>L29</f>
        <v>4.9131002407082534E-2</v>
      </c>
      <c r="H60" s="34">
        <f>M29</f>
        <v>2.1708613255790633E-2</v>
      </c>
      <c r="I60" s="6" t="s">
        <v>1</v>
      </c>
      <c r="J60" s="34">
        <f>J32</f>
        <v>9.4518711734231792E-2</v>
      </c>
      <c r="K60" s="34">
        <f>K32</f>
        <v>0.10785964248557647</v>
      </c>
      <c r="L60" s="34">
        <f>L32</f>
        <v>9.4854280089104973E-2</v>
      </c>
      <c r="M60" s="34">
        <f>M32</f>
        <v>8.4313996954174172E-2</v>
      </c>
    </row>
    <row r="61" spans="4:13" x14ac:dyDescent="0.2">
      <c r="D61" s="7" t="s">
        <v>3</v>
      </c>
      <c r="E61" s="37">
        <f>O29</f>
        <v>3.0382664419979222E-2</v>
      </c>
      <c r="F61" s="37"/>
      <c r="G61" s="37">
        <f>Q29</f>
        <v>3.4749042659776956E-2</v>
      </c>
      <c r="H61" s="37">
        <f>R29</f>
        <v>1.9462336606894996E-2</v>
      </c>
      <c r="I61" s="7" t="s">
        <v>3</v>
      </c>
      <c r="J61" s="34">
        <f>O32</f>
        <v>0.1546794771230745</v>
      </c>
      <c r="K61" s="34">
        <f>P32</f>
        <v>0.15675887606186015</v>
      </c>
      <c r="L61" s="34">
        <f>Q32</f>
        <v>0.1638707685487191</v>
      </c>
      <c r="M61" s="34">
        <f>R32</f>
        <v>0.16486154232695036</v>
      </c>
    </row>
    <row r="62" spans="4:13" x14ac:dyDescent="0.2">
      <c r="D62" s="11" t="s">
        <v>42</v>
      </c>
      <c r="E62" s="37">
        <f>T29</f>
        <v>3.9528582943622409E-2</v>
      </c>
      <c r="G62" s="37">
        <f>U29</f>
        <v>1.4260774109073596E-2</v>
      </c>
      <c r="H62" s="37">
        <f>V29</f>
        <v>2.3108662861302528E-2</v>
      </c>
      <c r="I62" s="11" t="s">
        <v>42</v>
      </c>
      <c r="J62" s="34">
        <f>T32</f>
        <v>0.10418733045733201</v>
      </c>
      <c r="K62" s="9"/>
      <c r="L62" s="34">
        <f>U32</f>
        <v>6.9837043040319541E-2</v>
      </c>
      <c r="M62" s="34">
        <f>V32</f>
        <v>0.10083663298965063</v>
      </c>
    </row>
    <row r="63" spans="4:13" x14ac:dyDescent="0.2">
      <c r="D63" s="71" t="s">
        <v>41</v>
      </c>
      <c r="E63" s="70">
        <f>AVERAGE(E59:E62)</f>
        <v>4.7953756270955501E-2</v>
      </c>
      <c r="F63" s="70">
        <f t="shared" ref="F63:H63" si="42">AVERAGE(F59:F62)</f>
        <v>5.7328413345955925E-2</v>
      </c>
      <c r="G63" s="70">
        <f t="shared" si="42"/>
        <v>4.1262550492461039E-2</v>
      </c>
      <c r="H63" s="70">
        <f t="shared" si="42"/>
        <v>2.6456245175283534E-2</v>
      </c>
      <c r="I63" s="71" t="s">
        <v>41</v>
      </c>
      <c r="J63" s="70">
        <f>AVERAGE(J59:J62)</f>
        <v>0.11332037580310134</v>
      </c>
      <c r="K63" s="70">
        <f t="shared" ref="K63:M63" si="43">AVERAGE(K59:K62)</f>
        <v>0.11930893135167275</v>
      </c>
      <c r="L63" s="70">
        <f t="shared" si="43"/>
        <v>0.11019113110087966</v>
      </c>
      <c r="M63" s="70">
        <f t="shared" si="43"/>
        <v>0.11677824312038257</v>
      </c>
    </row>
    <row r="65" spans="4:13" x14ac:dyDescent="0.2">
      <c r="D65" s="26" t="s">
        <v>28</v>
      </c>
      <c r="E65" s="28">
        <v>2018</v>
      </c>
      <c r="F65" s="28">
        <v>2017</v>
      </c>
      <c r="G65" s="27">
        <v>2019</v>
      </c>
      <c r="H65" s="4">
        <v>2020</v>
      </c>
      <c r="I65" s="24" t="s">
        <v>9</v>
      </c>
      <c r="J65" s="4">
        <v>2018</v>
      </c>
      <c r="K65" s="4">
        <v>2017</v>
      </c>
      <c r="L65" s="4">
        <v>2019</v>
      </c>
      <c r="M65" s="4">
        <v>2020</v>
      </c>
    </row>
    <row r="66" spans="4:13" x14ac:dyDescent="0.2">
      <c r="D66" s="29" t="s">
        <v>2</v>
      </c>
      <c r="E66" s="38">
        <f>E36</f>
        <v>2.1617842196590793</v>
      </c>
      <c r="F66" s="38">
        <f>F36</f>
        <v>2.4667185442356039</v>
      </c>
      <c r="G66" s="38">
        <f>G36</f>
        <v>2.2001284344754826</v>
      </c>
      <c r="H66" s="38">
        <f>H36</f>
        <v>2.0790818463600571</v>
      </c>
      <c r="I66" s="3" t="s">
        <v>2</v>
      </c>
      <c r="J66" s="36">
        <f>E31</f>
        <v>1.1949089617768596</v>
      </c>
      <c r="K66" s="36">
        <f>F31</f>
        <v>1.074954674954675</v>
      </c>
      <c r="L66" s="36">
        <f>G31</f>
        <v>1.0711664707737294</v>
      </c>
      <c r="M66" s="36">
        <f>H31</f>
        <v>0.82620051693647123</v>
      </c>
    </row>
    <row r="67" spans="4:13" x14ac:dyDescent="0.2">
      <c r="D67" s="31" t="s">
        <v>1</v>
      </c>
      <c r="E67" s="38">
        <f>J36</f>
        <v>2.8900132514154921</v>
      </c>
      <c r="F67" s="38">
        <f>K36</f>
        <v>3.5885071711059227</v>
      </c>
      <c r="G67" s="38">
        <f>L36</f>
        <v>2.4191455972101132</v>
      </c>
      <c r="H67" s="38">
        <f>M36</f>
        <v>2.8563860639573102</v>
      </c>
      <c r="I67" s="6" t="s">
        <v>1</v>
      </c>
      <c r="J67" s="36">
        <f>J31</f>
        <v>1.1397603047288718</v>
      </c>
      <c r="K67" s="36">
        <f>K31</f>
        <v>1.0979345579912565</v>
      </c>
      <c r="L67" s="36">
        <f>L31</f>
        <v>1.1034535514666883</v>
      </c>
      <c r="M67" s="36">
        <f>M31</f>
        <v>0.86910658778702499</v>
      </c>
    </row>
    <row r="68" spans="4:13" x14ac:dyDescent="0.2">
      <c r="D68" s="32" t="s">
        <v>3</v>
      </c>
      <c r="E68" s="38">
        <f>O36</f>
        <v>2.9044502394709482</v>
      </c>
      <c r="F68" s="38">
        <f>P36</f>
        <v>2.8705960009901261</v>
      </c>
      <c r="G68" s="38">
        <f>Q36</f>
        <v>2.9471658134588479</v>
      </c>
      <c r="H68" s="38">
        <f>R36</f>
        <v>2.8600902293004511</v>
      </c>
      <c r="I68" s="7" t="s">
        <v>3</v>
      </c>
      <c r="J68" s="36">
        <f>O31</f>
        <v>0.51477880896463213</v>
      </c>
      <c r="K68" s="36">
        <f>P31</f>
        <v>0.54370868299569153</v>
      </c>
      <c r="L68" s="36">
        <f>Q31</f>
        <v>0.51761321610995126</v>
      </c>
      <c r="M68" s="36">
        <f>R31</f>
        <v>0.44835591031433436</v>
      </c>
    </row>
    <row r="69" spans="4:13" x14ac:dyDescent="0.2">
      <c r="D69" s="11" t="s">
        <v>42</v>
      </c>
      <c r="E69" s="38">
        <f>T36</f>
        <v>3.2635308010234207</v>
      </c>
      <c r="F69" s="30"/>
      <c r="G69" s="38">
        <f>U36</f>
        <v>3.8127496379752071</v>
      </c>
      <c r="H69" s="38">
        <f>V36</f>
        <v>3.5903000899627298</v>
      </c>
      <c r="I69" s="11" t="s">
        <v>42</v>
      </c>
      <c r="J69" s="36">
        <f>T31</f>
        <v>0.59428518672390718</v>
      </c>
      <c r="K69" s="9"/>
      <c r="L69" s="36">
        <f>U31</f>
        <v>0.57117491849569169</v>
      </c>
      <c r="M69" s="36">
        <f>V31</f>
        <v>0.54003856693392871</v>
      </c>
    </row>
    <row r="70" spans="4:13" x14ac:dyDescent="0.2">
      <c r="D70" s="71" t="s">
        <v>41</v>
      </c>
      <c r="E70" s="72">
        <f>AVERAGE(E66:E69)</f>
        <v>2.8049446278922354</v>
      </c>
      <c r="F70" s="72">
        <f t="shared" ref="F70:H70" si="44">AVERAGE(F66:F69)</f>
        <v>2.9752739054438844</v>
      </c>
      <c r="G70" s="72">
        <f t="shared" si="44"/>
        <v>2.8447973707799123</v>
      </c>
      <c r="H70" s="72">
        <f t="shared" si="44"/>
        <v>2.8464645573951373</v>
      </c>
      <c r="I70" s="71" t="s">
        <v>41</v>
      </c>
      <c r="J70" s="72">
        <f>AVERAGE(J66:J69)</f>
        <v>0.86093331554856756</v>
      </c>
      <c r="K70" s="72">
        <f t="shared" ref="K70:M70" si="45">AVERAGE(K66:K69)</f>
        <v>0.90553263864720768</v>
      </c>
      <c r="L70" s="72">
        <f t="shared" si="45"/>
        <v>0.81585203921151506</v>
      </c>
      <c r="M70" s="72">
        <f t="shared" si="45"/>
        <v>0.67092539549293984</v>
      </c>
    </row>
    <row r="74" spans="4:13" x14ac:dyDescent="0.2">
      <c r="D74" s="25" t="s">
        <v>31</v>
      </c>
      <c r="E74" s="4">
        <v>2018</v>
      </c>
      <c r="F74" s="4">
        <v>2017</v>
      </c>
      <c r="G74" s="4">
        <v>2019</v>
      </c>
      <c r="H74" s="4">
        <v>2020</v>
      </c>
    </row>
    <row r="75" spans="4:13" x14ac:dyDescent="0.2">
      <c r="D75" s="3" t="s">
        <v>2</v>
      </c>
      <c r="E75" s="39">
        <f t="shared" ref="E75:F76" si="46">E59/E$63</f>
        <v>1.4810670278137132</v>
      </c>
      <c r="F75" s="39">
        <f t="shared" si="46"/>
        <v>0.9258547954365105</v>
      </c>
      <c r="G75" s="39">
        <f t="shared" ref="G75:H77" si="47">G59/G$63</f>
        <v>1.6215522791334942</v>
      </c>
      <c r="H75" s="39">
        <f t="shared" si="47"/>
        <v>1.5703425675824658</v>
      </c>
    </row>
    <row r="76" spans="4:13" x14ac:dyDescent="0.2">
      <c r="D76" s="6" t="s">
        <v>1</v>
      </c>
      <c r="E76" s="39">
        <f t="shared" si="46"/>
        <v>1.0610441059089797</v>
      </c>
      <c r="F76" s="39">
        <f t="shared" si="46"/>
        <v>1.0741452045634896</v>
      </c>
      <c r="G76" s="39">
        <f t="shared" si="47"/>
        <v>1.1906923304718917</v>
      </c>
      <c r="H76" s="39">
        <f t="shared" si="47"/>
        <v>0.82054778038085596</v>
      </c>
    </row>
    <row r="77" spans="4:13" x14ac:dyDescent="0.2">
      <c r="D77" s="7" t="s">
        <v>3</v>
      </c>
      <c r="E77" s="39">
        <f>E61/E$63</f>
        <v>0.63358257585300592</v>
      </c>
      <c r="F77" s="39">
        <f>F61/F$63</f>
        <v>0</v>
      </c>
      <c r="G77" s="39">
        <f t="shared" si="47"/>
        <v>0.84214480794457558</v>
      </c>
      <c r="H77" s="39">
        <f t="shared" si="47"/>
        <v>0.73564243444029909</v>
      </c>
    </row>
    <row r="78" spans="4:13" x14ac:dyDescent="0.2">
      <c r="D78" s="11" t="s">
        <v>42</v>
      </c>
      <c r="E78" s="39">
        <f>E62/E$63</f>
        <v>0.82430629042430137</v>
      </c>
      <c r="F78" s="39">
        <f t="shared" ref="F78:H78" si="48">F62/F$63</f>
        <v>0</v>
      </c>
      <c r="G78" s="39">
        <f t="shared" si="48"/>
        <v>0.34561058245003884</v>
      </c>
      <c r="H78" s="39">
        <f t="shared" si="48"/>
        <v>0.8734672175963788</v>
      </c>
    </row>
    <row r="80" spans="4:13" x14ac:dyDescent="0.2">
      <c r="D80" s="26" t="s">
        <v>30</v>
      </c>
      <c r="E80" s="28">
        <v>2018</v>
      </c>
      <c r="F80" s="28">
        <v>2017</v>
      </c>
      <c r="G80" s="27">
        <v>2019</v>
      </c>
      <c r="H80" s="4">
        <v>2020</v>
      </c>
    </row>
    <row r="81" spans="4:8" x14ac:dyDescent="0.2">
      <c r="D81" s="29" t="s">
        <v>2</v>
      </c>
      <c r="E81" s="38">
        <f t="shared" ref="E81:F83" si="49">E66/E$70</f>
        <v>0.77070477547485261</v>
      </c>
      <c r="F81" s="38">
        <f t="shared" si="49"/>
        <v>0.82907275855249085</v>
      </c>
      <c r="G81" s="38">
        <f t="shared" ref="G81:H83" si="50">G66/G$70</f>
        <v>0.77338669427703699</v>
      </c>
      <c r="H81" s="38">
        <f t="shared" si="50"/>
        <v>0.73040847846096879</v>
      </c>
    </row>
    <row r="82" spans="4:8" x14ac:dyDescent="0.2">
      <c r="D82" s="31" t="s">
        <v>1</v>
      </c>
      <c r="E82" s="38">
        <f t="shared" si="49"/>
        <v>1.0303280937089947</v>
      </c>
      <c r="F82" s="38">
        <f t="shared" si="49"/>
        <v>1.2061098524542564</v>
      </c>
      <c r="G82" s="38">
        <f t="shared" si="50"/>
        <v>0.85037536313065942</v>
      </c>
      <c r="H82" s="38">
        <f t="shared" si="50"/>
        <v>1.0034855542242382</v>
      </c>
    </row>
    <row r="83" spans="4:8" x14ac:dyDescent="0.2">
      <c r="D83" s="32" t="s">
        <v>3</v>
      </c>
      <c r="E83" s="38">
        <f t="shared" si="49"/>
        <v>1.0354750716250274</v>
      </c>
      <c r="F83" s="38">
        <f t="shared" si="49"/>
        <v>0.96481738899325264</v>
      </c>
      <c r="G83" s="38">
        <f t="shared" si="50"/>
        <v>1.0359844408358936</v>
      </c>
      <c r="H83" s="38">
        <f t="shared" si="50"/>
        <v>1.0047868756594611</v>
      </c>
    </row>
    <row r="84" spans="4:8" x14ac:dyDescent="0.2">
      <c r="D84" s="11" t="s">
        <v>42</v>
      </c>
      <c r="E84" s="38">
        <f>E69/E70</f>
        <v>1.1634920591911249</v>
      </c>
      <c r="F84" s="38">
        <f t="shared" ref="F84:H84" si="51">F69/F70</f>
        <v>0</v>
      </c>
      <c r="G84" s="38">
        <f t="shared" si="51"/>
        <v>1.3402535017564103</v>
      </c>
      <c r="H84" s="38">
        <f t="shared" si="51"/>
        <v>1.2613190916553314</v>
      </c>
    </row>
    <row r="89" spans="4:8" x14ac:dyDescent="0.2">
      <c r="D89" s="25" t="s">
        <v>26</v>
      </c>
      <c r="E89" s="4">
        <v>2018</v>
      </c>
      <c r="F89" s="4">
        <v>2017</v>
      </c>
      <c r="G89" s="4">
        <v>2019</v>
      </c>
      <c r="H89" s="4">
        <v>2020</v>
      </c>
    </row>
    <row r="90" spans="4:8" x14ac:dyDescent="0.2">
      <c r="D90" s="3" t="s">
        <v>2</v>
      </c>
      <c r="E90" s="39">
        <v>0.93813745750283317</v>
      </c>
      <c r="F90" s="39">
        <v>0.89726212151864593</v>
      </c>
      <c r="G90" s="39">
        <v>0.98823343848580447</v>
      </c>
      <c r="H90" s="39">
        <f>H39</f>
        <v>1.1440301171583422</v>
      </c>
    </row>
    <row r="91" spans="4:8" x14ac:dyDescent="0.2">
      <c r="D91" s="6" t="s">
        <v>1</v>
      </c>
      <c r="E91" s="39">
        <v>0.82394457115806685</v>
      </c>
      <c r="F91" s="39">
        <v>0.76739512153842904</v>
      </c>
      <c r="G91" s="39">
        <v>0.80573880149467181</v>
      </c>
      <c r="H91" s="39">
        <f>M39</f>
        <v>1.0260265901580552</v>
      </c>
    </row>
    <row r="92" spans="4:8" x14ac:dyDescent="0.2">
      <c r="D92" s="7" t="s">
        <v>3</v>
      </c>
      <c r="E92" s="41">
        <v>1.0926843208230139</v>
      </c>
      <c r="F92" s="41">
        <v>0.99827294889300389</v>
      </c>
      <c r="G92" s="41">
        <v>1.1163562087611063</v>
      </c>
      <c r="H92" s="41">
        <f>R39</f>
        <v>1.1785502690284746</v>
      </c>
    </row>
    <row r="93" spans="4:8" x14ac:dyDescent="0.2">
      <c r="D93" s="11" t="s">
        <v>42</v>
      </c>
      <c r="E93" s="41">
        <f>T39</f>
        <v>1.2415570891865404</v>
      </c>
      <c r="F93" s="41"/>
      <c r="G93" s="41">
        <f>U39</f>
        <v>1.2079166745430143</v>
      </c>
      <c r="H93" s="41">
        <f>V39</f>
        <v>1.1548457553928002</v>
      </c>
    </row>
    <row r="95" spans="4:8" x14ac:dyDescent="0.2">
      <c r="D95" s="25" t="s">
        <v>35</v>
      </c>
      <c r="E95" s="4">
        <v>2018</v>
      </c>
      <c r="F95" s="4">
        <v>2017</v>
      </c>
      <c r="G95" s="4">
        <v>2019</v>
      </c>
      <c r="H95" s="4">
        <v>2020</v>
      </c>
    </row>
    <row r="96" spans="4:8" x14ac:dyDescent="0.2">
      <c r="D96" s="3" t="s">
        <v>2</v>
      </c>
      <c r="E96" s="39">
        <v>1.080994076744785</v>
      </c>
      <c r="F96" s="39">
        <v>0.7074909279419388</v>
      </c>
      <c r="G96" s="39">
        <v>0.74344521308395251</v>
      </c>
      <c r="H96" s="39">
        <f>H40</f>
        <v>0.45177738927738925</v>
      </c>
    </row>
    <row r="97" spans="4:13" x14ac:dyDescent="0.2">
      <c r="D97" s="6" t="s">
        <v>1</v>
      </c>
      <c r="E97" s="39">
        <v>0.67512724804886326</v>
      </c>
      <c r="F97" s="39">
        <v>0.57344008834897842</v>
      </c>
      <c r="G97" s="39">
        <v>0.79143656857553524</v>
      </c>
      <c r="H97" s="39">
        <f>M40</f>
        <v>0.42220689655172416</v>
      </c>
    </row>
    <row r="98" spans="4:13" x14ac:dyDescent="0.2">
      <c r="D98" s="7" t="s">
        <v>3</v>
      </c>
      <c r="E98" s="41">
        <v>3.5731483210330289E-2</v>
      </c>
      <c r="F98" s="41">
        <v>-6.7827848912751067E-3</v>
      </c>
      <c r="G98" s="41">
        <v>8.2937853107344639E-2</v>
      </c>
      <c r="H98" s="41">
        <f>R40</f>
        <v>0.11988118278016889</v>
      </c>
    </row>
    <row r="99" spans="4:13" x14ac:dyDescent="0.2">
      <c r="D99" s="11" t="s">
        <v>42</v>
      </c>
      <c r="E99" s="41">
        <f>T40</f>
        <v>2.2138458956717055E-3</v>
      </c>
      <c r="F99" s="41"/>
      <c r="G99" s="41">
        <f>U40</f>
        <v>4.5955582484677591E-2</v>
      </c>
      <c r="H99" s="41">
        <f>V40</f>
        <v>0.1445998445998446</v>
      </c>
    </row>
    <row r="101" spans="4:13" x14ac:dyDescent="0.2">
      <c r="D101" s="25" t="s">
        <v>39</v>
      </c>
      <c r="E101" s="4">
        <v>2018</v>
      </c>
      <c r="F101" s="4">
        <v>2017</v>
      </c>
      <c r="G101" s="4">
        <v>2019</v>
      </c>
      <c r="H101" s="4">
        <v>2020</v>
      </c>
      <c r="I101" s="25" t="s">
        <v>37</v>
      </c>
      <c r="J101" s="4">
        <v>2018</v>
      </c>
      <c r="K101" s="4">
        <v>2017</v>
      </c>
      <c r="L101" s="4">
        <v>2019</v>
      </c>
      <c r="M101" s="4">
        <v>2020</v>
      </c>
    </row>
    <row r="102" spans="4:13" x14ac:dyDescent="0.2">
      <c r="D102" s="3" t="s">
        <v>2</v>
      </c>
      <c r="E102" s="34">
        <v>-3.3325678468666839E-2</v>
      </c>
      <c r="F102" s="34">
        <v>-1.8488177846312001E-2</v>
      </c>
      <c r="G102" s="34">
        <v>-3.7614912151583683E-2</v>
      </c>
      <c r="H102" s="34">
        <f>H41</f>
        <v>-6.3621694602693707E-2</v>
      </c>
      <c r="I102" s="3" t="s">
        <v>2</v>
      </c>
      <c r="J102" s="39">
        <v>11.032339791356184</v>
      </c>
      <c r="K102" s="39">
        <v>8.5410893126629173</v>
      </c>
      <c r="L102" s="39">
        <v>11.920721008135269</v>
      </c>
      <c r="M102" s="39">
        <f>H42</f>
        <v>11.318300409988819</v>
      </c>
    </row>
    <row r="103" spans="4:13" x14ac:dyDescent="0.2">
      <c r="D103" s="6" t="s">
        <v>1</v>
      </c>
      <c r="E103" s="34">
        <v>-1.219976089555483E-2</v>
      </c>
      <c r="F103" s="34">
        <v>-1.0687600491818784E-2</v>
      </c>
      <c r="G103" s="34">
        <v>-4.8674979433758217E-2</v>
      </c>
      <c r="H103" s="34">
        <f>M41</f>
        <v>-8.0033688679680651E-2</v>
      </c>
      <c r="I103" s="6" t="s">
        <v>1</v>
      </c>
      <c r="J103" s="39">
        <v>10.324668038152234</v>
      </c>
      <c r="K103" s="39">
        <v>8.1821699427333225</v>
      </c>
      <c r="L103" s="39">
        <v>11.128060069944455</v>
      </c>
      <c r="M103" s="39">
        <f>M42</f>
        <v>10.708673091178651</v>
      </c>
    </row>
    <row r="104" spans="4:13" x14ac:dyDescent="0.2">
      <c r="D104" s="7" t="s">
        <v>3</v>
      </c>
      <c r="E104" s="37">
        <v>0.19601100704264168</v>
      </c>
      <c r="F104" s="37">
        <v>0.15714223480723155</v>
      </c>
      <c r="G104" s="37">
        <v>0.19478925868456887</v>
      </c>
      <c r="H104" s="37">
        <f>R41</f>
        <v>0.200866818614167</v>
      </c>
      <c r="I104" s="7" t="s">
        <v>3</v>
      </c>
      <c r="J104" s="41">
        <v>5.1557328669799976</v>
      </c>
      <c r="K104" s="41">
        <v>5.679821848323642</v>
      </c>
      <c r="L104" s="41">
        <v>5.4048179367592315</v>
      </c>
      <c r="M104" s="41">
        <f>R42</f>
        <v>5.0860050658330103</v>
      </c>
    </row>
    <row r="105" spans="4:13" x14ac:dyDescent="0.2">
      <c r="D105" s="11" t="s">
        <v>42</v>
      </c>
      <c r="E105" s="37">
        <f>T41</f>
        <v>0.16664475806933474</v>
      </c>
      <c r="F105" s="37"/>
      <c r="G105" s="37">
        <f>U41</f>
        <v>0.17008885930128223</v>
      </c>
      <c r="H105" s="37">
        <f>V41</f>
        <v>0.16016564166704469</v>
      </c>
      <c r="I105" s="11" t="s">
        <v>42</v>
      </c>
      <c r="J105" s="41">
        <f>T42</f>
        <v>5.6754043880769096</v>
      </c>
      <c r="K105" s="41"/>
      <c r="L105" s="41">
        <f>U42</f>
        <v>5.8051886950969518</v>
      </c>
      <c r="M105" s="41">
        <f>V42</f>
        <v>5.8353123581908939</v>
      </c>
    </row>
    <row r="107" spans="4:13" x14ac:dyDescent="0.2">
      <c r="D107" s="25" t="s">
        <v>40</v>
      </c>
      <c r="E107" s="4">
        <v>2018</v>
      </c>
      <c r="F107" s="4">
        <v>2017</v>
      </c>
      <c r="G107" s="4">
        <v>2019</v>
      </c>
      <c r="H107" s="4">
        <v>2020</v>
      </c>
    </row>
    <row r="108" spans="4:13" x14ac:dyDescent="0.2">
      <c r="D108" s="3" t="s">
        <v>2</v>
      </c>
      <c r="E108" s="34">
        <v>-0.12364411157024793</v>
      </c>
      <c r="F108" s="34">
        <v>-7.2140205473538804E-2</v>
      </c>
      <c r="G108" s="34">
        <v>-8.7779147435713675E-2</v>
      </c>
      <c r="H108" s="34">
        <f>H43</f>
        <v>-0.12467691470548224</v>
      </c>
    </row>
    <row r="109" spans="4:13" x14ac:dyDescent="0.2">
      <c r="D109" s="6" t="s">
        <v>1</v>
      </c>
      <c r="E109" s="34">
        <v>2.3587583743664386E-2</v>
      </c>
      <c r="F109" s="34">
        <v>5.6823019969054714E-2</v>
      </c>
      <c r="G109" s="34">
        <v>-1.8583493125535474E-2</v>
      </c>
      <c r="H109" s="34">
        <f>M43</f>
        <v>-2.1016745212072595E-2</v>
      </c>
    </row>
    <row r="110" spans="4:13" x14ac:dyDescent="0.2">
      <c r="D110" s="7" t="s">
        <v>3</v>
      </c>
      <c r="E110" s="37">
        <v>0.38104924960057274</v>
      </c>
      <c r="F110" s="37">
        <v>0.37009140369451887</v>
      </c>
      <c r="G110" s="37">
        <v>0.3911357159101852</v>
      </c>
      <c r="H110" s="37">
        <f>R43</f>
        <v>0.34962805312262379</v>
      </c>
    </row>
    <row r="111" spans="4:13" x14ac:dyDescent="0.2">
      <c r="D111" s="11" t="s">
        <v>42</v>
      </c>
      <c r="E111" s="37">
        <f>T43</f>
        <v>0.49386227491753043</v>
      </c>
      <c r="F111" s="37"/>
      <c r="G111" s="37">
        <f>U43</f>
        <v>0.50509856565643207</v>
      </c>
      <c r="H111" s="37">
        <f>V43</f>
        <v>0.45983544308227497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566D-ED93-7F4D-89E1-F594CA0EDF9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7C18-7BE3-084D-8F7D-2C1B86B356BB}">
  <sheetPr>
    <tabColor rgb="FF00B050"/>
  </sheetPr>
  <dimension ref="D1:AD111"/>
  <sheetViews>
    <sheetView topLeftCell="A47" zoomScale="75" zoomScaleNormal="118" workbookViewId="0">
      <selection activeCell="T27" sqref="T27"/>
    </sheetView>
  </sheetViews>
  <sheetFormatPr baseColWidth="10" defaultColWidth="10.83203125" defaultRowHeight="16" x14ac:dyDescent="0.2"/>
  <cols>
    <col min="4" max="4" width="29.6640625" bestFit="1" customWidth="1"/>
    <col min="5" max="5" width="12" style="1" hidden="1" customWidth="1"/>
    <col min="6" max="7" width="12.6640625" style="1" customWidth="1"/>
    <col min="8" max="8" width="12.1640625" style="1" bestFit="1" customWidth="1"/>
    <col min="9" max="9" width="29.6640625" customWidth="1"/>
    <col min="10" max="10" width="13" hidden="1" customWidth="1"/>
    <col min="11" max="13" width="13" customWidth="1"/>
    <col min="14" max="14" width="29.6640625" bestFit="1" customWidth="1"/>
    <col min="15" max="15" width="13" hidden="1" customWidth="1"/>
    <col min="16" max="18" width="13" bestFit="1" customWidth="1"/>
    <col min="19" max="19" width="29.6640625" bestFit="1" customWidth="1"/>
    <col min="20" max="22" width="13" customWidth="1"/>
    <col min="23" max="25" width="13" hidden="1" customWidth="1"/>
    <col min="26" max="26" width="25.5" hidden="1" customWidth="1"/>
    <col min="27" max="30" width="0" hidden="1" customWidth="1"/>
  </cols>
  <sheetData>
    <row r="1" spans="4:30" x14ac:dyDescent="0.2">
      <c r="T1" s="8"/>
      <c r="U1" s="8"/>
      <c r="AA1" s="1"/>
      <c r="AB1" s="1"/>
      <c r="AC1" s="1"/>
      <c r="AD1" s="1"/>
    </row>
    <row r="2" spans="4:30" x14ac:dyDescent="0.2">
      <c r="D2" s="2"/>
      <c r="E2" s="4">
        <v>2017</v>
      </c>
      <c r="F2" s="4">
        <v>2020</v>
      </c>
      <c r="G2" s="4">
        <v>2019</v>
      </c>
      <c r="H2" s="4">
        <v>2018</v>
      </c>
      <c r="I2" s="2"/>
      <c r="J2" s="4">
        <v>2017</v>
      </c>
      <c r="K2" s="4">
        <v>2020</v>
      </c>
      <c r="L2" s="4">
        <v>2019</v>
      </c>
      <c r="M2" s="4">
        <v>2018</v>
      </c>
      <c r="N2" s="2"/>
      <c r="O2" s="4">
        <v>2017</v>
      </c>
      <c r="P2" s="4">
        <v>2020</v>
      </c>
      <c r="Q2" s="4">
        <v>2019</v>
      </c>
      <c r="R2" s="4">
        <v>2018</v>
      </c>
      <c r="S2" s="2"/>
      <c r="T2" s="56">
        <v>2020</v>
      </c>
      <c r="U2" s="56">
        <v>2019</v>
      </c>
      <c r="V2" s="56">
        <v>2018</v>
      </c>
      <c r="W2" s="45">
        <v>2018</v>
      </c>
      <c r="X2" s="45">
        <v>2019</v>
      </c>
      <c r="Y2" s="45">
        <v>2020</v>
      </c>
      <c r="Z2" s="2"/>
      <c r="AA2" s="4">
        <v>2018</v>
      </c>
      <c r="AB2" s="4">
        <v>2017</v>
      </c>
      <c r="AC2" s="4">
        <v>2019</v>
      </c>
      <c r="AD2" s="4">
        <v>2020</v>
      </c>
    </row>
    <row r="3" spans="4:30" x14ac:dyDescent="0.2">
      <c r="D3" s="3" t="s">
        <v>2</v>
      </c>
      <c r="E3" s="5" t="s">
        <v>21</v>
      </c>
      <c r="F3" s="5" t="s">
        <v>21</v>
      </c>
      <c r="G3" s="5" t="s">
        <v>21</v>
      </c>
      <c r="H3" s="5" t="s">
        <v>21</v>
      </c>
      <c r="I3" s="6" t="s">
        <v>1</v>
      </c>
      <c r="J3" s="5" t="s">
        <v>21</v>
      </c>
      <c r="K3" s="5" t="s">
        <v>21</v>
      </c>
      <c r="L3" s="5" t="s">
        <v>21</v>
      </c>
      <c r="M3" s="5" t="s">
        <v>21</v>
      </c>
      <c r="N3" s="7" t="s">
        <v>3</v>
      </c>
      <c r="O3" s="5" t="s">
        <v>21</v>
      </c>
      <c r="P3" s="5" t="s">
        <v>21</v>
      </c>
      <c r="Q3" s="5" t="s">
        <v>21</v>
      </c>
      <c r="R3" s="5" t="s">
        <v>21</v>
      </c>
      <c r="S3" s="11" t="s">
        <v>43</v>
      </c>
      <c r="T3" s="57" t="s">
        <v>21</v>
      </c>
      <c r="U3" s="57" t="s">
        <v>21</v>
      </c>
      <c r="V3" s="57" t="s">
        <v>21</v>
      </c>
      <c r="W3" s="46" t="s">
        <v>21</v>
      </c>
      <c r="X3" s="46" t="s">
        <v>21</v>
      </c>
      <c r="Y3" s="46" t="s">
        <v>21</v>
      </c>
      <c r="Z3" s="11" t="s">
        <v>42</v>
      </c>
      <c r="AA3" s="5" t="s">
        <v>21</v>
      </c>
      <c r="AB3" s="5" t="s">
        <v>21</v>
      </c>
      <c r="AC3" s="5" t="s">
        <v>21</v>
      </c>
      <c r="AD3" s="5" t="s">
        <v>21</v>
      </c>
    </row>
    <row r="4" spans="4:30" x14ac:dyDescent="0.2">
      <c r="D4" s="12" t="s">
        <v>10</v>
      </c>
      <c r="E4" s="44">
        <v>62256</v>
      </c>
      <c r="F4" s="13">
        <v>60734</v>
      </c>
      <c r="G4" s="13">
        <v>74731</v>
      </c>
      <c r="H4" s="13">
        <v>74027</v>
      </c>
      <c r="I4" s="12" t="s">
        <v>10</v>
      </c>
      <c r="J4" s="40">
        <v>105730</v>
      </c>
      <c r="K4" s="13">
        <v>86676</v>
      </c>
      <c r="L4" s="13">
        <v>108187</v>
      </c>
      <c r="M4" s="13">
        <v>110412</v>
      </c>
      <c r="N4" s="12" t="s">
        <v>10</v>
      </c>
      <c r="O4" s="40">
        <v>229550</v>
      </c>
      <c r="P4" s="13">
        <v>222884</v>
      </c>
      <c r="Q4" s="13">
        <v>252632</v>
      </c>
      <c r="R4" s="13">
        <v>235849</v>
      </c>
      <c r="S4" s="66" t="s">
        <v>10</v>
      </c>
      <c r="T4" s="68">
        <v>154309</v>
      </c>
      <c r="U4" s="68">
        <v>172745</v>
      </c>
      <c r="V4" s="68">
        <v>167362</v>
      </c>
      <c r="W4" s="47"/>
      <c r="X4" s="47"/>
      <c r="Y4" s="47"/>
      <c r="Z4" s="12" t="s">
        <v>10</v>
      </c>
      <c r="AA4" s="55">
        <v>154.309</v>
      </c>
      <c r="AB4" s="55">
        <v>172.745</v>
      </c>
      <c r="AC4" s="55">
        <v>167.36199999999999</v>
      </c>
      <c r="AD4" s="55">
        <v>164.154</v>
      </c>
    </row>
    <row r="5" spans="4:30" x14ac:dyDescent="0.2">
      <c r="D5" s="14" t="s">
        <v>11</v>
      </c>
      <c r="E5" s="44">
        <f>E6+2735</f>
        <v>5809</v>
      </c>
      <c r="F5" s="42">
        <f>F6+4058</f>
        <v>7112</v>
      </c>
      <c r="G5" s="13">
        <f>G6+3717</f>
        <v>8385</v>
      </c>
      <c r="H5" s="13">
        <f>H6+2995</f>
        <v>7395</v>
      </c>
      <c r="I5" s="14" t="s">
        <v>11</v>
      </c>
      <c r="J5" s="40">
        <f>J6+5474</f>
        <v>11404</v>
      </c>
      <c r="K5" s="42">
        <f>K6+5143</f>
        <v>7308</v>
      </c>
      <c r="L5" s="13">
        <f>L6+5445</f>
        <v>10262</v>
      </c>
      <c r="M5" s="13">
        <f>M6+5507</f>
        <v>10436</v>
      </c>
      <c r="N5" s="14" t="s">
        <v>11</v>
      </c>
      <c r="O5" s="40">
        <f>O6+10562+3734+136+7734</f>
        <v>35984</v>
      </c>
      <c r="P5" s="43">
        <f>P6+12765+4637+454+9214</f>
        <v>36745</v>
      </c>
      <c r="Q5" s="13">
        <f>Q6+12046+3665+300+8428</f>
        <v>41399</v>
      </c>
      <c r="R5" s="13">
        <f>R6+11034+3668+170+7689</f>
        <v>36481</v>
      </c>
      <c r="S5" s="67" t="s">
        <v>11</v>
      </c>
      <c r="T5" s="68">
        <v>15560</v>
      </c>
      <c r="U5" s="68">
        <v>12064</v>
      </c>
      <c r="V5" s="68">
        <f>V6+6305</f>
        <v>17437</v>
      </c>
      <c r="W5" s="47"/>
      <c r="X5" s="47"/>
      <c r="Y5" s="47"/>
      <c r="Z5" s="14" t="s">
        <v>11</v>
      </c>
      <c r="AA5" s="55">
        <v>24.693000000000001</v>
      </c>
      <c r="AB5" s="55">
        <v>28.545000000000002</v>
      </c>
      <c r="AC5" s="55">
        <v>28.545000000000002</v>
      </c>
      <c r="AD5" s="42">
        <v>24.27</v>
      </c>
    </row>
    <row r="6" spans="4:30" x14ac:dyDescent="0.2">
      <c r="D6" s="12" t="s">
        <v>5</v>
      </c>
      <c r="E6" s="44">
        <v>3074</v>
      </c>
      <c r="F6" s="13">
        <v>3054</v>
      </c>
      <c r="G6" s="13">
        <v>4668</v>
      </c>
      <c r="H6" s="13">
        <v>4400</v>
      </c>
      <c r="I6" s="12" t="s">
        <v>5</v>
      </c>
      <c r="J6" s="40">
        <f>J4-89710-7177-2903+76-86</f>
        <v>5930</v>
      </c>
      <c r="K6" s="13">
        <f>K4-75962-5501-2979+4-73</f>
        <v>2165</v>
      </c>
      <c r="L6" s="13">
        <f>L4-93164-6455-3612+15-154</f>
        <v>4817</v>
      </c>
      <c r="M6" s="13">
        <f>M4-95011-7318-3051-103</f>
        <v>4929</v>
      </c>
      <c r="N6" s="12" t="s">
        <v>5</v>
      </c>
      <c r="O6" s="40">
        <v>13818</v>
      </c>
      <c r="P6" s="13">
        <v>9675</v>
      </c>
      <c r="Q6" s="13">
        <v>16960</v>
      </c>
      <c r="R6" s="13">
        <v>13920</v>
      </c>
      <c r="S6" s="66" t="s">
        <v>5</v>
      </c>
      <c r="T6" s="68">
        <v>6603</v>
      </c>
      <c r="U6" s="68">
        <v>4313</v>
      </c>
      <c r="V6" s="68">
        <v>11132</v>
      </c>
      <c r="W6" s="47"/>
      <c r="X6" s="47"/>
      <c r="Y6" s="47"/>
      <c r="Z6" s="12" t="s">
        <v>5</v>
      </c>
      <c r="AA6" s="13"/>
      <c r="AB6" s="44"/>
      <c r="AC6" s="13"/>
      <c r="AD6" s="13"/>
    </row>
    <row r="7" spans="4:30" x14ac:dyDescent="0.2">
      <c r="D7" s="12" t="s">
        <v>12</v>
      </c>
      <c r="E7" s="44">
        <f>2836+217</f>
        <v>3053</v>
      </c>
      <c r="F7" s="13">
        <v>2737</v>
      </c>
      <c r="G7" s="13">
        <f>4324-24</f>
        <v>4300</v>
      </c>
      <c r="H7" s="13">
        <f>3954-44</f>
        <v>3910</v>
      </c>
      <c r="I7" s="12" t="s">
        <v>12</v>
      </c>
      <c r="J7" s="40">
        <v>5879</v>
      </c>
      <c r="K7" s="13">
        <v>1356</v>
      </c>
      <c r="L7" s="13">
        <v>4021</v>
      </c>
      <c r="M7" s="13">
        <v>4108</v>
      </c>
      <c r="N7" s="12" t="s">
        <v>12</v>
      </c>
      <c r="O7" s="40">
        <v>13673</v>
      </c>
      <c r="P7" s="13">
        <v>11667</v>
      </c>
      <c r="Q7" s="13">
        <v>18356</v>
      </c>
      <c r="R7" s="13">
        <v>15643</v>
      </c>
      <c r="S7" s="66" t="s">
        <v>12</v>
      </c>
      <c r="T7" s="68">
        <v>6339</v>
      </c>
      <c r="U7" s="68">
        <v>3830</v>
      </c>
      <c r="V7" s="68">
        <v>10595</v>
      </c>
      <c r="W7" s="47"/>
      <c r="X7" s="47"/>
      <c r="Y7" s="47"/>
      <c r="Z7" s="12" t="s">
        <v>12</v>
      </c>
      <c r="AA7" s="13"/>
      <c r="AB7" s="44"/>
      <c r="AC7" s="13"/>
      <c r="AD7" s="13"/>
    </row>
    <row r="8" spans="4:30" x14ac:dyDescent="0.2">
      <c r="D8" s="12" t="s">
        <v>13</v>
      </c>
      <c r="E8" s="44">
        <v>2347</v>
      </c>
      <c r="F8" s="13">
        <v>2022</v>
      </c>
      <c r="G8" s="13">
        <v>3584</v>
      </c>
      <c r="H8" s="13">
        <v>3295</v>
      </c>
      <c r="I8" s="12" t="s">
        <v>13</v>
      </c>
      <c r="J8" s="40">
        <v>3510</v>
      </c>
      <c r="K8" s="13">
        <v>24</v>
      </c>
      <c r="L8" s="13">
        <v>6630</v>
      </c>
      <c r="M8" s="13">
        <v>3632</v>
      </c>
      <c r="N8" s="12" t="s">
        <v>13</v>
      </c>
      <c r="O8" s="40">
        <v>11463</v>
      </c>
      <c r="P8" s="13">
        <v>8824</v>
      </c>
      <c r="Q8" s="13">
        <v>14029</v>
      </c>
      <c r="R8" s="13">
        <v>12153</v>
      </c>
      <c r="S8" s="66" t="s">
        <v>13</v>
      </c>
      <c r="T8" s="68">
        <v>4009</v>
      </c>
      <c r="U8" s="68">
        <v>2709</v>
      </c>
      <c r="V8" s="68">
        <v>7582</v>
      </c>
      <c r="W8" s="47"/>
      <c r="X8" s="47"/>
      <c r="Y8" s="47"/>
      <c r="Z8" s="12" t="s">
        <v>13</v>
      </c>
      <c r="AA8" s="13"/>
      <c r="AB8" s="44"/>
      <c r="AC8" s="13"/>
      <c r="AD8" s="13"/>
    </row>
    <row r="9" spans="4:30" x14ac:dyDescent="0.2">
      <c r="D9" s="12"/>
      <c r="E9" s="44"/>
      <c r="F9" s="13"/>
      <c r="G9" s="13"/>
      <c r="H9" s="13"/>
      <c r="I9" s="12"/>
      <c r="J9" s="40"/>
      <c r="K9" s="13"/>
      <c r="L9" s="13"/>
      <c r="M9" s="13"/>
      <c r="N9" s="12"/>
      <c r="O9" s="40"/>
      <c r="P9" s="13"/>
      <c r="Q9" s="13"/>
      <c r="R9" s="13"/>
      <c r="S9" s="12"/>
      <c r="T9" s="58"/>
      <c r="U9" s="58"/>
      <c r="V9" s="58"/>
      <c r="W9" s="47"/>
      <c r="X9" s="47"/>
      <c r="Y9" s="47"/>
      <c r="Z9" s="12"/>
      <c r="AA9" s="13"/>
      <c r="AB9" s="44"/>
      <c r="AC9" s="13"/>
      <c r="AD9" s="13"/>
    </row>
    <row r="10" spans="4:30" x14ac:dyDescent="0.2">
      <c r="D10" s="12" t="s">
        <v>14</v>
      </c>
      <c r="E10" s="44">
        <v>57915</v>
      </c>
      <c r="F10" s="13">
        <v>73510</v>
      </c>
      <c r="G10" s="13">
        <v>69766</v>
      </c>
      <c r="H10" s="13">
        <v>61952</v>
      </c>
      <c r="I10" s="12" t="s">
        <v>14</v>
      </c>
      <c r="J10" s="40">
        <v>96299</v>
      </c>
      <c r="K10" s="13">
        <v>99730</v>
      </c>
      <c r="L10" s="13">
        <v>98044</v>
      </c>
      <c r="M10" s="13">
        <v>96873</v>
      </c>
      <c r="N10" s="12" t="s">
        <v>14</v>
      </c>
      <c r="O10" s="40">
        <v>422193</v>
      </c>
      <c r="P10" s="13">
        <v>497114</v>
      </c>
      <c r="Q10" s="13">
        <v>488071</v>
      </c>
      <c r="R10" s="13">
        <v>458156</v>
      </c>
      <c r="S10" s="66" t="s">
        <v>14</v>
      </c>
      <c r="T10" s="68">
        <v>285737</v>
      </c>
      <c r="U10" s="68">
        <v>302438</v>
      </c>
      <c r="V10" s="68">
        <v>281619</v>
      </c>
      <c r="W10" s="47"/>
      <c r="X10" s="47"/>
      <c r="Y10" s="47"/>
      <c r="Z10" s="12" t="s">
        <v>14</v>
      </c>
      <c r="AA10" s="13"/>
      <c r="AB10" s="44"/>
      <c r="AC10" s="13"/>
      <c r="AD10" s="13"/>
    </row>
    <row r="11" spans="4:30" x14ac:dyDescent="0.2">
      <c r="D11" s="12" t="s">
        <v>15</v>
      </c>
      <c r="E11" s="44">
        <v>16706</v>
      </c>
      <c r="F11" s="13">
        <v>23874</v>
      </c>
      <c r="G11" s="13">
        <v>21801</v>
      </c>
      <c r="H11" s="13">
        <v>19594</v>
      </c>
      <c r="I11" s="12" t="s">
        <v>15</v>
      </c>
      <c r="J11" s="40">
        <v>20987</v>
      </c>
      <c r="K11" s="13">
        <v>25861</v>
      </c>
      <c r="L11" s="13">
        <v>28675</v>
      </c>
      <c r="M11" s="13">
        <v>24903</v>
      </c>
      <c r="N11" s="12" t="s">
        <v>15</v>
      </c>
      <c r="O11" s="40">
        <v>109077</v>
      </c>
      <c r="P11" s="13">
        <v>128783</v>
      </c>
      <c r="Q11" s="13">
        <v>123651</v>
      </c>
      <c r="R11" s="13">
        <v>117342</v>
      </c>
      <c r="S11" s="66" t="s">
        <v>15</v>
      </c>
      <c r="T11" s="68">
        <v>62248</v>
      </c>
      <c r="U11" s="68">
        <v>62841</v>
      </c>
      <c r="V11" s="68">
        <v>66053</v>
      </c>
      <c r="W11" s="47"/>
      <c r="X11" s="47"/>
      <c r="Y11" s="47"/>
      <c r="Z11" s="12" t="s">
        <v>15</v>
      </c>
      <c r="AA11" s="13"/>
      <c r="AB11" s="44"/>
      <c r="AC11" s="13"/>
      <c r="AD11" s="13"/>
    </row>
    <row r="12" spans="4:30" x14ac:dyDescent="0.2">
      <c r="D12" s="12" t="s">
        <v>16</v>
      </c>
      <c r="E12" s="44">
        <f>E10-E11</f>
        <v>41209</v>
      </c>
      <c r="F12" s="13">
        <f>F10-F11</f>
        <v>49636</v>
      </c>
      <c r="G12" s="13">
        <f>G10-G11</f>
        <v>47965</v>
      </c>
      <c r="H12" s="13">
        <f>H10-H11</f>
        <v>42358</v>
      </c>
      <c r="I12" s="12" t="s">
        <v>16</v>
      </c>
      <c r="J12" s="40">
        <f>J10-J11</f>
        <v>75312</v>
      </c>
      <c r="K12" s="13">
        <f>K10-K11</f>
        <v>73869</v>
      </c>
      <c r="L12" s="13">
        <f>L10-L11</f>
        <v>69369</v>
      </c>
      <c r="M12" s="13">
        <f>M10-M11</f>
        <v>71970</v>
      </c>
      <c r="N12" s="12" t="s">
        <v>16</v>
      </c>
      <c r="O12" s="40">
        <f>O10-O11</f>
        <v>313116</v>
      </c>
      <c r="P12" s="13">
        <f>P10-P11</f>
        <v>368331</v>
      </c>
      <c r="Q12" s="13">
        <f>Q10-Q11</f>
        <v>364420</v>
      </c>
      <c r="R12" s="13">
        <f>R10-R11</f>
        <v>340814</v>
      </c>
      <c r="S12" s="66" t="s">
        <v>16</v>
      </c>
      <c r="T12" s="68">
        <v>223489</v>
      </c>
      <c r="U12" s="68">
        <v>239597</v>
      </c>
      <c r="V12" s="68">
        <v>215566</v>
      </c>
      <c r="W12" s="47"/>
      <c r="X12" s="47"/>
      <c r="Y12" s="47"/>
      <c r="Z12" s="12" t="s">
        <v>16</v>
      </c>
      <c r="AA12" s="13"/>
      <c r="AB12" s="44"/>
      <c r="AC12" s="13"/>
      <c r="AD12" s="13"/>
    </row>
    <row r="13" spans="4:30" x14ac:dyDescent="0.2">
      <c r="D13" s="12"/>
      <c r="E13" s="44"/>
      <c r="F13" s="13"/>
      <c r="G13" s="13"/>
      <c r="H13" s="13"/>
      <c r="I13" s="12"/>
      <c r="J13" s="40"/>
      <c r="K13" s="13"/>
      <c r="L13" s="13"/>
      <c r="M13" s="13"/>
      <c r="N13" s="12"/>
      <c r="O13" s="40"/>
      <c r="P13" s="13"/>
      <c r="Q13" s="13"/>
      <c r="R13" s="13"/>
      <c r="S13" s="12"/>
      <c r="T13" s="58"/>
      <c r="U13" s="58"/>
      <c r="V13" s="58"/>
      <c r="W13" s="47"/>
      <c r="X13" s="47"/>
      <c r="Y13" s="47"/>
      <c r="Z13" s="12"/>
      <c r="AA13" s="13"/>
      <c r="AB13" s="44"/>
      <c r="AC13" s="13"/>
      <c r="AD13" s="13"/>
    </row>
    <row r="14" spans="4:30" x14ac:dyDescent="0.2">
      <c r="D14" s="14" t="s">
        <v>34</v>
      </c>
      <c r="E14" s="44">
        <f>4778+407+2531</f>
        <v>7716</v>
      </c>
      <c r="F14" s="13">
        <f>11083+236+2409</f>
        <v>13728</v>
      </c>
      <c r="G14" s="13">
        <f>8917+272+2520</f>
        <v>11709</v>
      </c>
      <c r="H14" s="13">
        <f>5257+327+2182</f>
        <v>7766</v>
      </c>
      <c r="I14" s="14" t="s">
        <v>34</v>
      </c>
      <c r="J14" s="40">
        <f>10726+1+7245+138</f>
        <v>18110</v>
      </c>
      <c r="K14" s="13">
        <f>17036+280+4081+353</f>
        <v>21750</v>
      </c>
      <c r="L14" s="13">
        <f>8025+124+4876+194</f>
        <v>13219</v>
      </c>
      <c r="M14" s="13">
        <f>8667+3+5861+204</f>
        <v>14735</v>
      </c>
      <c r="N14" s="14" t="s">
        <v>34</v>
      </c>
      <c r="O14" s="40">
        <f>81628+2665+81844+8570</f>
        <v>174707</v>
      </c>
      <c r="P14" s="13">
        <f>114809+4257+88648+10590</f>
        <v>218304</v>
      </c>
      <c r="Q14" s="13">
        <f>113556+4499+87912+10858</f>
        <v>216825</v>
      </c>
      <c r="R14" s="13">
        <f>101126+3219+89757+9416</f>
        <v>203518</v>
      </c>
      <c r="S14" s="67" t="s">
        <v>34</v>
      </c>
      <c r="T14" s="74">
        <f>145842+8598</f>
        <v>154440</v>
      </c>
      <c r="U14" s="74">
        <v>171644</v>
      </c>
      <c r="V14" s="74">
        <f>88662+2375+56240+7657</f>
        <v>154934</v>
      </c>
      <c r="W14" s="47"/>
      <c r="X14" s="47"/>
      <c r="Y14" s="47"/>
      <c r="Z14" s="14" t="s">
        <v>34</v>
      </c>
      <c r="AA14" s="13"/>
      <c r="AB14" s="44"/>
      <c r="AC14" s="13"/>
      <c r="AD14" s="13"/>
    </row>
    <row r="15" spans="4:30" x14ac:dyDescent="0.2">
      <c r="D15" s="12"/>
      <c r="E15" s="44"/>
      <c r="F15" s="13"/>
      <c r="G15" s="13"/>
      <c r="H15" s="13"/>
      <c r="I15" s="12"/>
      <c r="J15" s="40"/>
      <c r="K15" s="13"/>
      <c r="L15" s="13"/>
      <c r="M15" s="13"/>
      <c r="N15" s="12"/>
      <c r="O15" s="40"/>
      <c r="P15" s="13"/>
      <c r="Q15" s="13"/>
      <c r="R15" s="13"/>
      <c r="S15" s="12"/>
      <c r="T15" s="74"/>
      <c r="U15" s="74"/>
      <c r="V15" s="74"/>
      <c r="W15" s="47"/>
      <c r="X15" s="47"/>
      <c r="Y15" s="47"/>
      <c r="Z15" s="12"/>
      <c r="AA15" s="13"/>
      <c r="AB15" s="44"/>
      <c r="AC15" s="13"/>
      <c r="AD15" s="13"/>
    </row>
    <row r="16" spans="4:30" x14ac:dyDescent="0.2">
      <c r="D16" s="12" t="s">
        <v>17</v>
      </c>
      <c r="E16" s="44">
        <v>26611</v>
      </c>
      <c r="F16" s="13">
        <v>35251</v>
      </c>
      <c r="G16" s="13">
        <v>31327</v>
      </c>
      <c r="H16" s="13">
        <v>28146</v>
      </c>
      <c r="I16" s="12">
        <f>K4-75962-5501-2979+4-73</f>
        <v>2165</v>
      </c>
      <c r="J16" s="40">
        <v>36274</v>
      </c>
      <c r="K16" s="13">
        <v>40053</v>
      </c>
      <c r="L16" s="13">
        <v>34932</v>
      </c>
      <c r="M16" s="13">
        <v>38292</v>
      </c>
      <c r="N16" s="12" t="s">
        <v>17</v>
      </c>
      <c r="O16" s="40">
        <v>160112</v>
      </c>
      <c r="P16" s="13">
        <v>194944</v>
      </c>
      <c r="Q16" s="13">
        <v>187463</v>
      </c>
      <c r="R16" s="13">
        <v>183536</v>
      </c>
      <c r="S16" s="66" t="s">
        <v>17</v>
      </c>
      <c r="T16" s="75">
        <v>115264</v>
      </c>
      <c r="U16" s="75">
        <v>127800</v>
      </c>
      <c r="V16" s="75">
        <v>121613</v>
      </c>
      <c r="W16" s="47"/>
      <c r="X16" s="47"/>
      <c r="Y16" s="47"/>
      <c r="Z16" s="12" t="s">
        <v>17</v>
      </c>
      <c r="AA16" s="13"/>
      <c r="AB16" s="44"/>
      <c r="AC16" s="13"/>
      <c r="AD16" s="13"/>
    </row>
    <row r="17" spans="4:30" x14ac:dyDescent="0.2">
      <c r="D17" s="12" t="s">
        <v>38</v>
      </c>
      <c r="E17" s="44">
        <f>11582+312</f>
        <v>11894</v>
      </c>
      <c r="F17" s="13">
        <f>22303+590</f>
        <v>22893</v>
      </c>
      <c r="G17" s="13">
        <f>17379+454</f>
        <v>17833</v>
      </c>
      <c r="H17" s="13">
        <f>14961+465</f>
        <v>15426</v>
      </c>
      <c r="I17" s="12" t="s">
        <v>38</v>
      </c>
      <c r="J17" s="40">
        <v>12638</v>
      </c>
      <c r="K17" s="13">
        <v>23846</v>
      </c>
      <c r="L17" s="13">
        <v>15041</v>
      </c>
      <c r="M17" s="13">
        <v>12450</v>
      </c>
      <c r="N17" s="12" t="s">
        <v>38</v>
      </c>
      <c r="O17" s="40">
        <v>18457</v>
      </c>
      <c r="P17" s="13">
        <v>33909</v>
      </c>
      <c r="Q17" s="13">
        <v>25923</v>
      </c>
      <c r="R17" s="13">
        <v>28938</v>
      </c>
      <c r="S17" s="66" t="s">
        <v>38</v>
      </c>
      <c r="T17" s="75">
        <v>23048</v>
      </c>
      <c r="U17" s="75">
        <v>18883</v>
      </c>
      <c r="V17" s="75">
        <v>15853</v>
      </c>
      <c r="W17" s="47"/>
      <c r="X17" s="47"/>
      <c r="Y17" s="47"/>
      <c r="Z17" s="12" t="s">
        <v>38</v>
      </c>
      <c r="AA17" s="13"/>
      <c r="AB17" s="44"/>
      <c r="AC17" s="13"/>
      <c r="AD17" s="13"/>
    </row>
    <row r="18" spans="4:30" x14ac:dyDescent="0.2">
      <c r="D18" s="12" t="s">
        <v>18</v>
      </c>
      <c r="E18" s="44">
        <v>7289</v>
      </c>
      <c r="F18" s="13">
        <v>5366</v>
      </c>
      <c r="G18" s="13">
        <v>6269</v>
      </c>
      <c r="H18" s="13">
        <v>6710</v>
      </c>
      <c r="I18" s="12" t="s">
        <v>18</v>
      </c>
      <c r="J18" s="40">
        <v>12922</v>
      </c>
      <c r="K18" s="13">
        <v>8094</v>
      </c>
      <c r="L18" s="13">
        <v>9722</v>
      </c>
      <c r="M18" s="13">
        <v>10694</v>
      </c>
      <c r="N18" s="12" t="s">
        <v>18</v>
      </c>
      <c r="O18" s="40">
        <v>40415</v>
      </c>
      <c r="P18" s="13">
        <v>43823</v>
      </c>
      <c r="Q18" s="13">
        <v>46742</v>
      </c>
      <c r="R18" s="13">
        <v>45745</v>
      </c>
      <c r="S18" s="66" t="s">
        <v>18</v>
      </c>
      <c r="T18" s="75">
        <v>26444</v>
      </c>
      <c r="U18" s="75">
        <v>29757</v>
      </c>
      <c r="V18" s="75">
        <v>29489</v>
      </c>
      <c r="W18" s="47"/>
      <c r="X18" s="47"/>
      <c r="Y18" s="47"/>
      <c r="Z18" s="12" t="s">
        <v>18</v>
      </c>
      <c r="AA18" s="13"/>
      <c r="AB18" s="44"/>
      <c r="AC18" s="13"/>
      <c r="AD18" s="13"/>
    </row>
    <row r="19" spans="4:30" x14ac:dyDescent="0.2">
      <c r="D19" s="12" t="s">
        <v>22</v>
      </c>
      <c r="E19" s="44">
        <f>2426+2496</f>
        <v>4922</v>
      </c>
      <c r="F19" s="13">
        <f>3147+2789</f>
        <v>5936</v>
      </c>
      <c r="G19" s="13">
        <f>2503+2922</f>
        <v>5425</v>
      </c>
      <c r="H19" s="13">
        <f>1904+2470</f>
        <v>4374</v>
      </c>
      <c r="I19" s="12" t="s">
        <v>22</v>
      </c>
      <c r="J19" s="40">
        <v>7887</v>
      </c>
      <c r="K19" s="13">
        <v>5545</v>
      </c>
      <c r="L19" s="13">
        <v>6628</v>
      </c>
      <c r="M19" s="13">
        <v>7188</v>
      </c>
      <c r="N19" s="12" t="s">
        <v>22</v>
      </c>
      <c r="O19" s="40">
        <f>13357+5346</f>
        <v>18703</v>
      </c>
      <c r="P19" s="13">
        <f>16243+7381</f>
        <v>23624</v>
      </c>
      <c r="Q19" s="13">
        <f>17941+7272</f>
        <v>25213</v>
      </c>
      <c r="R19" s="13">
        <f>17888+6203</f>
        <v>24091</v>
      </c>
      <c r="S19" s="66" t="s">
        <v>22</v>
      </c>
      <c r="T19" s="75">
        <v>10649</v>
      </c>
      <c r="U19" s="75">
        <v>12332</v>
      </c>
      <c r="V19" s="75">
        <v>12586</v>
      </c>
      <c r="W19" s="47"/>
      <c r="X19" s="47"/>
      <c r="Y19" s="47"/>
      <c r="Z19" s="12" t="s">
        <v>22</v>
      </c>
      <c r="AA19" s="13"/>
      <c r="AB19" s="44"/>
      <c r="AC19" s="13"/>
      <c r="AD19" s="13"/>
    </row>
    <row r="20" spans="4:30" x14ac:dyDescent="0.2">
      <c r="D20" s="12" t="s">
        <v>19</v>
      </c>
      <c r="E20" s="44">
        <v>29658</v>
      </c>
      <c r="F20" s="13">
        <v>30813</v>
      </c>
      <c r="G20" s="13">
        <v>31700</v>
      </c>
      <c r="H20" s="13">
        <v>30002</v>
      </c>
      <c r="I20" s="12" t="s">
        <v>19</v>
      </c>
      <c r="J20" s="40">
        <v>47269</v>
      </c>
      <c r="K20" s="13">
        <v>39037</v>
      </c>
      <c r="L20" s="13">
        <v>43354</v>
      </c>
      <c r="M20" s="13">
        <v>46474</v>
      </c>
      <c r="N20" s="12" t="s">
        <v>19</v>
      </c>
      <c r="O20" s="40">
        <v>160389</v>
      </c>
      <c r="P20" s="13">
        <v>165410</v>
      </c>
      <c r="Q20" s="13">
        <v>167924</v>
      </c>
      <c r="R20" s="13">
        <v>167968</v>
      </c>
      <c r="S20" s="66" t="s">
        <v>19</v>
      </c>
      <c r="T20" s="68">
        <v>99809</v>
      </c>
      <c r="U20" s="68">
        <v>105802</v>
      </c>
      <c r="V20" s="68">
        <v>97952</v>
      </c>
      <c r="W20" s="47"/>
      <c r="X20" s="47"/>
      <c r="Y20" s="47"/>
      <c r="Z20" s="12" t="s">
        <v>19</v>
      </c>
      <c r="AA20" s="13"/>
      <c r="AB20" s="44"/>
      <c r="AC20" s="13"/>
      <c r="AD20" s="13"/>
    </row>
    <row r="21" spans="4:30" x14ac:dyDescent="0.2">
      <c r="D21" s="12" t="s">
        <v>23</v>
      </c>
      <c r="E21" s="44">
        <v>13362</v>
      </c>
      <c r="F21" s="13">
        <v>15166</v>
      </c>
      <c r="G21" s="13">
        <v>14505</v>
      </c>
      <c r="H21" s="13">
        <v>13551</v>
      </c>
      <c r="I21" s="12" t="s">
        <v>23</v>
      </c>
      <c r="J21" s="40">
        <v>21939</v>
      </c>
      <c r="K21" s="13">
        <v>20576</v>
      </c>
      <c r="L21" s="13">
        <v>21616</v>
      </c>
      <c r="M21" s="13">
        <v>19229</v>
      </c>
      <c r="N21" s="12" t="s">
        <v>23</v>
      </c>
      <c r="O21" s="40">
        <v>23046</v>
      </c>
      <c r="P21" s="13">
        <v>22677</v>
      </c>
      <c r="Q21" s="13">
        <v>22745</v>
      </c>
      <c r="R21" s="13">
        <v>23607</v>
      </c>
      <c r="S21" s="66" t="s">
        <v>23</v>
      </c>
      <c r="T21" s="68">
        <v>12378</v>
      </c>
      <c r="U21" s="68">
        <v>12707</v>
      </c>
      <c r="V21" s="68">
        <v>14185</v>
      </c>
      <c r="W21" s="47"/>
      <c r="X21" s="47"/>
      <c r="Y21" s="47"/>
      <c r="Z21" s="12" t="s">
        <v>23</v>
      </c>
      <c r="AA21" s="13"/>
      <c r="AB21" s="44"/>
      <c r="AC21" s="13"/>
      <c r="AD21" s="13"/>
    </row>
    <row r="22" spans="4:30" x14ac:dyDescent="0.2">
      <c r="D22" s="12"/>
      <c r="E22" s="44"/>
      <c r="F22" s="13"/>
      <c r="G22" s="13"/>
      <c r="H22" s="13"/>
      <c r="I22" s="12"/>
      <c r="J22" s="40"/>
      <c r="K22" s="13"/>
      <c r="L22" s="13"/>
      <c r="M22" s="13"/>
      <c r="N22" s="12"/>
      <c r="O22" s="40"/>
      <c r="P22" s="13"/>
      <c r="Q22" s="13"/>
      <c r="R22" s="13"/>
      <c r="S22" s="12"/>
      <c r="T22" s="58"/>
      <c r="U22" s="58"/>
      <c r="V22" s="58"/>
      <c r="W22" s="47"/>
      <c r="X22" s="47"/>
      <c r="Y22" s="47"/>
      <c r="Z22" s="12"/>
      <c r="AA22" s="13"/>
      <c r="AB22" s="44"/>
      <c r="AC22" s="13"/>
      <c r="AD22" s="13"/>
    </row>
    <row r="23" spans="4:30" x14ac:dyDescent="0.2">
      <c r="D23" s="12" t="s">
        <v>20</v>
      </c>
      <c r="E23" s="44">
        <v>5459</v>
      </c>
      <c r="F23" s="13">
        <v>6202</v>
      </c>
      <c r="G23" s="13">
        <v>8705</v>
      </c>
      <c r="H23" s="13">
        <v>8395</v>
      </c>
      <c r="I23" s="12" t="s">
        <v>20</v>
      </c>
      <c r="J23" s="40">
        <v>10385</v>
      </c>
      <c r="K23" s="13">
        <v>9183</v>
      </c>
      <c r="L23" s="13">
        <v>10462</v>
      </c>
      <c r="M23" s="13">
        <v>9948</v>
      </c>
      <c r="N23" s="12" t="s">
        <v>20</v>
      </c>
      <c r="O23" s="40">
        <v>-1185</v>
      </c>
      <c r="P23" s="13">
        <v>24901</v>
      </c>
      <c r="Q23" s="13">
        <v>17983</v>
      </c>
      <c r="R23" s="13">
        <v>7272</v>
      </c>
      <c r="S23" s="66" t="s">
        <v>20</v>
      </c>
      <c r="T23" s="68">
        <v>22332</v>
      </c>
      <c r="U23" s="68">
        <v>7888</v>
      </c>
      <c r="V23" s="68">
        <v>343</v>
      </c>
      <c r="W23" s="47"/>
      <c r="X23" s="47"/>
      <c r="Y23" s="47"/>
      <c r="Z23" s="12" t="s">
        <v>20</v>
      </c>
      <c r="AA23" s="13"/>
      <c r="AB23" s="44"/>
      <c r="AC23" s="13"/>
      <c r="AD23" s="13"/>
    </row>
    <row r="24" spans="4:30" x14ac:dyDescent="0.2">
      <c r="D24" s="16"/>
      <c r="E24" s="17"/>
      <c r="F24" s="17"/>
      <c r="G24" s="17"/>
      <c r="H24" s="17"/>
      <c r="I24" s="16"/>
      <c r="J24" s="17"/>
      <c r="K24" s="17"/>
      <c r="L24" s="17"/>
      <c r="M24" s="17"/>
      <c r="N24" s="16"/>
      <c r="O24" s="17"/>
      <c r="P24" s="17"/>
      <c r="Q24" s="17"/>
      <c r="R24" s="17"/>
      <c r="S24" s="16"/>
      <c r="T24" s="59"/>
      <c r="U24" s="59"/>
      <c r="V24" s="59"/>
      <c r="W24" s="48"/>
      <c r="X24" s="48"/>
      <c r="Y24" s="48"/>
      <c r="Z24" s="16"/>
      <c r="AA24" s="17"/>
      <c r="AB24" s="17"/>
      <c r="AC24" s="17"/>
      <c r="AD24" s="17"/>
    </row>
    <row r="25" spans="4:30" x14ac:dyDescent="0.2">
      <c r="D25" s="3" t="s">
        <v>2</v>
      </c>
      <c r="E25" s="4">
        <v>2017</v>
      </c>
      <c r="F25" s="4">
        <v>2020</v>
      </c>
      <c r="G25" s="4">
        <v>2019</v>
      </c>
      <c r="H25" s="4">
        <v>2018</v>
      </c>
      <c r="I25" s="6" t="s">
        <v>1</v>
      </c>
      <c r="J25" s="4">
        <v>2017</v>
      </c>
      <c r="K25" s="4">
        <v>2020</v>
      </c>
      <c r="L25" s="4">
        <v>2019</v>
      </c>
      <c r="M25" s="4">
        <v>2018</v>
      </c>
      <c r="N25" s="7" t="s">
        <v>3</v>
      </c>
      <c r="O25" s="4">
        <v>2017</v>
      </c>
      <c r="P25" s="4">
        <v>2020</v>
      </c>
      <c r="Q25" s="4">
        <v>2019</v>
      </c>
      <c r="R25" s="4">
        <v>2018</v>
      </c>
      <c r="S25" s="11" t="s">
        <v>42</v>
      </c>
      <c r="T25" s="56">
        <v>2020</v>
      </c>
      <c r="U25" s="56">
        <v>2019</v>
      </c>
      <c r="V25" s="56">
        <v>2018</v>
      </c>
      <c r="W25" s="45">
        <v>2018</v>
      </c>
      <c r="X25" s="45">
        <v>2019</v>
      </c>
      <c r="Y25" s="45">
        <v>2019</v>
      </c>
      <c r="Z25" s="11" t="s">
        <v>42</v>
      </c>
      <c r="AA25" s="4">
        <v>2018</v>
      </c>
      <c r="AB25" s="4">
        <v>2017</v>
      </c>
      <c r="AC25" s="4">
        <v>2019</v>
      </c>
      <c r="AD25" s="4">
        <v>2020</v>
      </c>
    </row>
    <row r="26" spans="4:30" x14ac:dyDescent="0.2">
      <c r="D26" s="2" t="s">
        <v>6</v>
      </c>
      <c r="E26" s="18">
        <f>E8/E11</f>
        <v>0.14048844726445589</v>
      </c>
      <c r="F26" s="20">
        <f>F8/F11</f>
        <v>8.4694646896205081E-2</v>
      </c>
      <c r="G26" s="20">
        <f>G8/G11</f>
        <v>0.1643961286179533</v>
      </c>
      <c r="H26" s="18">
        <f>H8/H11</f>
        <v>0.16816372358885373</v>
      </c>
      <c r="I26" s="2" t="s">
        <v>6</v>
      </c>
      <c r="J26" s="18">
        <f>J8/J11</f>
        <v>0.16724639062276647</v>
      </c>
      <c r="K26" s="18">
        <f>K8/K11</f>
        <v>9.2803835891883536E-4</v>
      </c>
      <c r="L26" s="18">
        <f>L8/L11</f>
        <v>0.23121185701830863</v>
      </c>
      <c r="M26" s="18">
        <f>M8/M11</f>
        <v>0.14584588202224633</v>
      </c>
      <c r="N26" s="2" t="s">
        <v>6</v>
      </c>
      <c r="O26" s="18">
        <f>O8/O11</f>
        <v>0.10509089908963393</v>
      </c>
      <c r="P26" s="18">
        <f>P8/P11</f>
        <v>6.8518360342591803E-2</v>
      </c>
      <c r="Q26" s="18">
        <f>Q8/Q11</f>
        <v>0.11345642170301898</v>
      </c>
      <c r="R26" s="18">
        <f>R8/R11</f>
        <v>0.10356905455847011</v>
      </c>
      <c r="S26" s="2" t="s">
        <v>6</v>
      </c>
      <c r="T26" s="60">
        <f t="shared" ref="T26:Y26" si="0">T8/T11</f>
        <v>6.4403675620100242E-2</v>
      </c>
      <c r="U26" s="60">
        <f t="shared" si="0"/>
        <v>4.3108798395951685E-2</v>
      </c>
      <c r="V26" s="60">
        <f t="shared" si="0"/>
        <v>0.1147866107519719</v>
      </c>
      <c r="W26" s="49" t="e">
        <f t="shared" si="0"/>
        <v>#DIV/0!</v>
      </c>
      <c r="X26" s="49" t="e">
        <f t="shared" si="0"/>
        <v>#DIV/0!</v>
      </c>
      <c r="Y26" s="49" t="e">
        <f t="shared" si="0"/>
        <v>#DIV/0!</v>
      </c>
      <c r="Z26" s="2" t="s">
        <v>6</v>
      </c>
      <c r="AA26" s="18" t="e">
        <f>AA8/AA11</f>
        <v>#DIV/0!</v>
      </c>
      <c r="AB26" s="18" t="e">
        <f>AB8/AB11</f>
        <v>#DIV/0!</v>
      </c>
      <c r="AC26" s="20" t="e">
        <f>AC8/AC11</f>
        <v>#DIV/0!</v>
      </c>
      <c r="AD26" s="20" t="e">
        <f>AD8/AD11</f>
        <v>#DIV/0!</v>
      </c>
    </row>
    <row r="27" spans="4:30" x14ac:dyDescent="0.2">
      <c r="D27" s="2" t="s">
        <v>7</v>
      </c>
      <c r="E27" s="18">
        <f>E8/E4</f>
        <v>3.7699177589308658E-2</v>
      </c>
      <c r="F27" s="18">
        <f>F8/F4</f>
        <v>3.3292719070043136E-2</v>
      </c>
      <c r="G27" s="18">
        <f>G8/G4</f>
        <v>4.7958678460076808E-2</v>
      </c>
      <c r="H27" s="18">
        <f>H8/H4</f>
        <v>4.4510786604887408E-2</v>
      </c>
      <c r="I27" s="2" t="s">
        <v>7</v>
      </c>
      <c r="J27" s="18">
        <f>J8/J4</f>
        <v>3.3197767899366314E-2</v>
      </c>
      <c r="K27" s="18">
        <f>K8/K4</f>
        <v>2.7689325764917625E-4</v>
      </c>
      <c r="L27" s="18">
        <f>L8/L4</f>
        <v>6.1282778892103484E-2</v>
      </c>
      <c r="M27" s="18">
        <f>M8/M4</f>
        <v>3.2894975183856826E-2</v>
      </c>
      <c r="N27" s="2" t="s">
        <v>7</v>
      </c>
      <c r="O27" s="18">
        <f>O8/O4</f>
        <v>4.9936832934001307E-2</v>
      </c>
      <c r="P27" s="18">
        <f>P8/P4</f>
        <v>3.9590100680174441E-2</v>
      </c>
      <c r="Q27" s="18">
        <f>Q8/Q4</f>
        <v>5.5531365781057031E-2</v>
      </c>
      <c r="R27" s="18">
        <f>R8/R4</f>
        <v>5.1528732366895771E-2</v>
      </c>
      <c r="S27" s="2" t="s">
        <v>7</v>
      </c>
      <c r="T27" s="60">
        <f t="shared" ref="T27:Y27" si="1">T8/T4</f>
        <v>2.59803381526677E-2</v>
      </c>
      <c r="U27" s="60">
        <f t="shared" si="1"/>
        <v>1.5682074734435149E-2</v>
      </c>
      <c r="V27" s="60">
        <f t="shared" si="1"/>
        <v>4.5302995901100609E-2</v>
      </c>
      <c r="W27" s="49" t="e">
        <f t="shared" si="1"/>
        <v>#DIV/0!</v>
      </c>
      <c r="X27" s="49" t="e">
        <f t="shared" si="1"/>
        <v>#DIV/0!</v>
      </c>
      <c r="Y27" s="49" t="e">
        <f t="shared" si="1"/>
        <v>#DIV/0!</v>
      </c>
      <c r="Z27" s="2" t="s">
        <v>7</v>
      </c>
      <c r="AA27" s="18">
        <f>AA8/AA4</f>
        <v>0</v>
      </c>
      <c r="AB27" s="18">
        <f>AB8/AB4</f>
        <v>0</v>
      </c>
      <c r="AC27" s="18">
        <f>AC8/AC4</f>
        <v>0</v>
      </c>
      <c r="AD27" s="18">
        <f>AD8/AD4</f>
        <v>0</v>
      </c>
    </row>
    <row r="28" spans="4:30" x14ac:dyDescent="0.2">
      <c r="E28" s="15"/>
      <c r="F28" s="15"/>
      <c r="G28" s="15"/>
      <c r="H28" s="15"/>
      <c r="J28" s="15"/>
      <c r="K28" s="15"/>
      <c r="L28" s="15"/>
      <c r="M28" s="15"/>
      <c r="O28" s="15"/>
      <c r="P28" s="15"/>
      <c r="Q28" s="15"/>
      <c r="R28" s="15"/>
      <c r="T28" s="61"/>
      <c r="U28" s="61"/>
      <c r="V28" s="61"/>
      <c r="W28" s="50"/>
      <c r="X28" s="50"/>
      <c r="Y28" s="50"/>
      <c r="AA28" s="15"/>
      <c r="AB28" s="15"/>
      <c r="AC28" s="15"/>
      <c r="AD28" s="15"/>
    </row>
    <row r="29" spans="4:30" x14ac:dyDescent="0.2">
      <c r="D29" s="19" t="s">
        <v>0</v>
      </c>
      <c r="E29" s="20">
        <f>E6/E10</f>
        <v>5.3077786411119744E-2</v>
      </c>
      <c r="F29" s="20">
        <f>F6/F10</f>
        <v>4.1545367977145968E-2</v>
      </c>
      <c r="G29" s="20">
        <f>G6/G10</f>
        <v>6.6909382793911079E-2</v>
      </c>
      <c r="H29" s="20">
        <f>H6/H10</f>
        <v>7.1022727272727279E-2</v>
      </c>
      <c r="I29" s="19" t="s">
        <v>0</v>
      </c>
      <c r="J29" s="20">
        <f>J6/J10</f>
        <v>6.1579040280792113E-2</v>
      </c>
      <c r="K29" s="20">
        <f>K6/K10</f>
        <v>2.1708613255790633E-2</v>
      </c>
      <c r="L29" s="20">
        <f>L6/L10</f>
        <v>4.9131002407082534E-2</v>
      </c>
      <c r="M29" s="20">
        <f>M6/M10</f>
        <v>5.0881050447493109E-2</v>
      </c>
      <c r="N29" s="19" t="s">
        <v>0</v>
      </c>
      <c r="O29" s="20">
        <f>O6/O10</f>
        <v>3.2729107304005516E-2</v>
      </c>
      <c r="P29" s="20">
        <f>P6/P10</f>
        <v>1.9462336606894996E-2</v>
      </c>
      <c r="Q29" s="20">
        <f>Q6/Q10</f>
        <v>3.4749042659776956E-2</v>
      </c>
      <c r="R29" s="20">
        <f>R6/R10</f>
        <v>3.0382664419979222E-2</v>
      </c>
      <c r="S29" s="19" t="s">
        <v>0</v>
      </c>
      <c r="T29" s="60">
        <f t="shared" ref="T29:Y29" si="2">T6/T10</f>
        <v>2.3108662861302528E-2</v>
      </c>
      <c r="U29" s="60">
        <f t="shared" si="2"/>
        <v>1.4260774109073596E-2</v>
      </c>
      <c r="V29" s="60">
        <f t="shared" si="2"/>
        <v>3.9528582943622409E-2</v>
      </c>
      <c r="W29" s="49" t="e">
        <f t="shared" si="2"/>
        <v>#DIV/0!</v>
      </c>
      <c r="X29" s="49" t="e">
        <f t="shared" si="2"/>
        <v>#DIV/0!</v>
      </c>
      <c r="Y29" s="49" t="e">
        <f t="shared" si="2"/>
        <v>#DIV/0!</v>
      </c>
      <c r="Z29" s="19" t="s">
        <v>0</v>
      </c>
      <c r="AA29" s="20" t="e">
        <f>AA6/AA10</f>
        <v>#DIV/0!</v>
      </c>
      <c r="AB29" s="20" t="e">
        <f>AB6/AB10</f>
        <v>#DIV/0!</v>
      </c>
      <c r="AC29" s="20" t="e">
        <f>AC6/AC10</f>
        <v>#DIV/0!</v>
      </c>
      <c r="AD29" s="20" t="e">
        <f>AD6/AD10</f>
        <v>#DIV/0!</v>
      </c>
    </row>
    <row r="30" spans="4:30" x14ac:dyDescent="0.2">
      <c r="D30" s="19" t="s">
        <v>8</v>
      </c>
      <c r="E30" s="20">
        <f>E6/E4</f>
        <v>4.9376766897969673E-2</v>
      </c>
      <c r="F30" s="20">
        <f>F6/F4</f>
        <v>5.0284848684427175E-2</v>
      </c>
      <c r="G30" s="20">
        <f>G6/G4</f>
        <v>6.2464037681818789E-2</v>
      </c>
      <c r="H30" s="20">
        <f>H6/H4</f>
        <v>5.9437772704553742E-2</v>
      </c>
      <c r="I30" s="19" t="s">
        <v>8</v>
      </c>
      <c r="J30" s="20">
        <f>J6/J4</f>
        <v>5.6086257448217158E-2</v>
      </c>
      <c r="K30" s="20">
        <f>K6/K4</f>
        <v>2.4978079283769439E-2</v>
      </c>
      <c r="L30" s="20">
        <f>L6/L4</f>
        <v>4.4524758057807312E-2</v>
      </c>
      <c r="M30" s="20">
        <f>M6/M4</f>
        <v>4.4641886751440062E-2</v>
      </c>
      <c r="N30" s="19" t="s">
        <v>8</v>
      </c>
      <c r="O30" s="20">
        <f>O6/O4</f>
        <v>6.019603572206491E-2</v>
      </c>
      <c r="P30" s="20">
        <f>P6/P4</f>
        <v>4.3408230290195797E-2</v>
      </c>
      <c r="Q30" s="20">
        <f>Q6/Q4</f>
        <v>6.7133221444630922E-2</v>
      </c>
      <c r="R30" s="20">
        <f>R6/R4</f>
        <v>5.9020814164995397E-2</v>
      </c>
      <c r="S30" s="19" t="s">
        <v>8</v>
      </c>
      <c r="T30" s="60">
        <f t="shared" ref="T30:Y30" si="3">T6/T4</f>
        <v>4.2790763986546472E-2</v>
      </c>
      <c r="U30" s="60">
        <f t="shared" si="3"/>
        <v>2.4967437552461721E-2</v>
      </c>
      <c r="V30" s="60">
        <f t="shared" si="3"/>
        <v>6.651450149974307E-2</v>
      </c>
      <c r="W30" s="49" t="e">
        <f t="shared" si="3"/>
        <v>#DIV/0!</v>
      </c>
      <c r="X30" s="49" t="e">
        <f t="shared" si="3"/>
        <v>#DIV/0!</v>
      </c>
      <c r="Y30" s="49" t="e">
        <f t="shared" si="3"/>
        <v>#DIV/0!</v>
      </c>
      <c r="Z30" s="19" t="s">
        <v>8</v>
      </c>
      <c r="AA30" s="20">
        <f>AA6/AA4</f>
        <v>0</v>
      </c>
      <c r="AB30" s="20">
        <f>AB6/AB4</f>
        <v>0</v>
      </c>
      <c r="AC30" s="20">
        <f>AC6/AC4</f>
        <v>0</v>
      </c>
      <c r="AD30" s="20">
        <f>AD6/AD4</f>
        <v>0</v>
      </c>
    </row>
    <row r="31" spans="4:30" x14ac:dyDescent="0.2">
      <c r="D31" s="19" t="s">
        <v>9</v>
      </c>
      <c r="E31" s="21">
        <f>E4/E10</f>
        <v>1.074954674954675</v>
      </c>
      <c r="F31" s="21">
        <f>F4/F10</f>
        <v>0.82620051693647123</v>
      </c>
      <c r="G31" s="21">
        <f>G4/G10</f>
        <v>1.0711664707737294</v>
      </c>
      <c r="H31" s="21">
        <f>H4/H10</f>
        <v>1.1949089617768596</v>
      </c>
      <c r="I31" s="19" t="s">
        <v>9</v>
      </c>
      <c r="J31" s="21">
        <f>J4/J10</f>
        <v>1.0979345579912565</v>
      </c>
      <c r="K31" s="21">
        <f>K4/K10</f>
        <v>0.86910658778702499</v>
      </c>
      <c r="L31" s="21">
        <f>L4/L10</f>
        <v>1.1034535514666883</v>
      </c>
      <c r="M31" s="21">
        <f>M4/M10</f>
        <v>1.1397603047288718</v>
      </c>
      <c r="N31" s="19" t="s">
        <v>9</v>
      </c>
      <c r="O31" s="21">
        <f>O4/O10</f>
        <v>0.54370868299569153</v>
      </c>
      <c r="P31" s="21">
        <f>P4/P10</f>
        <v>0.44835591031433436</v>
      </c>
      <c r="Q31" s="21">
        <f>Q4/Q10</f>
        <v>0.51761321610995126</v>
      </c>
      <c r="R31" s="21">
        <f>R4/R10</f>
        <v>0.51477880896463213</v>
      </c>
      <c r="S31" s="19" t="s">
        <v>9</v>
      </c>
      <c r="T31" s="62">
        <f t="shared" ref="T31:Y31" si="4">T4/T10</f>
        <v>0.54003856693392871</v>
      </c>
      <c r="U31" s="62">
        <f t="shared" si="4"/>
        <v>0.57117491849569169</v>
      </c>
      <c r="V31" s="62">
        <f t="shared" si="4"/>
        <v>0.59428518672390718</v>
      </c>
      <c r="W31" s="51" t="e">
        <f t="shared" si="4"/>
        <v>#DIV/0!</v>
      </c>
      <c r="X31" s="51" t="e">
        <f t="shared" si="4"/>
        <v>#DIV/0!</v>
      </c>
      <c r="Y31" s="51" t="e">
        <f t="shared" si="4"/>
        <v>#DIV/0!</v>
      </c>
      <c r="Z31" s="19" t="s">
        <v>9</v>
      </c>
      <c r="AA31" s="21" t="e">
        <f>AA4/AA10</f>
        <v>#DIV/0!</v>
      </c>
      <c r="AB31" s="21" t="e">
        <f>AB4/AB10</f>
        <v>#DIV/0!</v>
      </c>
      <c r="AC31" s="21" t="e">
        <f>AC4/AC10</f>
        <v>#DIV/0!</v>
      </c>
      <c r="AD31" s="21" t="e">
        <f>AD4/AD10</f>
        <v>#DIV/0!</v>
      </c>
    </row>
    <row r="32" spans="4:30" x14ac:dyDescent="0.2">
      <c r="D32" s="19" t="s">
        <v>4</v>
      </c>
      <c r="E32" s="20">
        <f>E5/E4</f>
        <v>9.3308275507581598E-2</v>
      </c>
      <c r="F32" s="20">
        <f>F5/F4</f>
        <v>0.1171008002107551</v>
      </c>
      <c r="G32" s="20">
        <f>G5/G4</f>
        <v>0.11220243272537501</v>
      </c>
      <c r="H32" s="20">
        <f>H5/H4</f>
        <v>9.9895983897767035E-2</v>
      </c>
      <c r="I32" s="19" t="s">
        <v>4</v>
      </c>
      <c r="J32" s="20">
        <f>J5/J4</f>
        <v>0.10785964248557647</v>
      </c>
      <c r="K32" s="20">
        <f>K5/K4</f>
        <v>8.4313996954174172E-2</v>
      </c>
      <c r="L32" s="20">
        <f>L5/L4</f>
        <v>9.4854280089104973E-2</v>
      </c>
      <c r="M32" s="20">
        <f>M5/M4</f>
        <v>9.4518711734231792E-2</v>
      </c>
      <c r="N32" s="19" t="s">
        <v>4</v>
      </c>
      <c r="O32" s="20">
        <f>O5/O4</f>
        <v>0.15675887606186015</v>
      </c>
      <c r="P32" s="20">
        <f>P5/P4</f>
        <v>0.16486154232695036</v>
      </c>
      <c r="Q32" s="20">
        <f>Q5/Q4</f>
        <v>0.1638707685487191</v>
      </c>
      <c r="R32" s="20">
        <f>R5/R4</f>
        <v>0.1546794771230745</v>
      </c>
      <c r="S32" s="19" t="s">
        <v>4</v>
      </c>
      <c r="T32" s="60">
        <f t="shared" ref="T32:Y32" si="5">T5/T4</f>
        <v>0.10083663298965063</v>
      </c>
      <c r="U32" s="60">
        <f t="shared" si="5"/>
        <v>6.9837043040319541E-2</v>
      </c>
      <c r="V32" s="60">
        <f t="shared" si="5"/>
        <v>0.10418733045733201</v>
      </c>
      <c r="W32" s="49" t="e">
        <f t="shared" si="5"/>
        <v>#DIV/0!</v>
      </c>
      <c r="X32" s="49" t="e">
        <f t="shared" si="5"/>
        <v>#DIV/0!</v>
      </c>
      <c r="Y32" s="49" t="e">
        <f t="shared" si="5"/>
        <v>#DIV/0!</v>
      </c>
      <c r="Z32" s="19" t="s">
        <v>4</v>
      </c>
      <c r="AA32" s="20">
        <f>AA5/AA4</f>
        <v>0.16002307059212362</v>
      </c>
      <c r="AB32" s="20">
        <f>AB5/AB4</f>
        <v>0.16524356710758634</v>
      </c>
      <c r="AC32" s="20">
        <f>AC5/AC4</f>
        <v>0.17055843022908426</v>
      </c>
      <c r="AD32" s="20">
        <f>AD5/AD4</f>
        <v>0.14784897108812456</v>
      </c>
    </row>
    <row r="33" spans="4:30" x14ac:dyDescent="0.2">
      <c r="D33" s="8"/>
      <c r="E33" s="9"/>
      <c r="F33" s="9"/>
      <c r="G33" s="9"/>
      <c r="H33" s="9"/>
      <c r="I33" s="8"/>
      <c r="J33" s="9"/>
      <c r="K33" s="9"/>
      <c r="L33" s="9"/>
      <c r="M33" s="9"/>
      <c r="N33" s="8"/>
      <c r="O33" s="9"/>
      <c r="P33" s="9"/>
      <c r="Q33" s="9"/>
      <c r="R33" s="9"/>
      <c r="S33" s="8"/>
      <c r="T33" s="63"/>
      <c r="U33" s="63"/>
      <c r="V33" s="63"/>
      <c r="W33" s="52"/>
      <c r="X33" s="52"/>
      <c r="Y33" s="52"/>
      <c r="Z33" s="8"/>
      <c r="AA33" s="9"/>
      <c r="AB33" s="9"/>
      <c r="AC33" s="9"/>
      <c r="AD33" s="9"/>
    </row>
    <row r="34" spans="4:30" x14ac:dyDescent="0.2">
      <c r="D34" s="19" t="s">
        <v>24</v>
      </c>
      <c r="E34" s="22">
        <f>E6/(E6-E7)</f>
        <v>146.38095238095238</v>
      </c>
      <c r="F34" s="22">
        <f>F6/(F6-F7)</f>
        <v>9.6340694006309153</v>
      </c>
      <c r="G34" s="22">
        <f>G6/(G6-G7)</f>
        <v>12.684782608695652</v>
      </c>
      <c r="H34" s="22">
        <f>H6/(H6-H7)</f>
        <v>8.9795918367346932</v>
      </c>
      <c r="I34" s="19" t="s">
        <v>24</v>
      </c>
      <c r="J34" s="22">
        <f>J6/(J6-J7)</f>
        <v>116.27450980392157</v>
      </c>
      <c r="K34" s="22">
        <f>K6/(K6-K7)</f>
        <v>2.6761433868974041</v>
      </c>
      <c r="L34" s="22">
        <f>L6/(L6-L7)</f>
        <v>6.0515075376884422</v>
      </c>
      <c r="M34" s="22">
        <f>M6/(M6-M7)</f>
        <v>6.0036540803897687</v>
      </c>
      <c r="N34" s="19" t="s">
        <v>24</v>
      </c>
      <c r="O34" s="22">
        <f>O6/(O6-O7)</f>
        <v>95.296551724137927</v>
      </c>
      <c r="P34" s="22">
        <f>P6/(P6-P7)</f>
        <v>-4.8569277108433733</v>
      </c>
      <c r="Q34" s="22">
        <f>Q6/(Q6-Q7)</f>
        <v>-12.148997134670488</v>
      </c>
      <c r="R34" s="22">
        <f>R6/(R6-R7)</f>
        <v>-8.0789320951828199</v>
      </c>
      <c r="S34" s="19" t="s">
        <v>24</v>
      </c>
      <c r="T34" s="64">
        <f t="shared" ref="T34:Y34" si="6">T6/(T6-T7)</f>
        <v>25.011363636363637</v>
      </c>
      <c r="U34" s="64">
        <f t="shared" si="6"/>
        <v>8.9296066252587991</v>
      </c>
      <c r="V34" s="64">
        <f t="shared" si="6"/>
        <v>20.729981378026071</v>
      </c>
      <c r="W34" s="53" t="e">
        <f t="shared" si="6"/>
        <v>#DIV/0!</v>
      </c>
      <c r="X34" s="53" t="e">
        <f t="shared" si="6"/>
        <v>#DIV/0!</v>
      </c>
      <c r="Y34" s="53" t="e">
        <f t="shared" si="6"/>
        <v>#DIV/0!</v>
      </c>
      <c r="Z34" s="19" t="s">
        <v>24</v>
      </c>
      <c r="AA34" s="22" t="e">
        <f>AA6/(AA6-AA7)</f>
        <v>#DIV/0!</v>
      </c>
      <c r="AB34" s="22" t="e">
        <f>AB6/(AB6-AB7)</f>
        <v>#DIV/0!</v>
      </c>
      <c r="AC34" s="22" t="e">
        <f>AC6/(AC6-AC7)</f>
        <v>#DIV/0!</v>
      </c>
      <c r="AD34" s="22" t="e">
        <f>AD6/(AD6-AD7)</f>
        <v>#DIV/0!</v>
      </c>
    </row>
    <row r="35" spans="4:30" x14ac:dyDescent="0.2">
      <c r="D35" s="19" t="s">
        <v>33</v>
      </c>
      <c r="E35" s="22">
        <f t="shared" ref="E35" si="7">1-(1/E34)</f>
        <v>0.9931685100845804</v>
      </c>
      <c r="F35" s="22">
        <f>1-(1/F34)</f>
        <v>0.89620170268500332</v>
      </c>
      <c r="G35" s="22">
        <f>1-(1/G34)</f>
        <v>0.921165381319623</v>
      </c>
      <c r="H35" s="22">
        <f>1-(1/H34)</f>
        <v>0.88863636363636367</v>
      </c>
      <c r="I35" s="19" t="s">
        <v>33</v>
      </c>
      <c r="J35" s="22">
        <f t="shared" ref="J35" si="8">1-(1/J34)</f>
        <v>0.99139966273187186</v>
      </c>
      <c r="K35" s="22">
        <f>1-(1/K34)</f>
        <v>0.62632794457274832</v>
      </c>
      <c r="L35" s="22">
        <f>1-(1/L34)</f>
        <v>0.83475192028233347</v>
      </c>
      <c r="M35" s="22">
        <f>1-(1/M34)</f>
        <v>0.83343477378778652</v>
      </c>
      <c r="N35" s="19" t="s">
        <v>33</v>
      </c>
      <c r="O35" s="22">
        <f t="shared" ref="O35" si="9">1-(1/O34)</f>
        <v>0.98950644087422202</v>
      </c>
      <c r="P35" s="22">
        <f>1-(1/P34)</f>
        <v>1.2058914728682171</v>
      </c>
      <c r="Q35" s="22">
        <f>1-(1/Q34)</f>
        <v>1.082311320754717</v>
      </c>
      <c r="R35" s="22">
        <f>1-(1/R34)</f>
        <v>1.123778735632184</v>
      </c>
      <c r="S35" s="19" t="s">
        <v>33</v>
      </c>
      <c r="T35" s="64">
        <f>1-(1/T34)</f>
        <v>0.96001817355747388</v>
      </c>
      <c r="U35" s="64">
        <f t="shared" ref="U35" si="10">1-(1/U34)</f>
        <v>0.88801298400185491</v>
      </c>
      <c r="V35" s="64">
        <f>1-(1/V34)</f>
        <v>0.95176068990298235</v>
      </c>
      <c r="W35" s="53" t="e">
        <f t="shared" ref="W35:X35" si="11">1-(1/W34)</f>
        <v>#DIV/0!</v>
      </c>
      <c r="X35" s="53" t="e">
        <f t="shared" si="11"/>
        <v>#DIV/0!</v>
      </c>
      <c r="Y35" s="53" t="e">
        <f>1-(1/Y34)</f>
        <v>#DIV/0!</v>
      </c>
      <c r="Z35" s="19" t="s">
        <v>33</v>
      </c>
      <c r="AA35" s="22" t="e">
        <f t="shared" ref="AA35:AB35" si="12">1-(1/AA34)</f>
        <v>#DIV/0!</v>
      </c>
      <c r="AB35" s="22" t="e">
        <f t="shared" si="12"/>
        <v>#DIV/0!</v>
      </c>
      <c r="AC35" s="22" t="e">
        <f>1-(1/AC34)</f>
        <v>#DIV/0!</v>
      </c>
      <c r="AD35" s="22" t="e">
        <f>1-(1/AD34)</f>
        <v>#DIV/0!</v>
      </c>
    </row>
    <row r="36" spans="4:30" x14ac:dyDescent="0.2">
      <c r="D36" s="19" t="s">
        <v>25</v>
      </c>
      <c r="E36" s="23">
        <f>E12/E11</f>
        <v>2.4667185442356039</v>
      </c>
      <c r="F36" s="23">
        <f>F12/F11</f>
        <v>2.0790818463600571</v>
      </c>
      <c r="G36" s="23">
        <f>G12/G11</f>
        <v>2.2001284344754826</v>
      </c>
      <c r="H36" s="23">
        <f>H12/H11</f>
        <v>2.1617842196590793</v>
      </c>
      <c r="I36" s="19" t="s">
        <v>25</v>
      </c>
      <c r="J36" s="23">
        <f>J12/J11</f>
        <v>3.5885071711059227</v>
      </c>
      <c r="K36" s="23">
        <f>K12/K11</f>
        <v>2.8563860639573102</v>
      </c>
      <c r="L36" s="23">
        <f>L12/L11</f>
        <v>2.4191455972101132</v>
      </c>
      <c r="M36" s="23">
        <f>M12/M11</f>
        <v>2.8900132514154921</v>
      </c>
      <c r="N36" s="19" t="s">
        <v>25</v>
      </c>
      <c r="O36" s="23">
        <f>O12/O11</f>
        <v>2.8705960009901261</v>
      </c>
      <c r="P36" s="23">
        <f>P12/P11</f>
        <v>2.8600902293004511</v>
      </c>
      <c r="Q36" s="23">
        <f>Q12/Q11</f>
        <v>2.9471658134588479</v>
      </c>
      <c r="R36" s="23">
        <f>R12/R11</f>
        <v>2.9044502394709482</v>
      </c>
      <c r="S36" s="19" t="s">
        <v>25</v>
      </c>
      <c r="T36" s="65">
        <f t="shared" ref="T36:Y36" si="13">T12/T11</f>
        <v>3.5903000899627298</v>
      </c>
      <c r="U36" s="65">
        <f t="shared" si="13"/>
        <v>3.8127496379752071</v>
      </c>
      <c r="V36" s="65">
        <f t="shared" si="13"/>
        <v>3.2635308010234207</v>
      </c>
      <c r="W36" s="54" t="e">
        <f t="shared" si="13"/>
        <v>#DIV/0!</v>
      </c>
      <c r="X36" s="54" t="e">
        <f t="shared" si="13"/>
        <v>#DIV/0!</v>
      </c>
      <c r="Y36" s="54" t="e">
        <f t="shared" si="13"/>
        <v>#DIV/0!</v>
      </c>
      <c r="Z36" s="19" t="s">
        <v>25</v>
      </c>
      <c r="AA36" s="23" t="e">
        <f>AA12/AA11</f>
        <v>#DIV/0!</v>
      </c>
      <c r="AB36" s="23" t="e">
        <f>AB12/AB11</f>
        <v>#DIV/0!</v>
      </c>
      <c r="AC36" s="23" t="e">
        <f>AC12/AC11</f>
        <v>#DIV/0!</v>
      </c>
      <c r="AD36" s="23" t="e">
        <f>AD12/AD11</f>
        <v>#DIV/0!</v>
      </c>
    </row>
    <row r="37" spans="4:30" x14ac:dyDescent="0.2">
      <c r="D37" s="19" t="s">
        <v>32</v>
      </c>
      <c r="E37" s="20">
        <f>E8/E7</f>
        <v>0.7687520471667213</v>
      </c>
      <c r="F37" s="20">
        <f>F8/F7</f>
        <v>0.73876507124588964</v>
      </c>
      <c r="G37" s="20">
        <f>G8/G7</f>
        <v>0.83348837209302329</v>
      </c>
      <c r="H37" s="20">
        <f>H8/H7</f>
        <v>0.84271099744245526</v>
      </c>
      <c r="I37" s="19" t="s">
        <v>32</v>
      </c>
      <c r="J37" s="20">
        <f>J8/J7</f>
        <v>0.59704031297839766</v>
      </c>
      <c r="K37" s="20">
        <f>K8/K7</f>
        <v>1.7699115044247787E-2</v>
      </c>
      <c r="L37" s="20">
        <f>L8/L7</f>
        <v>1.6488435712509326</v>
      </c>
      <c r="M37" s="20">
        <f>M8/M7</f>
        <v>0.88412852969814992</v>
      </c>
      <c r="N37" s="19" t="s">
        <v>32</v>
      </c>
      <c r="O37" s="20">
        <f>O8/O7</f>
        <v>0.83836758575294379</v>
      </c>
      <c r="P37" s="20">
        <f>P8/P7</f>
        <v>0.75632124796434386</v>
      </c>
      <c r="Q37" s="20">
        <f>Q8/Q7</f>
        <v>0.76427326214861624</v>
      </c>
      <c r="R37" s="20">
        <f>R8/R7</f>
        <v>0.77689701463913574</v>
      </c>
      <c r="S37" s="19" t="s">
        <v>32</v>
      </c>
      <c r="T37" s="60">
        <f t="shared" ref="T37:Y37" si="14">T8/T7</f>
        <v>0.63243413787663671</v>
      </c>
      <c r="U37" s="60">
        <f t="shared" si="14"/>
        <v>0.70731070496083548</v>
      </c>
      <c r="V37" s="60">
        <f t="shared" si="14"/>
        <v>0.71562057574327509</v>
      </c>
      <c r="W37" s="49" t="e">
        <f t="shared" si="14"/>
        <v>#DIV/0!</v>
      </c>
      <c r="X37" s="49" t="e">
        <f t="shared" si="14"/>
        <v>#DIV/0!</v>
      </c>
      <c r="Y37" s="49" t="e">
        <f t="shared" si="14"/>
        <v>#DIV/0!</v>
      </c>
      <c r="Z37" s="19" t="s">
        <v>32</v>
      </c>
      <c r="AA37" s="20" t="e">
        <f>AA8/AA7</f>
        <v>#DIV/0!</v>
      </c>
      <c r="AB37" s="20" t="e">
        <f>AB8/AB7</f>
        <v>#DIV/0!</v>
      </c>
      <c r="AC37" s="20" t="e">
        <f>AC8/AC7</f>
        <v>#DIV/0!</v>
      </c>
      <c r="AD37" s="20" t="e">
        <f>AD8/AD7</f>
        <v>#DIV/0!</v>
      </c>
    </row>
    <row r="38" spans="4:30" x14ac:dyDescent="0.2">
      <c r="D38" s="8"/>
      <c r="E38" s="9"/>
      <c r="F38" s="9"/>
      <c r="G38" s="9"/>
      <c r="H38" s="9"/>
      <c r="I38" s="8"/>
      <c r="J38" s="9"/>
      <c r="K38" s="9"/>
      <c r="L38" s="9"/>
      <c r="M38" s="9"/>
      <c r="N38" s="8"/>
      <c r="O38" s="9"/>
      <c r="P38" s="9"/>
      <c r="Q38" s="9"/>
      <c r="R38" s="9"/>
      <c r="S38" s="8"/>
      <c r="T38" s="63"/>
      <c r="U38" s="63"/>
      <c r="V38" s="63"/>
      <c r="W38" s="52"/>
      <c r="X38" s="52"/>
      <c r="Y38" s="52"/>
      <c r="Z38" s="8"/>
      <c r="AA38" s="9"/>
      <c r="AB38" s="9"/>
      <c r="AC38" s="9"/>
      <c r="AD38" s="9"/>
    </row>
    <row r="39" spans="4:30" x14ac:dyDescent="0.2">
      <c r="D39" s="19" t="s">
        <v>26</v>
      </c>
      <c r="E39" s="21">
        <f>E16/E20</f>
        <v>0.89726212151864593</v>
      </c>
      <c r="F39" s="21">
        <f>F16/F20</f>
        <v>1.1440301171583422</v>
      </c>
      <c r="G39" s="21">
        <f>G16/G20</f>
        <v>0.98823343848580447</v>
      </c>
      <c r="H39" s="21">
        <f>H16/H20</f>
        <v>0.93813745750283317</v>
      </c>
      <c r="I39" s="19" t="s">
        <v>26</v>
      </c>
      <c r="J39" s="21">
        <f>J16/J20</f>
        <v>0.76739512153842904</v>
      </c>
      <c r="K39" s="21">
        <f>K16/K20</f>
        <v>1.0260265901580552</v>
      </c>
      <c r="L39" s="21">
        <f>L16/L20</f>
        <v>0.80573880149467181</v>
      </c>
      <c r="M39" s="21">
        <f>M16/M20</f>
        <v>0.82394457115806685</v>
      </c>
      <c r="N39" s="19" t="s">
        <v>26</v>
      </c>
      <c r="O39" s="21">
        <f>O16/O20</f>
        <v>0.99827294889300389</v>
      </c>
      <c r="P39" s="21">
        <f>P16/P20</f>
        <v>1.1785502690284746</v>
      </c>
      <c r="Q39" s="21">
        <f>Q16/Q20</f>
        <v>1.1163562087611063</v>
      </c>
      <c r="R39" s="21">
        <f>R16/R20</f>
        <v>1.0926843208230139</v>
      </c>
      <c r="S39" s="19" t="s">
        <v>26</v>
      </c>
      <c r="T39" s="62">
        <f t="shared" ref="T39:Y39" si="15">T16/T20</f>
        <v>1.1548457553928002</v>
      </c>
      <c r="U39" s="62">
        <f t="shared" si="15"/>
        <v>1.2079166745430143</v>
      </c>
      <c r="V39" s="62">
        <f t="shared" si="15"/>
        <v>1.2415570891865404</v>
      </c>
      <c r="W39" s="51" t="e">
        <f t="shared" si="15"/>
        <v>#DIV/0!</v>
      </c>
      <c r="X39" s="51" t="e">
        <f t="shared" si="15"/>
        <v>#DIV/0!</v>
      </c>
      <c r="Y39" s="51" t="e">
        <f t="shared" si="15"/>
        <v>#DIV/0!</v>
      </c>
      <c r="Z39" s="19" t="s">
        <v>26</v>
      </c>
      <c r="AA39" s="21" t="e">
        <f>AA16/AA20</f>
        <v>#DIV/0!</v>
      </c>
      <c r="AB39" s="21" t="e">
        <f>AB16/AB20</f>
        <v>#DIV/0!</v>
      </c>
      <c r="AC39" s="21" t="e">
        <f>AC16/AC20</f>
        <v>#DIV/0!</v>
      </c>
      <c r="AD39" s="21" t="e">
        <f>AD16/AD20</f>
        <v>#DIV/0!</v>
      </c>
    </row>
    <row r="40" spans="4:30" x14ac:dyDescent="0.2">
      <c r="D40" s="19" t="s">
        <v>35</v>
      </c>
      <c r="E40" s="21">
        <f t="shared" ref="E40" si="16">E23/E14</f>
        <v>0.7074909279419388</v>
      </c>
      <c r="F40" s="21">
        <f>F23/F14</f>
        <v>0.45177738927738925</v>
      </c>
      <c r="G40" s="21">
        <f>G23/G14</f>
        <v>0.74344521308395251</v>
      </c>
      <c r="H40" s="21">
        <f>H23/H14</f>
        <v>1.080994076744785</v>
      </c>
      <c r="I40" s="19" t="s">
        <v>35</v>
      </c>
      <c r="J40" s="21">
        <f t="shared" ref="J40" si="17">J23/J14</f>
        <v>0.57344008834897842</v>
      </c>
      <c r="K40" s="21">
        <f>K23/K14</f>
        <v>0.42220689655172416</v>
      </c>
      <c r="L40" s="21">
        <f>L23/L14</f>
        <v>0.79143656857553524</v>
      </c>
      <c r="M40" s="21">
        <f>M23/M14</f>
        <v>0.67512724804886326</v>
      </c>
      <c r="N40" s="19" t="s">
        <v>35</v>
      </c>
      <c r="O40" s="21">
        <f t="shared" ref="O40:Y40" si="18">O23/O14</f>
        <v>-6.7827848912751067E-3</v>
      </c>
      <c r="P40" s="21">
        <f>P23/P14</f>
        <v>0.11406570653767224</v>
      </c>
      <c r="Q40" s="21">
        <f>Q23/Q14</f>
        <v>8.2937853107344639E-2</v>
      </c>
      <c r="R40" s="21">
        <f>R23/R14</f>
        <v>3.5731483210330289E-2</v>
      </c>
      <c r="S40" s="19" t="s">
        <v>35</v>
      </c>
      <c r="T40" s="62">
        <f>T23/T14</f>
        <v>0.1445998445998446</v>
      </c>
      <c r="U40" s="62">
        <f>U23/U14</f>
        <v>4.5955582484677591E-2</v>
      </c>
      <c r="V40" s="62">
        <f t="shared" ref="V40" si="19">V23/V14</f>
        <v>2.2138458956717055E-3</v>
      </c>
      <c r="W40" s="51" t="e">
        <f t="shared" si="18"/>
        <v>#DIV/0!</v>
      </c>
      <c r="X40" s="51" t="e">
        <f t="shared" si="18"/>
        <v>#DIV/0!</v>
      </c>
      <c r="Y40" s="51" t="e">
        <f t="shared" si="18"/>
        <v>#DIV/0!</v>
      </c>
      <c r="Z40" s="19" t="s">
        <v>35</v>
      </c>
      <c r="AA40" s="21" t="e">
        <f t="shared" ref="AA40:AB40" si="20">AA23/AA14</f>
        <v>#DIV/0!</v>
      </c>
      <c r="AB40" s="21" t="e">
        <f t="shared" si="20"/>
        <v>#DIV/0!</v>
      </c>
      <c r="AC40" s="21" t="e">
        <f>AC23/AC14</f>
        <v>#DIV/0!</v>
      </c>
      <c r="AD40" s="21" t="e">
        <f>AD23/AD14</f>
        <v>#DIV/0!</v>
      </c>
    </row>
    <row r="41" spans="4:30" x14ac:dyDescent="0.2">
      <c r="D41" s="19" t="s">
        <v>39</v>
      </c>
      <c r="E41" s="20">
        <f t="shared" ref="E41:Y41" si="21">(E19+E18-E21)/E4</f>
        <v>-1.8488177846312001E-2</v>
      </c>
      <c r="F41" s="20">
        <f>(F19+F18-F21)/F4</f>
        <v>-6.3621694602693707E-2</v>
      </c>
      <c r="G41" s="20">
        <f>(G19+G18-G21)/G4</f>
        <v>-3.7614912151583683E-2</v>
      </c>
      <c r="H41" s="20">
        <f>(H19+H18-H21)/H4</f>
        <v>-3.3325678468666839E-2</v>
      </c>
      <c r="I41" s="19" t="s">
        <v>36</v>
      </c>
      <c r="J41" s="20">
        <f t="shared" si="21"/>
        <v>-1.0687600491818784E-2</v>
      </c>
      <c r="K41" s="20">
        <f t="shared" ref="K41" si="22">(K19+K18-K21)/K4</f>
        <v>-8.0033688679680651E-2</v>
      </c>
      <c r="L41" s="20">
        <f>(L19+L18-L21)/L4</f>
        <v>-4.8674979433758217E-2</v>
      </c>
      <c r="M41" s="20">
        <f>(M19+M18-M21)/M4</f>
        <v>-1.219976089555483E-2</v>
      </c>
      <c r="N41" s="19" t="s">
        <v>36</v>
      </c>
      <c r="O41" s="20">
        <f t="shared" si="21"/>
        <v>0.15714223480723155</v>
      </c>
      <c r="P41" s="20">
        <f t="shared" ref="P41" si="23">(P19+P18-P21)/P4</f>
        <v>0.200866818614167</v>
      </c>
      <c r="Q41" s="20">
        <f>(Q19+Q18-Q21)/Q4</f>
        <v>0.19478925868456887</v>
      </c>
      <c r="R41" s="20">
        <f>(R19+R18-R21)/R4</f>
        <v>0.19601100704264168</v>
      </c>
      <c r="S41" s="19" t="s">
        <v>36</v>
      </c>
      <c r="T41" s="60">
        <f>(T19+T18-T21)/T4</f>
        <v>0.16016564166704469</v>
      </c>
      <c r="U41" s="60">
        <f>(U19+U18-U21)/U4</f>
        <v>0.17008885930128223</v>
      </c>
      <c r="V41" s="60">
        <f t="shared" ref="V41" si="24">(V19+V18-V21)/V4</f>
        <v>0.16664475806933474</v>
      </c>
      <c r="W41" s="49" t="e">
        <f t="shared" si="21"/>
        <v>#DIV/0!</v>
      </c>
      <c r="X41" s="49" t="e">
        <f t="shared" si="21"/>
        <v>#DIV/0!</v>
      </c>
      <c r="Y41" s="49" t="e">
        <f t="shared" si="21"/>
        <v>#DIV/0!</v>
      </c>
      <c r="Z41" s="19" t="s">
        <v>39</v>
      </c>
      <c r="AA41" s="20">
        <f t="shared" ref="AA41:AB41" si="25">(AA19+AA18-AA21)/AA4</f>
        <v>0</v>
      </c>
      <c r="AB41" s="20">
        <f t="shared" si="25"/>
        <v>0</v>
      </c>
      <c r="AC41" s="20">
        <f>(AC19+AC18-AC21)/AC4</f>
        <v>0</v>
      </c>
      <c r="AD41" s="20">
        <f>(AD19+AD18-AD21)/AD4</f>
        <v>0</v>
      </c>
    </row>
    <row r="42" spans="4:30" x14ac:dyDescent="0.2">
      <c r="D42" s="19" t="s">
        <v>37</v>
      </c>
      <c r="E42" s="21">
        <f t="shared" ref="E42:Y42" si="26">E4/E18</f>
        <v>8.5410893126629173</v>
      </c>
      <c r="F42" s="21">
        <f>F4/F18</f>
        <v>11.318300409988819</v>
      </c>
      <c r="G42" s="21">
        <f>G4/G18</f>
        <v>11.920721008135269</v>
      </c>
      <c r="H42" s="21">
        <f>H4/H18</f>
        <v>11.032339791356184</v>
      </c>
      <c r="I42" s="19" t="s">
        <v>37</v>
      </c>
      <c r="J42" s="21">
        <f t="shared" si="26"/>
        <v>8.1821699427333225</v>
      </c>
      <c r="K42" s="21">
        <f t="shared" ref="K42" si="27">K4/K18</f>
        <v>10.708673091178651</v>
      </c>
      <c r="L42" s="21">
        <f>L4/L18</f>
        <v>11.128060069944455</v>
      </c>
      <c r="M42" s="21">
        <f>M4/M18</f>
        <v>10.324668038152234</v>
      </c>
      <c r="N42" s="19" t="s">
        <v>37</v>
      </c>
      <c r="O42" s="21">
        <f t="shared" si="26"/>
        <v>5.679821848323642</v>
      </c>
      <c r="P42" s="21">
        <f t="shared" ref="P42" si="28">P4/P18</f>
        <v>5.0860050658330103</v>
      </c>
      <c r="Q42" s="21">
        <f>Q4/Q18</f>
        <v>5.4048179367592315</v>
      </c>
      <c r="R42" s="21">
        <f>R4/R18</f>
        <v>5.1557328669799976</v>
      </c>
      <c r="S42" s="19" t="s">
        <v>37</v>
      </c>
      <c r="T42" s="62">
        <f>T4/T18</f>
        <v>5.8353123581908939</v>
      </c>
      <c r="U42" s="62">
        <f>U4/U18</f>
        <v>5.8051886950969518</v>
      </c>
      <c r="V42" s="62">
        <f t="shared" ref="V42" si="29">V4/V18</f>
        <v>5.6754043880769096</v>
      </c>
      <c r="W42" s="51" t="e">
        <f t="shared" si="26"/>
        <v>#DIV/0!</v>
      </c>
      <c r="X42" s="51" t="e">
        <f t="shared" si="26"/>
        <v>#DIV/0!</v>
      </c>
      <c r="Y42" s="51" t="e">
        <f t="shared" si="26"/>
        <v>#DIV/0!</v>
      </c>
      <c r="Z42" s="19" t="s">
        <v>37</v>
      </c>
      <c r="AA42" s="21" t="e">
        <f t="shared" ref="AA42:AB42" si="30">AA4/AA18</f>
        <v>#DIV/0!</v>
      </c>
      <c r="AB42" s="21" t="e">
        <f t="shared" si="30"/>
        <v>#DIV/0!</v>
      </c>
      <c r="AC42" s="21" t="e">
        <f>AC4/AC18</f>
        <v>#DIV/0!</v>
      </c>
      <c r="AD42" s="21" t="e">
        <f>AD4/AD18</f>
        <v>#DIV/0!</v>
      </c>
    </row>
    <row r="43" spans="4:30" x14ac:dyDescent="0.2">
      <c r="D43" s="19" t="s">
        <v>40</v>
      </c>
      <c r="E43" s="20">
        <f t="shared" ref="E43" si="31">(E14-E17)/E10</f>
        <v>-7.2140205473538804E-2</v>
      </c>
      <c r="F43" s="20">
        <f>(F14-F17)/F10</f>
        <v>-0.12467691470548224</v>
      </c>
      <c r="G43" s="20">
        <f>(G14-G17)/G10</f>
        <v>-8.7779147435713675E-2</v>
      </c>
      <c r="H43" s="20">
        <f>(H14-H17)/H10</f>
        <v>-0.12364411157024793</v>
      </c>
      <c r="I43" s="19" t="s">
        <v>40</v>
      </c>
      <c r="J43" s="20">
        <f t="shared" ref="J43" si="32">(J14-J17)/J10</f>
        <v>5.6823019969054714E-2</v>
      </c>
      <c r="K43" s="20">
        <f>(K14-K17)/K10</f>
        <v>-2.1016745212072595E-2</v>
      </c>
      <c r="L43" s="20">
        <f>(L14-L17)/L10</f>
        <v>-1.8583493125535474E-2</v>
      </c>
      <c r="M43" s="20">
        <f>(M14-M17)/M10</f>
        <v>2.3587583743664386E-2</v>
      </c>
      <c r="N43" s="19" t="s">
        <v>40</v>
      </c>
      <c r="O43" s="20">
        <f t="shared" ref="O43:Y43" si="33">(O14-O17)/O10</f>
        <v>0.37009140369451887</v>
      </c>
      <c r="P43" s="20">
        <f>(P14-P17)/P10</f>
        <v>0.37093101381172128</v>
      </c>
      <c r="Q43" s="20">
        <f>(Q14-Q17)/Q10</f>
        <v>0.3911357159101852</v>
      </c>
      <c r="R43" s="20">
        <f>(R14-R17)/R10</f>
        <v>0.38104924960057274</v>
      </c>
      <c r="S43" s="19" t="s">
        <v>40</v>
      </c>
      <c r="T43" s="60">
        <f>(T14-T17)/T10</f>
        <v>0.45983544308227497</v>
      </c>
      <c r="U43" s="60">
        <f>(U14-U17)/U10</f>
        <v>0.50509856565643207</v>
      </c>
      <c r="V43" s="60">
        <f t="shared" ref="V43" si="34">(V14-V17)/V10</f>
        <v>0.49386227491753043</v>
      </c>
      <c r="W43" s="49" t="e">
        <f t="shared" si="33"/>
        <v>#DIV/0!</v>
      </c>
      <c r="X43" s="49" t="e">
        <f t="shared" si="33"/>
        <v>#DIV/0!</v>
      </c>
      <c r="Y43" s="49" t="e">
        <f t="shared" si="33"/>
        <v>#DIV/0!</v>
      </c>
      <c r="Z43" s="19" t="s">
        <v>40</v>
      </c>
      <c r="AA43" s="20" t="e">
        <f t="shared" ref="AA43:AB43" si="35">(AA14-AA17)/AA10</f>
        <v>#DIV/0!</v>
      </c>
      <c r="AB43" s="20" t="e">
        <f t="shared" si="35"/>
        <v>#DIV/0!</v>
      </c>
      <c r="AC43" s="20" t="e">
        <f>(AC14-AC17)/AC10</f>
        <v>#DIV/0!</v>
      </c>
      <c r="AD43" s="20" t="e">
        <f>(AD14-AD17)/AD10</f>
        <v>#DIV/0!</v>
      </c>
    </row>
    <row r="44" spans="4:30" x14ac:dyDescent="0.2">
      <c r="D44" s="8"/>
      <c r="E44" s="9"/>
      <c r="F44" s="9"/>
      <c r="G44" s="9"/>
      <c r="H44" s="9"/>
      <c r="I44" s="10"/>
      <c r="K44" s="10"/>
      <c r="L44" s="10"/>
    </row>
    <row r="45" spans="4:30" x14ac:dyDescent="0.2">
      <c r="D45" s="8"/>
      <c r="E45" s="9"/>
      <c r="F45" s="9"/>
      <c r="G45" s="9"/>
      <c r="H45" s="9"/>
      <c r="I45" s="10"/>
      <c r="K45" s="10"/>
      <c r="L45" s="10"/>
    </row>
    <row r="46" spans="4:30" x14ac:dyDescent="0.2">
      <c r="D46" s="8"/>
      <c r="E46" s="9"/>
      <c r="F46" s="9"/>
      <c r="G46" s="9"/>
      <c r="H46" s="9"/>
      <c r="I46" s="10"/>
      <c r="K46" s="10"/>
      <c r="L46" s="10"/>
      <c r="N46" s="73" t="s">
        <v>44</v>
      </c>
    </row>
    <row r="47" spans="4:30" x14ac:dyDescent="0.2">
      <c r="D47" s="8"/>
      <c r="E47" s="9"/>
      <c r="F47" s="9"/>
      <c r="G47" s="9"/>
      <c r="H47" s="9"/>
      <c r="I47" s="10"/>
      <c r="K47" s="10"/>
      <c r="L47" s="10"/>
    </row>
    <row r="48" spans="4:30" x14ac:dyDescent="0.2">
      <c r="D48" s="8"/>
      <c r="E48" s="9"/>
      <c r="F48" s="9"/>
      <c r="G48" s="9"/>
      <c r="H48" s="9"/>
      <c r="I48" s="10"/>
      <c r="K48" s="10"/>
      <c r="L48" s="10"/>
    </row>
    <row r="49" spans="4:13" x14ac:dyDescent="0.2">
      <c r="D49" s="8"/>
      <c r="E49" s="9"/>
      <c r="F49" s="9"/>
      <c r="G49" s="9"/>
      <c r="H49" s="9"/>
      <c r="I49" s="10"/>
      <c r="K49" s="10"/>
      <c r="L49" s="10"/>
    </row>
    <row r="50" spans="4:13" x14ac:dyDescent="0.2">
      <c r="D50" s="8"/>
      <c r="E50" s="9"/>
      <c r="F50" s="9"/>
      <c r="G50" s="9"/>
      <c r="H50" s="9"/>
      <c r="I50" s="10"/>
      <c r="K50" s="10"/>
      <c r="L50" s="10"/>
    </row>
    <row r="51" spans="4:13" x14ac:dyDescent="0.2">
      <c r="D51" s="24" t="s">
        <v>6</v>
      </c>
      <c r="E51" s="4">
        <v>2017</v>
      </c>
      <c r="F51" s="4">
        <v>2020</v>
      </c>
      <c r="G51" s="4">
        <v>2019</v>
      </c>
      <c r="H51" s="4">
        <v>2018</v>
      </c>
      <c r="I51" s="24" t="s">
        <v>8</v>
      </c>
      <c r="J51" s="4">
        <v>2017</v>
      </c>
      <c r="K51" s="4">
        <v>2020</v>
      </c>
      <c r="L51" s="4">
        <v>2019</v>
      </c>
      <c r="M51" s="4">
        <v>2018</v>
      </c>
    </row>
    <row r="52" spans="4:13" x14ac:dyDescent="0.2">
      <c r="D52" s="3" t="s">
        <v>2</v>
      </c>
      <c r="E52" s="34">
        <f>E26</f>
        <v>0.14048844726445589</v>
      </c>
      <c r="F52" s="34">
        <f>F26</f>
        <v>8.4694646896205081E-2</v>
      </c>
      <c r="G52" s="34">
        <f>G26</f>
        <v>0.1643961286179533</v>
      </c>
      <c r="H52" s="34">
        <f>H26</f>
        <v>0.16816372358885373</v>
      </c>
      <c r="I52" s="3" t="s">
        <v>2</v>
      </c>
      <c r="J52" s="34">
        <f>E30</f>
        <v>4.9376766897969673E-2</v>
      </c>
      <c r="K52" s="34">
        <f>F30</f>
        <v>5.0284848684427175E-2</v>
      </c>
      <c r="L52" s="34">
        <f>G30</f>
        <v>6.2464037681818789E-2</v>
      </c>
      <c r="M52" s="34">
        <f>H30</f>
        <v>5.9437772704553742E-2</v>
      </c>
    </row>
    <row r="53" spans="4:13" x14ac:dyDescent="0.2">
      <c r="D53" s="6" t="s">
        <v>1</v>
      </c>
      <c r="E53" s="34">
        <f>J26</f>
        <v>0.16724639062276647</v>
      </c>
      <c r="F53" s="34">
        <f>K26</f>
        <v>9.2803835891883536E-4</v>
      </c>
      <c r="G53" s="34">
        <f>L26</f>
        <v>0.23121185701830863</v>
      </c>
      <c r="H53" s="34">
        <f>M26</f>
        <v>0.14584588202224633</v>
      </c>
      <c r="I53" s="6" t="s">
        <v>1</v>
      </c>
      <c r="J53" s="34">
        <f>J30</f>
        <v>5.6086257448217158E-2</v>
      </c>
      <c r="K53" s="34">
        <f>K30</f>
        <v>2.4978079283769439E-2</v>
      </c>
      <c r="L53" s="34">
        <f>L30</f>
        <v>4.4524758057807312E-2</v>
      </c>
      <c r="M53" s="34">
        <f>M30</f>
        <v>4.4641886751440062E-2</v>
      </c>
    </row>
    <row r="54" spans="4:13" x14ac:dyDescent="0.2">
      <c r="D54" s="7" t="s">
        <v>3</v>
      </c>
      <c r="E54" s="34">
        <f>O26</f>
        <v>0.10509089908963393</v>
      </c>
      <c r="F54" s="34">
        <f>P26</f>
        <v>6.8518360342591803E-2</v>
      </c>
      <c r="G54" s="34">
        <f>Q26</f>
        <v>0.11345642170301898</v>
      </c>
      <c r="H54" s="34">
        <f>R26</f>
        <v>0.10356905455847011</v>
      </c>
      <c r="I54" s="7" t="s">
        <v>3</v>
      </c>
      <c r="J54" s="34">
        <f>O30</f>
        <v>6.019603572206491E-2</v>
      </c>
      <c r="K54" s="34">
        <f>P30</f>
        <v>4.3408230290195797E-2</v>
      </c>
      <c r="L54" s="34">
        <f>Q30</f>
        <v>6.7133221444630922E-2</v>
      </c>
      <c r="M54" s="34">
        <f>R30</f>
        <v>5.9020814164995397E-2</v>
      </c>
    </row>
    <row r="55" spans="4:13" x14ac:dyDescent="0.2">
      <c r="D55" s="11" t="s">
        <v>42</v>
      </c>
      <c r="E55" s="9"/>
      <c r="F55" s="34">
        <f>T26</f>
        <v>6.4403675620100242E-2</v>
      </c>
      <c r="G55" s="34">
        <f>U26</f>
        <v>4.3108798395951685E-2</v>
      </c>
      <c r="H55" s="34">
        <f>V26</f>
        <v>0.1147866107519719</v>
      </c>
      <c r="I55" s="11" t="s">
        <v>42</v>
      </c>
      <c r="J55" s="9"/>
      <c r="K55" s="34">
        <f>T30</f>
        <v>4.2790763986546472E-2</v>
      </c>
      <c r="L55" s="34">
        <f>U30</f>
        <v>2.4967437552461721E-2</v>
      </c>
      <c r="M55" s="34">
        <f>V30</f>
        <v>6.651450149974307E-2</v>
      </c>
    </row>
    <row r="56" spans="4:13" x14ac:dyDescent="0.2">
      <c r="D56" s="71" t="s">
        <v>41</v>
      </c>
      <c r="E56" s="70">
        <f t="shared" ref="E56" si="36">AVERAGE(E52:E54)</f>
        <v>0.13760857899228543</v>
      </c>
      <c r="F56" s="70">
        <f>AVERAGE(F52:F55)</f>
        <v>5.4636180304453989E-2</v>
      </c>
      <c r="G56" s="70">
        <f>AVERAGE(G52:G55)</f>
        <v>0.13804330143380816</v>
      </c>
      <c r="H56" s="70">
        <f>AVERAGE(H52:H55)</f>
        <v>0.13309131773038552</v>
      </c>
      <c r="I56" s="71" t="s">
        <v>41</v>
      </c>
      <c r="J56" s="70">
        <f t="shared" ref="J56:K56" si="37">AVERAGE(J52:J55)</f>
        <v>5.5219686689417243E-2</v>
      </c>
      <c r="K56" s="70">
        <f t="shared" si="37"/>
        <v>4.0365480561234721E-2</v>
      </c>
      <c r="L56" s="70">
        <f>AVERAGE(L52:L55)</f>
        <v>4.9772363684179685E-2</v>
      </c>
      <c r="M56" s="70">
        <f>AVERAGE(M52:M55)</f>
        <v>5.7403743780183064E-2</v>
      </c>
    </row>
    <row r="57" spans="4:13" x14ac:dyDescent="0.2">
      <c r="D57" s="8"/>
      <c r="E57" s="9"/>
      <c r="F57" s="9"/>
      <c r="G57" s="9"/>
      <c r="H57" s="9"/>
      <c r="I57" s="8"/>
      <c r="K57" s="8"/>
      <c r="L57" s="8"/>
    </row>
    <row r="58" spans="4:13" x14ac:dyDescent="0.2">
      <c r="D58" s="25" t="s">
        <v>0</v>
      </c>
      <c r="E58" s="4">
        <v>2017</v>
      </c>
      <c r="F58" s="4">
        <v>2020</v>
      </c>
      <c r="G58" s="4">
        <v>2019</v>
      </c>
      <c r="H58" s="4">
        <v>2018</v>
      </c>
      <c r="I58" s="24" t="s">
        <v>4</v>
      </c>
      <c r="J58" s="4">
        <v>2017</v>
      </c>
      <c r="K58" s="4">
        <v>2020</v>
      </c>
      <c r="L58" s="4">
        <v>2019</v>
      </c>
      <c r="M58" s="4">
        <v>2018</v>
      </c>
    </row>
    <row r="59" spans="4:13" x14ac:dyDescent="0.2">
      <c r="D59" s="3" t="s">
        <v>2</v>
      </c>
      <c r="E59" s="34">
        <f>E29</f>
        <v>5.3077786411119744E-2</v>
      </c>
      <c r="F59" s="34">
        <f>F29</f>
        <v>4.1545367977145968E-2</v>
      </c>
      <c r="G59" s="34">
        <f>G29</f>
        <v>6.6909382793911079E-2</v>
      </c>
      <c r="H59" s="34">
        <f>H29</f>
        <v>7.1022727272727279E-2</v>
      </c>
      <c r="I59" s="3" t="s">
        <v>2</v>
      </c>
      <c r="J59" s="34">
        <f>E32</f>
        <v>9.3308275507581598E-2</v>
      </c>
      <c r="K59" s="34">
        <f>F32</f>
        <v>0.1171008002107551</v>
      </c>
      <c r="L59" s="34">
        <f>G32</f>
        <v>0.11220243272537501</v>
      </c>
      <c r="M59" s="34">
        <f>H32</f>
        <v>9.9895983897767035E-2</v>
      </c>
    </row>
    <row r="60" spans="4:13" x14ac:dyDescent="0.2">
      <c r="D60" s="6" t="s">
        <v>1</v>
      </c>
      <c r="E60" s="34">
        <f>J29</f>
        <v>6.1579040280792113E-2</v>
      </c>
      <c r="F60" s="34">
        <f>K29</f>
        <v>2.1708613255790633E-2</v>
      </c>
      <c r="G60" s="34">
        <f>L29</f>
        <v>4.9131002407082534E-2</v>
      </c>
      <c r="H60" s="34">
        <f>M29</f>
        <v>5.0881050447493109E-2</v>
      </c>
      <c r="I60" s="6" t="s">
        <v>1</v>
      </c>
      <c r="J60" s="34">
        <f>J32</f>
        <v>0.10785964248557647</v>
      </c>
      <c r="K60" s="34">
        <f>K32</f>
        <v>8.4313996954174172E-2</v>
      </c>
      <c r="L60" s="34">
        <f>L32</f>
        <v>9.4854280089104973E-2</v>
      </c>
      <c r="M60" s="34">
        <f>M32</f>
        <v>9.4518711734231792E-2</v>
      </c>
    </row>
    <row r="61" spans="4:13" x14ac:dyDescent="0.2">
      <c r="D61" s="7" t="s">
        <v>3</v>
      </c>
      <c r="E61" s="37"/>
      <c r="F61" s="37">
        <f>P29</f>
        <v>1.9462336606894996E-2</v>
      </c>
      <c r="G61" s="37">
        <f>Q29</f>
        <v>3.4749042659776956E-2</v>
      </c>
      <c r="H61" s="37">
        <f>R29</f>
        <v>3.0382664419979222E-2</v>
      </c>
      <c r="I61" s="7" t="s">
        <v>3</v>
      </c>
      <c r="J61" s="34">
        <f>O32</f>
        <v>0.15675887606186015</v>
      </c>
      <c r="K61" s="34">
        <f>P32</f>
        <v>0.16486154232695036</v>
      </c>
      <c r="L61" s="34">
        <f>Q32</f>
        <v>0.1638707685487191</v>
      </c>
      <c r="M61" s="34">
        <f>R32</f>
        <v>0.1546794771230745</v>
      </c>
    </row>
    <row r="62" spans="4:13" x14ac:dyDescent="0.2">
      <c r="D62" s="11" t="s">
        <v>42</v>
      </c>
      <c r="F62" s="37">
        <f>T29</f>
        <v>2.3108662861302528E-2</v>
      </c>
      <c r="G62" s="37">
        <f>U29</f>
        <v>1.4260774109073596E-2</v>
      </c>
      <c r="H62" s="37">
        <f>V29</f>
        <v>3.9528582943622409E-2</v>
      </c>
      <c r="I62" s="11" t="s">
        <v>42</v>
      </c>
      <c r="J62" s="9"/>
      <c r="K62" s="34">
        <f>T32</f>
        <v>0.10083663298965063</v>
      </c>
      <c r="L62" s="34">
        <f>U32</f>
        <v>6.9837043040319541E-2</v>
      </c>
      <c r="M62" s="34">
        <f>V32</f>
        <v>0.10418733045733201</v>
      </c>
    </row>
    <row r="63" spans="4:13" x14ac:dyDescent="0.2">
      <c r="D63" s="71" t="s">
        <v>41</v>
      </c>
      <c r="E63" s="70">
        <f t="shared" ref="E63:F63" si="38">AVERAGE(E59:E62)</f>
        <v>5.7328413345955925E-2</v>
      </c>
      <c r="F63" s="70">
        <f t="shared" si="38"/>
        <v>2.6456245175283534E-2</v>
      </c>
      <c r="G63" s="70">
        <f>AVERAGE(G59:G62)</f>
        <v>4.1262550492461039E-2</v>
      </c>
      <c r="H63" s="70">
        <f>AVERAGE(H59:H62)</f>
        <v>4.7953756270955501E-2</v>
      </c>
      <c r="I63" s="71" t="s">
        <v>41</v>
      </c>
      <c r="J63" s="70">
        <f t="shared" ref="J63:K63" si="39">AVERAGE(J59:J62)</f>
        <v>0.11930893135167275</v>
      </c>
      <c r="K63" s="70">
        <f t="shared" si="39"/>
        <v>0.11677824312038257</v>
      </c>
      <c r="L63" s="70">
        <f>AVERAGE(L59:L62)</f>
        <v>0.11019113110087966</v>
      </c>
      <c r="M63" s="70">
        <f>AVERAGE(M59:M62)</f>
        <v>0.11332037580310134</v>
      </c>
    </row>
    <row r="65" spans="4:13" x14ac:dyDescent="0.2">
      <c r="D65" s="26" t="s">
        <v>28</v>
      </c>
      <c r="E65" s="28">
        <v>2017</v>
      </c>
      <c r="F65" s="4">
        <v>2020</v>
      </c>
      <c r="G65" s="27">
        <v>2019</v>
      </c>
      <c r="H65" s="28">
        <v>2018</v>
      </c>
      <c r="I65" s="24" t="s">
        <v>9</v>
      </c>
      <c r="J65" s="4">
        <v>2017</v>
      </c>
      <c r="K65" s="4">
        <v>2020</v>
      </c>
      <c r="L65" s="4">
        <v>2019</v>
      </c>
      <c r="M65" s="4">
        <v>2018</v>
      </c>
    </row>
    <row r="66" spans="4:13" x14ac:dyDescent="0.2">
      <c r="D66" s="29" t="s">
        <v>2</v>
      </c>
      <c r="E66" s="38">
        <f>E36</f>
        <v>2.4667185442356039</v>
      </c>
      <c r="F66" s="38">
        <f>F36</f>
        <v>2.0790818463600571</v>
      </c>
      <c r="G66" s="38">
        <f>G36</f>
        <v>2.2001284344754826</v>
      </c>
      <c r="H66" s="38">
        <f>H36</f>
        <v>2.1617842196590793</v>
      </c>
      <c r="I66" s="3" t="s">
        <v>2</v>
      </c>
      <c r="J66" s="36">
        <f>E31</f>
        <v>1.074954674954675</v>
      </c>
      <c r="K66" s="36">
        <f>F31</f>
        <v>0.82620051693647123</v>
      </c>
      <c r="L66" s="36">
        <f>G31</f>
        <v>1.0711664707737294</v>
      </c>
      <c r="M66" s="36">
        <f>H31</f>
        <v>1.1949089617768596</v>
      </c>
    </row>
    <row r="67" spans="4:13" x14ac:dyDescent="0.2">
      <c r="D67" s="31" t="s">
        <v>1</v>
      </c>
      <c r="E67" s="38">
        <f>J36</f>
        <v>3.5885071711059227</v>
      </c>
      <c r="F67" s="38">
        <f>K36</f>
        <v>2.8563860639573102</v>
      </c>
      <c r="G67" s="38">
        <f>L36</f>
        <v>2.4191455972101132</v>
      </c>
      <c r="H67" s="38">
        <f>M36</f>
        <v>2.8900132514154921</v>
      </c>
      <c r="I67" s="6" t="s">
        <v>1</v>
      </c>
      <c r="J67" s="36">
        <f>J31</f>
        <v>1.0979345579912565</v>
      </c>
      <c r="K67" s="36">
        <f>K31</f>
        <v>0.86910658778702499</v>
      </c>
      <c r="L67" s="36">
        <f>L31</f>
        <v>1.1034535514666883</v>
      </c>
      <c r="M67" s="36">
        <f>M31</f>
        <v>1.1397603047288718</v>
      </c>
    </row>
    <row r="68" spans="4:13" x14ac:dyDescent="0.2">
      <c r="D68" s="32" t="s">
        <v>3</v>
      </c>
      <c r="E68" s="38">
        <f>O36</f>
        <v>2.8705960009901261</v>
      </c>
      <c r="F68" s="38">
        <f>P36</f>
        <v>2.8600902293004511</v>
      </c>
      <c r="G68" s="38">
        <f>Q36</f>
        <v>2.9471658134588479</v>
      </c>
      <c r="H68" s="38">
        <f>R36</f>
        <v>2.9044502394709482</v>
      </c>
      <c r="I68" s="7" t="s">
        <v>3</v>
      </c>
      <c r="J68" s="36">
        <f>O31</f>
        <v>0.54370868299569153</v>
      </c>
      <c r="K68" s="36">
        <f>P31</f>
        <v>0.44835591031433436</v>
      </c>
      <c r="L68" s="36">
        <f>Q31</f>
        <v>0.51761321610995126</v>
      </c>
      <c r="M68" s="36">
        <f>R31</f>
        <v>0.51477880896463213</v>
      </c>
    </row>
    <row r="69" spans="4:13" x14ac:dyDescent="0.2">
      <c r="D69" s="11" t="s">
        <v>42</v>
      </c>
      <c r="E69" s="30"/>
      <c r="F69" s="38">
        <f>T36</f>
        <v>3.5903000899627298</v>
      </c>
      <c r="G69" s="38">
        <f>U36</f>
        <v>3.8127496379752071</v>
      </c>
      <c r="H69" s="38">
        <f>V36</f>
        <v>3.2635308010234207</v>
      </c>
      <c r="I69" s="11" t="s">
        <v>42</v>
      </c>
      <c r="J69" s="9"/>
      <c r="K69" s="36">
        <f>T31</f>
        <v>0.54003856693392871</v>
      </c>
      <c r="L69" s="36">
        <f>U31</f>
        <v>0.57117491849569169</v>
      </c>
      <c r="M69" s="36">
        <f>V31</f>
        <v>0.59428518672390718</v>
      </c>
    </row>
    <row r="70" spans="4:13" x14ac:dyDescent="0.2">
      <c r="D70" s="71" t="s">
        <v>41</v>
      </c>
      <c r="E70" s="72">
        <f t="shared" ref="E70:F70" si="40">AVERAGE(E66:E69)</f>
        <v>2.9752739054438844</v>
      </c>
      <c r="F70" s="72">
        <f t="shared" si="40"/>
        <v>2.8464645573951373</v>
      </c>
      <c r="G70" s="72">
        <f>AVERAGE(G66:G69)</f>
        <v>2.8447973707799123</v>
      </c>
      <c r="H70" s="72">
        <f>AVERAGE(H66:H69)</f>
        <v>2.8049446278922354</v>
      </c>
      <c r="I70" s="71" t="s">
        <v>41</v>
      </c>
      <c r="J70" s="72">
        <f t="shared" ref="J70:K70" si="41">AVERAGE(J66:J69)</f>
        <v>0.90553263864720768</v>
      </c>
      <c r="K70" s="72">
        <f t="shared" si="41"/>
        <v>0.67092539549293984</v>
      </c>
      <c r="L70" s="72">
        <f>AVERAGE(L66:L69)</f>
        <v>0.81585203921151506</v>
      </c>
      <c r="M70" s="72">
        <f>AVERAGE(M66:M69)</f>
        <v>0.86093331554856756</v>
      </c>
    </row>
    <row r="74" spans="4:13" x14ac:dyDescent="0.2">
      <c r="D74" s="25" t="s">
        <v>31</v>
      </c>
      <c r="E74" s="4">
        <v>2017</v>
      </c>
      <c r="F74" s="4">
        <v>2020</v>
      </c>
      <c r="G74" s="4">
        <v>2019</v>
      </c>
      <c r="H74" s="4">
        <v>2018</v>
      </c>
    </row>
    <row r="75" spans="4:13" x14ac:dyDescent="0.2">
      <c r="D75" s="3" t="s">
        <v>2</v>
      </c>
      <c r="E75" s="39">
        <f t="shared" ref="E75:E76" si="42">E59/E$63</f>
        <v>0.9258547954365105</v>
      </c>
      <c r="F75" s="39">
        <f t="shared" ref="F75:H77" si="43">F59/F$63</f>
        <v>1.5703425675824658</v>
      </c>
      <c r="G75" s="39">
        <f t="shared" si="43"/>
        <v>1.6215522791334942</v>
      </c>
      <c r="H75" s="39">
        <f t="shared" si="43"/>
        <v>1.4810670278137132</v>
      </c>
    </row>
    <row r="76" spans="4:13" x14ac:dyDescent="0.2">
      <c r="D76" s="6" t="s">
        <v>1</v>
      </c>
      <c r="E76" s="39">
        <f t="shared" si="42"/>
        <v>1.0741452045634896</v>
      </c>
      <c r="F76" s="39">
        <f t="shared" si="43"/>
        <v>0.82054778038085596</v>
      </c>
      <c r="G76" s="39">
        <f t="shared" si="43"/>
        <v>1.1906923304718917</v>
      </c>
      <c r="H76" s="39">
        <f t="shared" si="43"/>
        <v>1.0610441059089797</v>
      </c>
    </row>
    <row r="77" spans="4:13" x14ac:dyDescent="0.2">
      <c r="D77" s="7" t="s">
        <v>3</v>
      </c>
      <c r="E77" s="39">
        <f>E61/E$63</f>
        <v>0</v>
      </c>
      <c r="F77" s="39">
        <f t="shared" si="43"/>
        <v>0.73564243444029909</v>
      </c>
      <c r="G77" s="39">
        <f t="shared" si="43"/>
        <v>0.84214480794457558</v>
      </c>
      <c r="H77" s="39">
        <f t="shared" si="43"/>
        <v>0.63358257585300592</v>
      </c>
    </row>
    <row r="78" spans="4:13" x14ac:dyDescent="0.2">
      <c r="D78" s="11" t="s">
        <v>42</v>
      </c>
      <c r="E78" s="39">
        <f t="shared" ref="E78:F78" si="44">E62/E$63</f>
        <v>0</v>
      </c>
      <c r="F78" s="39">
        <f t="shared" si="44"/>
        <v>0.8734672175963788</v>
      </c>
      <c r="G78" s="39">
        <f>G62/G$63</f>
        <v>0.34561058245003884</v>
      </c>
      <c r="H78" s="39">
        <f>H62/H$63</f>
        <v>0.82430629042430137</v>
      </c>
    </row>
    <row r="80" spans="4:13" x14ac:dyDescent="0.2">
      <c r="D80" s="26" t="s">
        <v>30</v>
      </c>
      <c r="E80" s="28">
        <v>2017</v>
      </c>
      <c r="F80" s="4">
        <v>2020</v>
      </c>
      <c r="G80" s="27">
        <v>2019</v>
      </c>
      <c r="H80" s="28">
        <v>2018</v>
      </c>
    </row>
    <row r="81" spans="4:8" x14ac:dyDescent="0.2">
      <c r="D81" s="29" t="s">
        <v>2</v>
      </c>
      <c r="E81" s="38">
        <f t="shared" ref="E81:E83" si="45">E66/E$70</f>
        <v>0.82907275855249085</v>
      </c>
      <c r="F81" s="38">
        <f t="shared" ref="F81:H83" si="46">F66/F$70</f>
        <v>0.73040847846096879</v>
      </c>
      <c r="G81" s="38">
        <f t="shared" si="46"/>
        <v>0.77338669427703699</v>
      </c>
      <c r="H81" s="38">
        <f t="shared" si="46"/>
        <v>0.77070477547485261</v>
      </c>
    </row>
    <row r="82" spans="4:8" x14ac:dyDescent="0.2">
      <c r="D82" s="31" t="s">
        <v>1</v>
      </c>
      <c r="E82" s="38">
        <f t="shared" si="45"/>
        <v>1.2061098524542564</v>
      </c>
      <c r="F82" s="38">
        <f t="shared" si="46"/>
        <v>1.0034855542242382</v>
      </c>
      <c r="G82" s="38">
        <f t="shared" si="46"/>
        <v>0.85037536313065942</v>
      </c>
      <c r="H82" s="38">
        <f t="shared" si="46"/>
        <v>1.0303280937089947</v>
      </c>
    </row>
    <row r="83" spans="4:8" x14ac:dyDescent="0.2">
      <c r="D83" s="32" t="s">
        <v>3</v>
      </c>
      <c r="E83" s="38">
        <f t="shared" si="45"/>
        <v>0.96481738899325264</v>
      </c>
      <c r="F83" s="38">
        <f t="shared" si="46"/>
        <v>1.0047868756594611</v>
      </c>
      <c r="G83" s="38">
        <f t="shared" si="46"/>
        <v>1.0359844408358936</v>
      </c>
      <c r="H83" s="38">
        <f t="shared" si="46"/>
        <v>1.0354750716250274</v>
      </c>
    </row>
    <row r="84" spans="4:8" x14ac:dyDescent="0.2">
      <c r="D84" s="11" t="s">
        <v>42</v>
      </c>
      <c r="E84" s="38">
        <f t="shared" ref="E84:F84" si="47">E69/E70</f>
        <v>0</v>
      </c>
      <c r="F84" s="38">
        <f t="shared" si="47"/>
        <v>1.2613190916553314</v>
      </c>
      <c r="G84" s="38">
        <f>G69/G70</f>
        <v>1.3402535017564103</v>
      </c>
      <c r="H84" s="38">
        <f>H69/H70</f>
        <v>1.1634920591911249</v>
      </c>
    </row>
    <row r="89" spans="4:8" x14ac:dyDescent="0.2">
      <c r="D89" s="25" t="s">
        <v>26</v>
      </c>
      <c r="E89" s="4">
        <v>2017</v>
      </c>
      <c r="F89" s="4">
        <v>2020</v>
      </c>
      <c r="G89" s="4">
        <v>2019</v>
      </c>
      <c r="H89" s="4">
        <v>2018</v>
      </c>
    </row>
    <row r="90" spans="4:8" x14ac:dyDescent="0.2">
      <c r="D90" s="3" t="s">
        <v>2</v>
      </c>
      <c r="E90" s="39">
        <v>0.89726212151864593</v>
      </c>
      <c r="F90" s="39">
        <f>F39</f>
        <v>1.1440301171583422</v>
      </c>
      <c r="G90" s="39">
        <v>0.98823343848580447</v>
      </c>
      <c r="H90" s="39">
        <v>0.93813745750283317</v>
      </c>
    </row>
    <row r="91" spans="4:8" x14ac:dyDescent="0.2">
      <c r="D91" s="6" t="s">
        <v>1</v>
      </c>
      <c r="E91" s="39">
        <v>0.76739512153842904</v>
      </c>
      <c r="F91" s="39">
        <f>K39</f>
        <v>1.0260265901580552</v>
      </c>
      <c r="G91" s="39">
        <v>0.80573880149467181</v>
      </c>
      <c r="H91" s="39">
        <v>0.82394457115806685</v>
      </c>
    </row>
    <row r="92" spans="4:8" x14ac:dyDescent="0.2">
      <c r="D92" s="7" t="s">
        <v>3</v>
      </c>
      <c r="E92" s="41">
        <v>0.99827294889300389</v>
      </c>
      <c r="F92" s="41">
        <f>P39</f>
        <v>1.1785502690284746</v>
      </c>
      <c r="G92" s="41">
        <v>1.1163562087611063</v>
      </c>
      <c r="H92" s="41">
        <v>1.0926843208230139</v>
      </c>
    </row>
    <row r="93" spans="4:8" x14ac:dyDescent="0.2">
      <c r="D93" s="11" t="s">
        <v>42</v>
      </c>
      <c r="E93" s="41"/>
      <c r="F93" s="41">
        <f>T39</f>
        <v>1.1548457553928002</v>
      </c>
      <c r="G93" s="41">
        <f>U39</f>
        <v>1.2079166745430143</v>
      </c>
      <c r="H93" s="41">
        <f>V39</f>
        <v>1.2415570891865404</v>
      </c>
    </row>
    <row r="95" spans="4:8" x14ac:dyDescent="0.2">
      <c r="D95" s="25" t="s">
        <v>35</v>
      </c>
      <c r="E95" s="4">
        <v>2017</v>
      </c>
      <c r="F95" s="4">
        <v>2020</v>
      </c>
      <c r="G95" s="4">
        <v>2019</v>
      </c>
      <c r="H95" s="4">
        <v>2018</v>
      </c>
    </row>
    <row r="96" spans="4:8" x14ac:dyDescent="0.2">
      <c r="D96" s="3" t="s">
        <v>2</v>
      </c>
      <c r="E96" s="39">
        <v>0.7074909279419388</v>
      </c>
      <c r="F96" s="39">
        <f>F40</f>
        <v>0.45177738927738925</v>
      </c>
      <c r="G96" s="39">
        <v>0.74344521308395251</v>
      </c>
      <c r="H96" s="39">
        <v>1.080994076744785</v>
      </c>
    </row>
    <row r="97" spans="4:13" x14ac:dyDescent="0.2">
      <c r="D97" s="6" t="s">
        <v>1</v>
      </c>
      <c r="E97" s="39">
        <v>0.57344008834897842</v>
      </c>
      <c r="F97" s="39">
        <f>K40</f>
        <v>0.42220689655172416</v>
      </c>
      <c r="G97" s="39">
        <v>0.79143656857553524</v>
      </c>
      <c r="H97" s="39">
        <v>0.67512724804886326</v>
      </c>
    </row>
    <row r="98" spans="4:13" x14ac:dyDescent="0.2">
      <c r="D98" s="7" t="s">
        <v>3</v>
      </c>
      <c r="E98" s="41">
        <v>-6.7827848912751067E-3</v>
      </c>
      <c r="F98" s="41">
        <f>P40</f>
        <v>0.11406570653767224</v>
      </c>
      <c r="G98" s="41">
        <v>8.2937853107344639E-2</v>
      </c>
      <c r="H98" s="41">
        <v>3.5731483210330289E-2</v>
      </c>
    </row>
    <row r="99" spans="4:13" x14ac:dyDescent="0.2">
      <c r="D99" s="11" t="s">
        <v>42</v>
      </c>
      <c r="E99" s="41"/>
      <c r="F99" s="41">
        <f>T40</f>
        <v>0.1445998445998446</v>
      </c>
      <c r="G99" s="41">
        <f>U40</f>
        <v>4.5955582484677591E-2</v>
      </c>
      <c r="H99" s="41">
        <f>V40</f>
        <v>2.2138458956717055E-3</v>
      </c>
    </row>
    <row r="101" spans="4:13" x14ac:dyDescent="0.2">
      <c r="D101" s="25" t="s">
        <v>39</v>
      </c>
      <c r="E101" s="4">
        <v>2017</v>
      </c>
      <c r="F101" s="4">
        <v>2020</v>
      </c>
      <c r="G101" s="4">
        <v>2019</v>
      </c>
      <c r="H101" s="4">
        <v>2018</v>
      </c>
      <c r="I101" s="25" t="s">
        <v>37</v>
      </c>
      <c r="J101" s="4">
        <v>2017</v>
      </c>
      <c r="K101" s="4">
        <v>2020</v>
      </c>
      <c r="L101" s="4">
        <v>2019</v>
      </c>
      <c r="M101" s="4">
        <v>2018</v>
      </c>
    </row>
    <row r="102" spans="4:13" x14ac:dyDescent="0.2">
      <c r="D102" s="3" t="s">
        <v>2</v>
      </c>
      <c r="E102" s="34">
        <v>-1.8488177846312001E-2</v>
      </c>
      <c r="F102" s="34">
        <f>F41</f>
        <v>-6.3621694602693707E-2</v>
      </c>
      <c r="G102" s="34">
        <v>-3.7614912151583683E-2</v>
      </c>
      <c r="H102" s="34">
        <v>-3.3325678468666839E-2</v>
      </c>
      <c r="I102" s="3" t="s">
        <v>2</v>
      </c>
      <c r="J102" s="39">
        <v>8.5410893126629173</v>
      </c>
      <c r="K102" s="39">
        <f>F42</f>
        <v>11.318300409988819</v>
      </c>
      <c r="L102" s="39">
        <v>11.920721008135269</v>
      </c>
      <c r="M102" s="39">
        <v>11.032339791356184</v>
      </c>
    </row>
    <row r="103" spans="4:13" x14ac:dyDescent="0.2">
      <c r="D103" s="6" t="s">
        <v>1</v>
      </c>
      <c r="E103" s="34">
        <v>-1.0687600491818784E-2</v>
      </c>
      <c r="F103" s="34">
        <f>K41</f>
        <v>-8.0033688679680651E-2</v>
      </c>
      <c r="G103" s="34">
        <v>-4.8674979433758217E-2</v>
      </c>
      <c r="H103" s="34">
        <v>-1.219976089555483E-2</v>
      </c>
      <c r="I103" s="6" t="s">
        <v>1</v>
      </c>
      <c r="J103" s="39">
        <v>8.1821699427333225</v>
      </c>
      <c r="K103" s="39">
        <f>K42</f>
        <v>10.708673091178651</v>
      </c>
      <c r="L103" s="39">
        <v>11.128060069944455</v>
      </c>
      <c r="M103" s="39">
        <v>10.324668038152234</v>
      </c>
    </row>
    <row r="104" spans="4:13" x14ac:dyDescent="0.2">
      <c r="D104" s="7" t="s">
        <v>3</v>
      </c>
      <c r="E104" s="37">
        <v>0.15714223480723155</v>
      </c>
      <c r="F104" s="37">
        <f>P41</f>
        <v>0.200866818614167</v>
      </c>
      <c r="G104" s="37">
        <v>0.19478925868456887</v>
      </c>
      <c r="H104" s="37">
        <v>0.19601100704264168</v>
      </c>
      <c r="I104" s="7" t="s">
        <v>3</v>
      </c>
      <c r="J104" s="41">
        <v>5.679821848323642</v>
      </c>
      <c r="K104" s="41">
        <f>P42</f>
        <v>5.0860050658330103</v>
      </c>
      <c r="L104" s="41">
        <v>5.4048179367592315</v>
      </c>
      <c r="M104" s="41">
        <v>5.1557328669799976</v>
      </c>
    </row>
    <row r="105" spans="4:13" x14ac:dyDescent="0.2">
      <c r="D105" s="11" t="s">
        <v>42</v>
      </c>
      <c r="E105" s="37"/>
      <c r="F105" s="37">
        <f>T41</f>
        <v>0.16016564166704469</v>
      </c>
      <c r="G105" s="37">
        <f>U41</f>
        <v>0.17008885930128223</v>
      </c>
      <c r="H105" s="37">
        <f>V41</f>
        <v>0.16664475806933474</v>
      </c>
      <c r="I105" s="11" t="s">
        <v>42</v>
      </c>
      <c r="J105" s="41"/>
      <c r="K105" s="41">
        <f>T42</f>
        <v>5.8353123581908939</v>
      </c>
      <c r="L105" s="41">
        <f>U42</f>
        <v>5.8051886950969518</v>
      </c>
      <c r="M105" s="41">
        <f>V42</f>
        <v>5.6754043880769096</v>
      </c>
    </row>
    <row r="107" spans="4:13" x14ac:dyDescent="0.2">
      <c r="D107" s="25" t="s">
        <v>40</v>
      </c>
      <c r="E107" s="4">
        <v>2017</v>
      </c>
      <c r="F107" s="4">
        <v>2020</v>
      </c>
      <c r="G107" s="4">
        <v>2019</v>
      </c>
      <c r="H107" s="4">
        <v>2018</v>
      </c>
    </row>
    <row r="108" spans="4:13" x14ac:dyDescent="0.2">
      <c r="D108" s="3" t="s">
        <v>2</v>
      </c>
      <c r="E108" s="34">
        <v>-7.2140205473538804E-2</v>
      </c>
      <c r="F108" s="34">
        <f>F43</f>
        <v>-0.12467691470548224</v>
      </c>
      <c r="G108" s="34">
        <v>-8.7779147435713675E-2</v>
      </c>
      <c r="H108" s="34">
        <v>-0.12364411157024793</v>
      </c>
    </row>
    <row r="109" spans="4:13" x14ac:dyDescent="0.2">
      <c r="D109" s="6" t="s">
        <v>1</v>
      </c>
      <c r="E109" s="34">
        <v>5.6823019969054714E-2</v>
      </c>
      <c r="F109" s="34">
        <f>K43</f>
        <v>-2.1016745212072595E-2</v>
      </c>
      <c r="G109" s="34">
        <v>-1.8583493125535474E-2</v>
      </c>
      <c r="H109" s="34">
        <v>2.3587583743664386E-2</v>
      </c>
    </row>
    <row r="110" spans="4:13" x14ac:dyDescent="0.2">
      <c r="D110" s="7" t="s">
        <v>3</v>
      </c>
      <c r="E110" s="37">
        <v>0.37009140369451887</v>
      </c>
      <c r="F110" s="37">
        <f>P43</f>
        <v>0.37093101381172128</v>
      </c>
      <c r="G110" s="37">
        <v>0.3911357159101852</v>
      </c>
      <c r="H110" s="37">
        <v>0.38104924960057274</v>
      </c>
    </row>
    <row r="111" spans="4:13" x14ac:dyDescent="0.2">
      <c r="D111" s="11" t="s">
        <v>42</v>
      </c>
      <c r="E111" s="37"/>
      <c r="F111" s="37">
        <f>T43</f>
        <v>0.45983544308227497</v>
      </c>
      <c r="G111" s="37">
        <f>U43</f>
        <v>0.50509856565643207</v>
      </c>
      <c r="H111" s="37">
        <f>V43</f>
        <v>0.49386227491753043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FF03-0C39-6948-BD35-10E16103B5F0}">
  <sheetPr>
    <tabColor rgb="FF0070C0"/>
  </sheetPr>
  <dimension ref="C1:AD111"/>
  <sheetViews>
    <sheetView tabSelected="1" topLeftCell="H20" zoomScale="82" zoomScaleNormal="118" workbookViewId="0">
      <selection activeCell="AD6" sqref="S6:AD6"/>
    </sheetView>
  </sheetViews>
  <sheetFormatPr baseColWidth="10" defaultColWidth="10.83203125" defaultRowHeight="16" x14ac:dyDescent="0.2"/>
  <cols>
    <col min="4" max="4" width="29.6640625" bestFit="1" customWidth="1"/>
    <col min="5" max="5" width="12" style="1" hidden="1" customWidth="1"/>
    <col min="6" max="6" width="12.1640625" style="1" bestFit="1" customWidth="1"/>
    <col min="7" max="8" width="12.6640625" style="1" customWidth="1"/>
    <col min="9" max="9" width="29.6640625" customWidth="1"/>
    <col min="10" max="10" width="13" hidden="1" customWidth="1"/>
    <col min="11" max="13" width="13" customWidth="1"/>
    <col min="14" max="14" width="29.6640625" bestFit="1" customWidth="1"/>
    <col min="15" max="15" width="13" hidden="1" customWidth="1"/>
    <col min="16" max="18" width="13" bestFit="1" customWidth="1"/>
    <col min="19" max="19" width="29.6640625" bestFit="1" customWidth="1"/>
    <col min="20" max="20" width="13" customWidth="1"/>
    <col min="21" max="23" width="13" hidden="1" customWidth="1"/>
    <col min="24" max="24" width="25.5" hidden="1" customWidth="1"/>
    <col min="25" max="28" width="0" hidden="1" customWidth="1"/>
    <col min="29" max="30" width="13" customWidth="1"/>
  </cols>
  <sheetData>
    <row r="1" spans="4:30" x14ac:dyDescent="0.2">
      <c r="T1" s="8"/>
      <c r="U1" s="8"/>
      <c r="V1" s="8"/>
      <c r="W1" s="8"/>
      <c r="X1" s="8"/>
      <c r="Y1" s="9"/>
      <c r="Z1" s="9"/>
      <c r="AA1" s="9"/>
      <c r="AB1" s="9"/>
      <c r="AC1" s="8"/>
      <c r="AD1" s="8"/>
    </row>
    <row r="2" spans="4:30" x14ac:dyDescent="0.2">
      <c r="D2" s="2"/>
      <c r="E2" s="4">
        <v>2017</v>
      </c>
      <c r="F2" s="4">
        <v>2018</v>
      </c>
      <c r="G2" s="4">
        <v>2019</v>
      </c>
      <c r="H2" s="4">
        <v>2020</v>
      </c>
      <c r="I2" s="2"/>
      <c r="J2" s="4">
        <v>2017</v>
      </c>
      <c r="K2" s="4">
        <v>2018</v>
      </c>
      <c r="L2" s="4">
        <v>2019</v>
      </c>
      <c r="M2" s="4">
        <v>2020</v>
      </c>
      <c r="N2" s="2"/>
      <c r="O2" s="4">
        <v>2017</v>
      </c>
      <c r="P2" s="4">
        <v>2018</v>
      </c>
      <c r="Q2" s="4">
        <v>2019</v>
      </c>
      <c r="R2" s="4">
        <v>2020</v>
      </c>
      <c r="S2" s="2"/>
      <c r="T2" s="79">
        <v>2018</v>
      </c>
      <c r="U2" s="79">
        <v>2018</v>
      </c>
      <c r="V2" s="79">
        <v>2019</v>
      </c>
      <c r="W2" s="79">
        <v>2020</v>
      </c>
      <c r="X2" s="19"/>
      <c r="Y2" s="79">
        <v>2018</v>
      </c>
      <c r="Z2" s="79">
        <v>2017</v>
      </c>
      <c r="AA2" s="79">
        <v>2019</v>
      </c>
      <c r="AB2" s="79">
        <v>2020</v>
      </c>
      <c r="AC2" s="79">
        <v>2019</v>
      </c>
      <c r="AD2" s="79">
        <v>2020</v>
      </c>
    </row>
    <row r="3" spans="4:30" x14ac:dyDescent="0.2">
      <c r="D3" s="3" t="s">
        <v>2</v>
      </c>
      <c r="E3" s="5" t="s">
        <v>21</v>
      </c>
      <c r="F3" s="5" t="s">
        <v>21</v>
      </c>
      <c r="G3" s="5" t="s">
        <v>21</v>
      </c>
      <c r="H3" s="5" t="s">
        <v>21</v>
      </c>
      <c r="I3" s="6" t="s">
        <v>1</v>
      </c>
      <c r="J3" s="5" t="s">
        <v>21</v>
      </c>
      <c r="K3" s="5" t="s">
        <v>21</v>
      </c>
      <c r="L3" s="5" t="s">
        <v>21</v>
      </c>
      <c r="M3" s="5" t="s">
        <v>21</v>
      </c>
      <c r="N3" s="7" t="s">
        <v>3</v>
      </c>
      <c r="O3" s="5" t="s">
        <v>21</v>
      </c>
      <c r="P3" s="5" t="s">
        <v>21</v>
      </c>
      <c r="Q3" s="5" t="s">
        <v>21</v>
      </c>
      <c r="R3" s="5" t="s">
        <v>21</v>
      </c>
      <c r="S3" s="11" t="s">
        <v>46</v>
      </c>
      <c r="T3" s="80" t="s">
        <v>21</v>
      </c>
      <c r="U3" s="80" t="s">
        <v>21</v>
      </c>
      <c r="V3" s="80" t="s">
        <v>21</v>
      </c>
      <c r="W3" s="80" t="s">
        <v>21</v>
      </c>
      <c r="X3" s="79" t="s">
        <v>42</v>
      </c>
      <c r="Y3" s="80" t="s">
        <v>21</v>
      </c>
      <c r="Z3" s="80" t="s">
        <v>21</v>
      </c>
      <c r="AA3" s="80" t="s">
        <v>21</v>
      </c>
      <c r="AB3" s="80" t="s">
        <v>21</v>
      </c>
      <c r="AC3" s="80" t="s">
        <v>21</v>
      </c>
      <c r="AD3" s="80" t="s">
        <v>21</v>
      </c>
    </row>
    <row r="4" spans="4:30" x14ac:dyDescent="0.2">
      <c r="D4" s="12" t="s">
        <v>10</v>
      </c>
      <c r="E4" s="44">
        <v>62256</v>
      </c>
      <c r="F4" s="13">
        <v>74027</v>
      </c>
      <c r="G4" s="13">
        <v>74731</v>
      </c>
      <c r="H4" s="13">
        <v>60734</v>
      </c>
      <c r="I4" s="12" t="s">
        <v>10</v>
      </c>
      <c r="J4" s="40">
        <v>105730</v>
      </c>
      <c r="K4" s="13">
        <v>110412</v>
      </c>
      <c r="L4" s="13">
        <v>108187</v>
      </c>
      <c r="M4" s="13">
        <v>86676</v>
      </c>
      <c r="N4" s="12" t="s">
        <v>10</v>
      </c>
      <c r="O4" s="40">
        <v>229550</v>
      </c>
      <c r="P4" s="13">
        <v>235849</v>
      </c>
      <c r="Q4" s="13">
        <v>252632</v>
      </c>
      <c r="R4" s="13">
        <v>222884</v>
      </c>
      <c r="S4" s="76" t="s">
        <v>10</v>
      </c>
      <c r="T4" s="81">
        <v>167362</v>
      </c>
      <c r="U4" s="82"/>
      <c r="V4" s="82"/>
      <c r="W4" s="82"/>
      <c r="X4" s="76" t="s">
        <v>10</v>
      </c>
      <c r="Y4" s="83">
        <v>154.309</v>
      </c>
      <c r="Z4" s="83">
        <v>172.745</v>
      </c>
      <c r="AA4" s="83">
        <v>167.36199999999999</v>
      </c>
      <c r="AB4" s="83">
        <v>164.154</v>
      </c>
      <c r="AC4" s="81">
        <v>172745</v>
      </c>
      <c r="AD4" s="81">
        <v>154309</v>
      </c>
    </row>
    <row r="5" spans="4:30" x14ac:dyDescent="0.2">
      <c r="D5" s="14" t="s">
        <v>11</v>
      </c>
      <c r="E5" s="44">
        <f>E6+2735</f>
        <v>5809</v>
      </c>
      <c r="F5" s="13">
        <f>F6+2995</f>
        <v>7395</v>
      </c>
      <c r="G5" s="13">
        <f>G6+3717</f>
        <v>8385</v>
      </c>
      <c r="H5" s="42">
        <f>H6+4058</f>
        <v>7112</v>
      </c>
      <c r="I5" s="14" t="s">
        <v>11</v>
      </c>
      <c r="J5" s="40">
        <f>J6+5474</f>
        <v>11404</v>
      </c>
      <c r="K5" s="13">
        <f>K6+5507</f>
        <v>10436</v>
      </c>
      <c r="L5" s="13">
        <f>L6+5445</f>
        <v>10262</v>
      </c>
      <c r="M5" s="42">
        <f>M6+5143</f>
        <v>7308</v>
      </c>
      <c r="N5" s="14" t="s">
        <v>11</v>
      </c>
      <c r="O5" s="40">
        <f>O6+10562+3734+136+7734</f>
        <v>35984</v>
      </c>
      <c r="P5" s="13">
        <f>P6+11034+3668+170+7689</f>
        <v>36481</v>
      </c>
      <c r="Q5" s="13">
        <f>Q6+12046+3665+300+8428</f>
        <v>41399</v>
      </c>
      <c r="R5" s="43">
        <f>R6+12765+4637+454+9214</f>
        <v>36745</v>
      </c>
      <c r="S5" s="77" t="s">
        <v>11</v>
      </c>
      <c r="T5" s="81">
        <f>T6+6305</f>
        <v>17437</v>
      </c>
      <c r="U5" s="82"/>
      <c r="V5" s="82"/>
      <c r="W5" s="82"/>
      <c r="X5" s="77" t="s">
        <v>11</v>
      </c>
      <c r="Y5" s="83">
        <v>24.693000000000001</v>
      </c>
      <c r="Z5" s="83">
        <v>28.545000000000002</v>
      </c>
      <c r="AA5" s="83">
        <v>28.545000000000002</v>
      </c>
      <c r="AB5" s="84">
        <v>24.27</v>
      </c>
      <c r="AC5" s="81">
        <v>12064</v>
      </c>
      <c r="AD5" s="81">
        <v>15560</v>
      </c>
    </row>
    <row r="6" spans="4:30" x14ac:dyDescent="0.2">
      <c r="D6" s="12" t="s">
        <v>5</v>
      </c>
      <c r="E6" s="44">
        <v>3074</v>
      </c>
      <c r="F6" s="13">
        <v>4400</v>
      </c>
      <c r="G6" s="13">
        <v>4668</v>
      </c>
      <c r="H6" s="13">
        <v>3054</v>
      </c>
      <c r="I6" s="12" t="s">
        <v>5</v>
      </c>
      <c r="J6" s="40">
        <f>J4-89710-7177-2903+76-86</f>
        <v>5930</v>
      </c>
      <c r="K6" s="13">
        <f>K4-95011-7318-3051-103</f>
        <v>4929</v>
      </c>
      <c r="L6" s="13">
        <f>L4-93164-6455-3612+15-154</f>
        <v>4817</v>
      </c>
      <c r="M6" s="13">
        <f>M4-75962-5501-2979+4-73</f>
        <v>2165</v>
      </c>
      <c r="N6" s="12" t="s">
        <v>5</v>
      </c>
      <c r="O6" s="40">
        <v>13818</v>
      </c>
      <c r="P6" s="13">
        <v>13920</v>
      </c>
      <c r="Q6" s="13">
        <v>16960</v>
      </c>
      <c r="R6" s="13">
        <v>9675</v>
      </c>
      <c r="S6" s="76" t="s">
        <v>5</v>
      </c>
      <c r="T6" s="81">
        <v>11132</v>
      </c>
      <c r="U6" s="82"/>
      <c r="V6" s="82"/>
      <c r="W6" s="82"/>
      <c r="X6" s="76" t="s">
        <v>5</v>
      </c>
      <c r="Y6" s="82"/>
      <c r="Z6" s="82"/>
      <c r="AA6" s="82"/>
      <c r="AB6" s="82"/>
      <c r="AC6" s="81">
        <v>4313</v>
      </c>
      <c r="AD6" s="81">
        <v>6603</v>
      </c>
    </row>
    <row r="7" spans="4:30" x14ac:dyDescent="0.2">
      <c r="D7" s="12" t="s">
        <v>12</v>
      </c>
      <c r="E7" s="44">
        <f>2836+217</f>
        <v>3053</v>
      </c>
      <c r="F7" s="13">
        <f>3954-44</f>
        <v>3910</v>
      </c>
      <c r="G7" s="13">
        <f>4324-24</f>
        <v>4300</v>
      </c>
      <c r="H7" s="13">
        <v>2737</v>
      </c>
      <c r="I7" s="12" t="s">
        <v>12</v>
      </c>
      <c r="J7" s="40">
        <v>5879</v>
      </c>
      <c r="K7" s="13">
        <v>4108</v>
      </c>
      <c r="L7" s="13">
        <v>4021</v>
      </c>
      <c r="M7" s="13">
        <v>1356</v>
      </c>
      <c r="N7" s="12" t="s">
        <v>12</v>
      </c>
      <c r="O7" s="40">
        <v>13673</v>
      </c>
      <c r="P7" s="13">
        <v>15643</v>
      </c>
      <c r="Q7" s="13">
        <v>18356</v>
      </c>
      <c r="R7" s="13">
        <v>11667</v>
      </c>
      <c r="S7" s="76" t="s">
        <v>12</v>
      </c>
      <c r="T7" s="81">
        <v>10595</v>
      </c>
      <c r="U7" s="82"/>
      <c r="V7" s="82"/>
      <c r="W7" s="82"/>
      <c r="X7" s="76" t="s">
        <v>12</v>
      </c>
      <c r="Y7" s="82"/>
      <c r="Z7" s="82"/>
      <c r="AA7" s="82"/>
      <c r="AB7" s="82"/>
      <c r="AC7" s="81">
        <v>3830</v>
      </c>
      <c r="AD7" s="81">
        <v>6339</v>
      </c>
    </row>
    <row r="8" spans="4:30" x14ac:dyDescent="0.2">
      <c r="D8" s="12" t="s">
        <v>13</v>
      </c>
      <c r="E8" s="44">
        <v>2347</v>
      </c>
      <c r="F8" s="13">
        <v>3295</v>
      </c>
      <c r="G8" s="13">
        <v>3584</v>
      </c>
      <c r="H8" s="13">
        <v>2022</v>
      </c>
      <c r="I8" s="12" t="s">
        <v>13</v>
      </c>
      <c r="J8" s="40">
        <v>3510</v>
      </c>
      <c r="K8" s="13">
        <v>3632</v>
      </c>
      <c r="L8" s="13">
        <v>6630</v>
      </c>
      <c r="M8" s="13">
        <v>24</v>
      </c>
      <c r="N8" s="12" t="s">
        <v>13</v>
      </c>
      <c r="O8" s="40">
        <v>11463</v>
      </c>
      <c r="P8" s="13">
        <v>12153</v>
      </c>
      <c r="Q8" s="13">
        <v>14029</v>
      </c>
      <c r="R8" s="13">
        <v>8824</v>
      </c>
      <c r="S8" s="76" t="s">
        <v>13</v>
      </c>
      <c r="T8" s="81">
        <v>7582</v>
      </c>
      <c r="U8" s="82"/>
      <c r="V8" s="82"/>
      <c r="W8" s="82"/>
      <c r="X8" s="76" t="s">
        <v>13</v>
      </c>
      <c r="Y8" s="82"/>
      <c r="Z8" s="82"/>
      <c r="AA8" s="82"/>
      <c r="AB8" s="82"/>
      <c r="AC8" s="81">
        <v>2709</v>
      </c>
      <c r="AD8" s="81">
        <v>4009</v>
      </c>
    </row>
    <row r="9" spans="4:30" x14ac:dyDescent="0.2">
      <c r="D9" s="12"/>
      <c r="E9" s="44"/>
      <c r="F9" s="13"/>
      <c r="G9" s="13"/>
      <c r="H9" s="13"/>
      <c r="I9" s="12"/>
      <c r="J9" s="40"/>
      <c r="K9" s="13"/>
      <c r="L9" s="13"/>
      <c r="M9" s="13"/>
      <c r="N9" s="12"/>
      <c r="O9" s="40"/>
      <c r="P9" s="13"/>
      <c r="Q9" s="13"/>
      <c r="R9" s="13"/>
      <c r="S9" s="76"/>
      <c r="T9" s="82"/>
      <c r="U9" s="82"/>
      <c r="V9" s="82"/>
      <c r="W9" s="82"/>
      <c r="X9" s="76"/>
      <c r="Y9" s="82"/>
      <c r="Z9" s="82"/>
      <c r="AA9" s="82"/>
      <c r="AB9" s="82"/>
      <c r="AC9" s="82"/>
      <c r="AD9" s="82"/>
    </row>
    <row r="10" spans="4:30" x14ac:dyDescent="0.2">
      <c r="D10" s="12" t="s">
        <v>14</v>
      </c>
      <c r="E10" s="44">
        <v>57915</v>
      </c>
      <c r="F10" s="13">
        <v>61952</v>
      </c>
      <c r="G10" s="13">
        <v>69766</v>
      </c>
      <c r="H10" s="13">
        <v>73510</v>
      </c>
      <c r="I10" s="12" t="s">
        <v>14</v>
      </c>
      <c r="J10" s="40">
        <v>96299</v>
      </c>
      <c r="K10" s="13">
        <v>96873</v>
      </c>
      <c r="L10" s="13">
        <v>98044</v>
      </c>
      <c r="M10" s="13">
        <v>99730</v>
      </c>
      <c r="N10" s="12" t="s">
        <v>14</v>
      </c>
      <c r="O10" s="40">
        <v>422193</v>
      </c>
      <c r="P10" s="13">
        <v>458156</v>
      </c>
      <c r="Q10" s="13">
        <v>488071</v>
      </c>
      <c r="R10" s="13">
        <v>497114</v>
      </c>
      <c r="S10" s="76" t="s">
        <v>14</v>
      </c>
      <c r="T10" s="81">
        <v>281619</v>
      </c>
      <c r="U10" s="82"/>
      <c r="V10" s="82"/>
      <c r="W10" s="82"/>
      <c r="X10" s="76" t="s">
        <v>14</v>
      </c>
      <c r="Y10" s="82"/>
      <c r="Z10" s="82"/>
      <c r="AA10" s="82"/>
      <c r="AB10" s="82"/>
      <c r="AC10" s="81">
        <v>302438</v>
      </c>
      <c r="AD10" s="81">
        <v>285737</v>
      </c>
    </row>
    <row r="11" spans="4:30" x14ac:dyDescent="0.2">
      <c r="D11" s="12" t="s">
        <v>15</v>
      </c>
      <c r="E11" s="44">
        <v>16706</v>
      </c>
      <c r="F11" s="13">
        <v>19594</v>
      </c>
      <c r="G11" s="13">
        <v>21801</v>
      </c>
      <c r="H11" s="13">
        <v>23874</v>
      </c>
      <c r="I11" s="12" t="s">
        <v>15</v>
      </c>
      <c r="J11" s="40">
        <v>20987</v>
      </c>
      <c r="K11" s="13">
        <v>24903</v>
      </c>
      <c r="L11" s="13">
        <v>28675</v>
      </c>
      <c r="M11" s="13">
        <v>25861</v>
      </c>
      <c r="N11" s="12" t="s">
        <v>15</v>
      </c>
      <c r="O11" s="40">
        <v>109077</v>
      </c>
      <c r="P11" s="13">
        <v>117342</v>
      </c>
      <c r="Q11" s="13">
        <v>123651</v>
      </c>
      <c r="R11" s="13">
        <v>128783</v>
      </c>
      <c r="S11" s="76" t="s">
        <v>15</v>
      </c>
      <c r="T11" s="81">
        <v>66053</v>
      </c>
      <c r="U11" s="82"/>
      <c r="V11" s="82"/>
      <c r="W11" s="82"/>
      <c r="X11" s="76" t="s">
        <v>15</v>
      </c>
      <c r="Y11" s="82"/>
      <c r="Z11" s="82"/>
      <c r="AA11" s="82"/>
      <c r="AB11" s="82"/>
      <c r="AC11" s="81">
        <v>62841</v>
      </c>
      <c r="AD11" s="81">
        <v>62248</v>
      </c>
    </row>
    <row r="12" spans="4:30" x14ac:dyDescent="0.2">
      <c r="D12" s="12" t="s">
        <v>16</v>
      </c>
      <c r="E12" s="44">
        <f>E10-E11</f>
        <v>41209</v>
      </c>
      <c r="F12" s="13">
        <f>F10-F11</f>
        <v>42358</v>
      </c>
      <c r="G12" s="13">
        <f>G10-G11</f>
        <v>47965</v>
      </c>
      <c r="H12" s="13">
        <f>H10-H11</f>
        <v>49636</v>
      </c>
      <c r="I12" s="12" t="s">
        <v>16</v>
      </c>
      <c r="J12" s="40">
        <f>J10-J11</f>
        <v>75312</v>
      </c>
      <c r="K12" s="13">
        <f>K10-K11</f>
        <v>71970</v>
      </c>
      <c r="L12" s="13">
        <f>L10-L11</f>
        <v>69369</v>
      </c>
      <c r="M12" s="13">
        <f>M10-M11</f>
        <v>73869</v>
      </c>
      <c r="N12" s="12" t="s">
        <v>16</v>
      </c>
      <c r="O12" s="40">
        <f>O10-O11</f>
        <v>313116</v>
      </c>
      <c r="P12" s="13">
        <f>P10-P11</f>
        <v>340814</v>
      </c>
      <c r="Q12" s="13">
        <f>Q10-Q11</f>
        <v>364420</v>
      </c>
      <c r="R12" s="13">
        <f>R10-R11</f>
        <v>368331</v>
      </c>
      <c r="S12" s="76" t="s">
        <v>16</v>
      </c>
      <c r="T12" s="81">
        <v>215566</v>
      </c>
      <c r="U12" s="82"/>
      <c r="V12" s="82"/>
      <c r="W12" s="82"/>
      <c r="X12" s="76" t="s">
        <v>16</v>
      </c>
      <c r="Y12" s="82"/>
      <c r="Z12" s="82"/>
      <c r="AA12" s="82"/>
      <c r="AB12" s="82"/>
      <c r="AC12" s="81">
        <v>239597</v>
      </c>
      <c r="AD12" s="81">
        <v>223489</v>
      </c>
    </row>
    <row r="13" spans="4:30" x14ac:dyDescent="0.2">
      <c r="D13" s="12"/>
      <c r="E13" s="44"/>
      <c r="F13" s="13"/>
      <c r="G13" s="13"/>
      <c r="H13" s="13"/>
      <c r="I13" s="12"/>
      <c r="J13" s="40"/>
      <c r="K13" s="13"/>
      <c r="L13" s="13"/>
      <c r="M13" s="13"/>
      <c r="N13" s="12"/>
      <c r="O13" s="40"/>
      <c r="P13" s="13"/>
      <c r="Q13" s="13"/>
      <c r="R13" s="13"/>
      <c r="S13" s="76"/>
      <c r="T13" s="82"/>
      <c r="U13" s="82"/>
      <c r="V13" s="82"/>
      <c r="W13" s="82"/>
      <c r="X13" s="76"/>
      <c r="Y13" s="82"/>
      <c r="Z13" s="82"/>
      <c r="AA13" s="82"/>
      <c r="AB13" s="82"/>
      <c r="AC13" s="82"/>
      <c r="AD13" s="82"/>
    </row>
    <row r="14" spans="4:30" x14ac:dyDescent="0.2">
      <c r="D14" s="14" t="s">
        <v>34</v>
      </c>
      <c r="E14" s="44">
        <f>4778+407+2531</f>
        <v>7716</v>
      </c>
      <c r="F14" s="13">
        <f>5257+327+2182</f>
        <v>7766</v>
      </c>
      <c r="G14" s="13">
        <f>8917+272+2520</f>
        <v>11709</v>
      </c>
      <c r="H14" s="13">
        <f>11083+236+2409</f>
        <v>13728</v>
      </c>
      <c r="I14" s="14" t="s">
        <v>34</v>
      </c>
      <c r="J14" s="40">
        <f>10726+1+7245+138</f>
        <v>18110</v>
      </c>
      <c r="K14" s="13">
        <f>8667+3+5861+204</f>
        <v>14735</v>
      </c>
      <c r="L14" s="13">
        <f>8025+124+4876+194</f>
        <v>13219</v>
      </c>
      <c r="M14" s="13">
        <f>17036+280+4081+353</f>
        <v>21750</v>
      </c>
      <c r="N14" s="14" t="s">
        <v>34</v>
      </c>
      <c r="O14" s="40">
        <f>81628+2665+81844+8570</f>
        <v>174707</v>
      </c>
      <c r="P14" s="13">
        <f>101126+3219+89757+9416</f>
        <v>203518</v>
      </c>
      <c r="Q14" s="13">
        <f>113556+4499+87912+10858</f>
        <v>216825</v>
      </c>
      <c r="R14" s="13">
        <f>114809+4257+88648+10590</f>
        <v>218304</v>
      </c>
      <c r="S14" s="77" t="s">
        <v>34</v>
      </c>
      <c r="T14" s="82">
        <f>88662+2375+56240+7657</f>
        <v>154934</v>
      </c>
      <c r="U14" s="82"/>
      <c r="V14" s="82"/>
      <c r="W14" s="82"/>
      <c r="X14" s="77" t="s">
        <v>34</v>
      </c>
      <c r="Y14" s="82"/>
      <c r="Z14" s="82"/>
      <c r="AA14" s="82"/>
      <c r="AB14" s="82"/>
      <c r="AC14" s="82">
        <v>171644</v>
      </c>
      <c r="AD14" s="82">
        <f>145842+8598</f>
        <v>154440</v>
      </c>
    </row>
    <row r="15" spans="4:30" x14ac:dyDescent="0.2">
      <c r="D15" s="12"/>
      <c r="E15" s="44"/>
      <c r="F15" s="13"/>
      <c r="G15" s="13"/>
      <c r="H15" s="13"/>
      <c r="I15" s="12"/>
      <c r="J15" s="40"/>
      <c r="K15" s="13"/>
      <c r="L15" s="13"/>
      <c r="M15" s="13"/>
      <c r="N15" s="12"/>
      <c r="O15" s="40"/>
      <c r="P15" s="13"/>
      <c r="Q15" s="13"/>
      <c r="R15" s="13"/>
      <c r="S15" s="76"/>
      <c r="T15" s="82"/>
      <c r="U15" s="82"/>
      <c r="V15" s="82"/>
      <c r="W15" s="82"/>
      <c r="X15" s="76"/>
      <c r="Y15" s="82"/>
      <c r="Z15" s="82"/>
      <c r="AA15" s="82"/>
      <c r="AB15" s="82"/>
      <c r="AC15" s="82"/>
      <c r="AD15" s="82"/>
    </row>
    <row r="16" spans="4:30" x14ac:dyDescent="0.2">
      <c r="D16" s="12" t="s">
        <v>17</v>
      </c>
      <c r="E16" s="44">
        <v>26611</v>
      </c>
      <c r="F16" s="13">
        <v>28146</v>
      </c>
      <c r="G16" s="13">
        <v>31327</v>
      </c>
      <c r="H16" s="13">
        <v>35251</v>
      </c>
      <c r="I16" s="12">
        <f>M4-75962-5501-2979+4-73</f>
        <v>2165</v>
      </c>
      <c r="J16" s="40">
        <v>36274</v>
      </c>
      <c r="K16" s="13">
        <v>38292</v>
      </c>
      <c r="L16" s="13">
        <v>34932</v>
      </c>
      <c r="M16" s="13">
        <v>40053</v>
      </c>
      <c r="N16" s="12" t="s">
        <v>17</v>
      </c>
      <c r="O16" s="40">
        <v>160112</v>
      </c>
      <c r="P16" s="13">
        <v>183536</v>
      </c>
      <c r="Q16" s="13">
        <v>187463</v>
      </c>
      <c r="R16" s="13">
        <v>194944</v>
      </c>
      <c r="S16" s="76" t="s">
        <v>17</v>
      </c>
      <c r="T16" s="81">
        <v>121613</v>
      </c>
      <c r="U16" s="82"/>
      <c r="V16" s="82"/>
      <c r="W16" s="82"/>
      <c r="X16" s="76" t="s">
        <v>17</v>
      </c>
      <c r="Y16" s="82"/>
      <c r="Z16" s="82"/>
      <c r="AA16" s="82"/>
      <c r="AB16" s="82"/>
      <c r="AC16" s="81">
        <v>127800</v>
      </c>
      <c r="AD16" s="81">
        <v>115264</v>
      </c>
    </row>
    <row r="17" spans="4:30" x14ac:dyDescent="0.2">
      <c r="D17" s="12" t="s">
        <v>38</v>
      </c>
      <c r="E17" s="44">
        <f>11582+312</f>
        <v>11894</v>
      </c>
      <c r="F17" s="13">
        <f>14961+465</f>
        <v>15426</v>
      </c>
      <c r="G17" s="13">
        <f>17379+454</f>
        <v>17833</v>
      </c>
      <c r="H17" s="13">
        <f>22303+590</f>
        <v>22893</v>
      </c>
      <c r="I17" s="12" t="s">
        <v>38</v>
      </c>
      <c r="J17" s="40">
        <v>12638</v>
      </c>
      <c r="K17" s="13">
        <v>12450</v>
      </c>
      <c r="L17" s="13">
        <v>15041</v>
      </c>
      <c r="M17" s="13">
        <v>23846</v>
      </c>
      <c r="N17" s="12" t="s">
        <v>38</v>
      </c>
      <c r="O17" s="40">
        <v>18457</v>
      </c>
      <c r="P17" s="13">
        <v>28938</v>
      </c>
      <c r="Q17" s="13">
        <v>25923</v>
      </c>
      <c r="R17" s="13">
        <v>33909</v>
      </c>
      <c r="S17" s="76" t="s">
        <v>38</v>
      </c>
      <c r="T17" s="81">
        <v>15853</v>
      </c>
      <c r="U17" s="82"/>
      <c r="V17" s="82"/>
      <c r="W17" s="82"/>
      <c r="X17" s="76" t="s">
        <v>38</v>
      </c>
      <c r="Y17" s="82"/>
      <c r="Z17" s="82"/>
      <c r="AA17" s="82"/>
      <c r="AB17" s="82"/>
      <c r="AC17" s="81">
        <v>18883</v>
      </c>
      <c r="AD17" s="81">
        <v>23048</v>
      </c>
    </row>
    <row r="18" spans="4:30" x14ac:dyDescent="0.2">
      <c r="D18" s="12" t="s">
        <v>18</v>
      </c>
      <c r="E18" s="44">
        <v>7289</v>
      </c>
      <c r="F18" s="13">
        <v>6710</v>
      </c>
      <c r="G18" s="13">
        <v>6269</v>
      </c>
      <c r="H18" s="13">
        <v>5366</v>
      </c>
      <c r="I18" s="12" t="s">
        <v>18</v>
      </c>
      <c r="J18" s="40">
        <v>12922</v>
      </c>
      <c r="K18" s="13">
        <v>10694</v>
      </c>
      <c r="L18" s="13">
        <v>9722</v>
      </c>
      <c r="M18" s="13">
        <v>8094</v>
      </c>
      <c r="N18" s="12" t="s">
        <v>18</v>
      </c>
      <c r="O18" s="40">
        <v>40415</v>
      </c>
      <c r="P18" s="13">
        <v>45745</v>
      </c>
      <c r="Q18" s="13">
        <v>46742</v>
      </c>
      <c r="R18" s="13">
        <v>43823</v>
      </c>
      <c r="S18" s="76" t="s">
        <v>18</v>
      </c>
      <c r="T18" s="81">
        <v>29489</v>
      </c>
      <c r="U18" s="82"/>
      <c r="V18" s="82"/>
      <c r="W18" s="82"/>
      <c r="X18" s="76" t="s">
        <v>18</v>
      </c>
      <c r="Y18" s="82"/>
      <c r="Z18" s="82"/>
      <c r="AA18" s="82"/>
      <c r="AB18" s="82"/>
      <c r="AC18" s="81">
        <v>29757</v>
      </c>
      <c r="AD18" s="81">
        <v>26444</v>
      </c>
    </row>
    <row r="19" spans="4:30" x14ac:dyDescent="0.2">
      <c r="D19" s="12" t="s">
        <v>22</v>
      </c>
      <c r="E19" s="44">
        <f>2426+2496</f>
        <v>4922</v>
      </c>
      <c r="F19" s="13">
        <f>1904+2470</f>
        <v>4374</v>
      </c>
      <c r="G19" s="13">
        <f>2503+2922</f>
        <v>5425</v>
      </c>
      <c r="H19" s="13">
        <f>3147+2789</f>
        <v>5936</v>
      </c>
      <c r="I19" s="12" t="s">
        <v>22</v>
      </c>
      <c r="J19" s="40">
        <v>7887</v>
      </c>
      <c r="K19" s="13">
        <v>7188</v>
      </c>
      <c r="L19" s="13">
        <v>6628</v>
      </c>
      <c r="M19" s="13">
        <v>5545</v>
      </c>
      <c r="N19" s="12" t="s">
        <v>22</v>
      </c>
      <c r="O19" s="40">
        <f>13357+5346</f>
        <v>18703</v>
      </c>
      <c r="P19" s="13">
        <f>17888+6203</f>
        <v>24091</v>
      </c>
      <c r="Q19" s="13">
        <f>17941+7272</f>
        <v>25213</v>
      </c>
      <c r="R19" s="13">
        <f>16243+7381</f>
        <v>23624</v>
      </c>
      <c r="S19" s="76" t="s">
        <v>22</v>
      </c>
      <c r="T19" s="81">
        <v>12586</v>
      </c>
      <c r="U19" s="82"/>
      <c r="V19" s="82"/>
      <c r="W19" s="82"/>
      <c r="X19" s="76" t="s">
        <v>22</v>
      </c>
      <c r="Y19" s="82"/>
      <c r="Z19" s="82"/>
      <c r="AA19" s="82"/>
      <c r="AB19" s="82"/>
      <c r="AC19" s="81">
        <v>12332</v>
      </c>
      <c r="AD19" s="81">
        <v>10649</v>
      </c>
    </row>
    <row r="20" spans="4:30" x14ac:dyDescent="0.2">
      <c r="D20" s="12" t="s">
        <v>19</v>
      </c>
      <c r="E20" s="44">
        <v>29658</v>
      </c>
      <c r="F20" s="13">
        <v>30002</v>
      </c>
      <c r="G20" s="13">
        <v>31700</v>
      </c>
      <c r="H20" s="13">
        <v>30813</v>
      </c>
      <c r="I20" s="12" t="s">
        <v>19</v>
      </c>
      <c r="J20" s="40">
        <v>47269</v>
      </c>
      <c r="K20" s="13">
        <v>46474</v>
      </c>
      <c r="L20" s="13">
        <v>43354</v>
      </c>
      <c r="M20" s="13">
        <v>39037</v>
      </c>
      <c r="N20" s="12" t="s">
        <v>19</v>
      </c>
      <c r="O20" s="40">
        <v>160389</v>
      </c>
      <c r="P20" s="13">
        <v>167968</v>
      </c>
      <c r="Q20" s="13">
        <v>167924</v>
      </c>
      <c r="R20" s="13">
        <v>165410</v>
      </c>
      <c r="S20" s="76" t="s">
        <v>19</v>
      </c>
      <c r="T20" s="81">
        <v>97952</v>
      </c>
      <c r="U20" s="82"/>
      <c r="V20" s="82"/>
      <c r="W20" s="82"/>
      <c r="X20" s="76" t="s">
        <v>19</v>
      </c>
      <c r="Y20" s="82"/>
      <c r="Z20" s="82"/>
      <c r="AA20" s="82"/>
      <c r="AB20" s="82"/>
      <c r="AC20" s="81">
        <v>105802</v>
      </c>
      <c r="AD20" s="81">
        <v>99809</v>
      </c>
    </row>
    <row r="21" spans="4:30" x14ac:dyDescent="0.2">
      <c r="D21" s="12" t="s">
        <v>23</v>
      </c>
      <c r="E21" s="44">
        <v>13362</v>
      </c>
      <c r="F21" s="13">
        <v>13551</v>
      </c>
      <c r="G21" s="13">
        <v>14505</v>
      </c>
      <c r="H21" s="13">
        <v>15166</v>
      </c>
      <c r="I21" s="12" t="s">
        <v>23</v>
      </c>
      <c r="J21" s="40">
        <v>21939</v>
      </c>
      <c r="K21" s="13">
        <v>19229</v>
      </c>
      <c r="L21" s="13">
        <v>21616</v>
      </c>
      <c r="M21" s="13">
        <v>20576</v>
      </c>
      <c r="N21" s="12" t="s">
        <v>23</v>
      </c>
      <c r="O21" s="40">
        <v>23046</v>
      </c>
      <c r="P21" s="13">
        <v>23607</v>
      </c>
      <c r="Q21" s="13">
        <v>22745</v>
      </c>
      <c r="R21" s="13">
        <v>22677</v>
      </c>
      <c r="S21" s="76" t="s">
        <v>23</v>
      </c>
      <c r="T21" s="81">
        <v>14185</v>
      </c>
      <c r="U21" s="82"/>
      <c r="V21" s="82"/>
      <c r="W21" s="82"/>
      <c r="X21" s="76" t="s">
        <v>23</v>
      </c>
      <c r="Y21" s="82"/>
      <c r="Z21" s="82"/>
      <c r="AA21" s="82"/>
      <c r="AB21" s="82"/>
      <c r="AC21" s="81">
        <v>12707</v>
      </c>
      <c r="AD21" s="81">
        <v>12378</v>
      </c>
    </row>
    <row r="22" spans="4:30" x14ac:dyDescent="0.2">
      <c r="D22" s="12"/>
      <c r="E22" s="44"/>
      <c r="F22" s="13"/>
      <c r="G22" s="13"/>
      <c r="H22" s="13"/>
      <c r="I22" s="12"/>
      <c r="J22" s="40"/>
      <c r="K22" s="13"/>
      <c r="L22" s="13"/>
      <c r="M22" s="13"/>
      <c r="N22" s="12"/>
      <c r="O22" s="40"/>
      <c r="P22" s="13"/>
      <c r="Q22" s="13"/>
      <c r="R22" s="13"/>
      <c r="S22" s="76"/>
      <c r="T22" s="82"/>
      <c r="U22" s="82"/>
      <c r="V22" s="82"/>
      <c r="W22" s="82"/>
      <c r="X22" s="76"/>
      <c r="Y22" s="82"/>
      <c r="Z22" s="82"/>
      <c r="AA22" s="82"/>
      <c r="AB22" s="82"/>
      <c r="AC22" s="82"/>
      <c r="AD22" s="82"/>
    </row>
    <row r="23" spans="4:30" x14ac:dyDescent="0.2">
      <c r="D23" s="12" t="s">
        <v>20</v>
      </c>
      <c r="E23" s="44">
        <v>5459</v>
      </c>
      <c r="F23" s="13">
        <v>8395</v>
      </c>
      <c r="G23" s="13">
        <v>8705</v>
      </c>
      <c r="H23" s="13">
        <v>6202</v>
      </c>
      <c r="I23" s="12" t="s">
        <v>20</v>
      </c>
      <c r="J23" s="40">
        <v>10385</v>
      </c>
      <c r="K23" s="13">
        <v>9948</v>
      </c>
      <c r="L23" s="13">
        <v>10462</v>
      </c>
      <c r="M23" s="13">
        <v>9183</v>
      </c>
      <c r="N23" s="12" t="s">
        <v>20</v>
      </c>
      <c r="O23" s="40">
        <v>-1185</v>
      </c>
      <c r="P23" s="13">
        <v>7272</v>
      </c>
      <c r="Q23" s="13">
        <v>17983</v>
      </c>
      <c r="R23" s="13">
        <v>24901</v>
      </c>
      <c r="S23" s="76" t="s">
        <v>20</v>
      </c>
      <c r="T23" s="81">
        <v>343</v>
      </c>
      <c r="U23" s="82"/>
      <c r="V23" s="82"/>
      <c r="W23" s="82"/>
      <c r="X23" s="76" t="s">
        <v>20</v>
      </c>
      <c r="Y23" s="82"/>
      <c r="Z23" s="82"/>
      <c r="AA23" s="82"/>
      <c r="AB23" s="82"/>
      <c r="AC23" s="81">
        <v>7888</v>
      </c>
      <c r="AD23" s="81">
        <v>22332</v>
      </c>
    </row>
    <row r="24" spans="4:30" x14ac:dyDescent="0.2">
      <c r="D24" s="16"/>
      <c r="E24" s="17"/>
      <c r="F24" s="17"/>
      <c r="G24" s="17"/>
      <c r="H24" s="17"/>
      <c r="I24" s="16"/>
      <c r="J24" s="17"/>
      <c r="K24" s="17"/>
      <c r="L24" s="17"/>
      <c r="M24" s="17"/>
      <c r="N24" s="16"/>
      <c r="O24" s="17"/>
      <c r="P24" s="17"/>
      <c r="Q24" s="17"/>
      <c r="R24" s="17"/>
      <c r="S24" s="16"/>
      <c r="T24" s="85"/>
      <c r="U24" s="85"/>
      <c r="V24" s="85"/>
      <c r="W24" s="85"/>
      <c r="X24" s="86"/>
      <c r="Y24" s="85"/>
      <c r="Z24" s="85"/>
      <c r="AA24" s="85"/>
      <c r="AB24" s="85"/>
      <c r="AC24" s="85"/>
      <c r="AD24" s="85"/>
    </row>
    <row r="25" spans="4:30" x14ac:dyDescent="0.2">
      <c r="D25" s="3" t="s">
        <v>2</v>
      </c>
      <c r="E25" s="4">
        <v>2017</v>
      </c>
      <c r="F25" s="4">
        <v>2018</v>
      </c>
      <c r="G25" s="4">
        <v>2019</v>
      </c>
      <c r="H25" s="4">
        <v>2020</v>
      </c>
      <c r="I25" s="6" t="s">
        <v>1</v>
      </c>
      <c r="J25" s="4">
        <v>2017</v>
      </c>
      <c r="K25" s="4">
        <v>2018</v>
      </c>
      <c r="L25" s="4">
        <v>2019</v>
      </c>
      <c r="M25" s="4">
        <v>2020</v>
      </c>
      <c r="N25" s="7" t="s">
        <v>3</v>
      </c>
      <c r="O25" s="4">
        <v>2017</v>
      </c>
      <c r="P25" s="4">
        <v>2018</v>
      </c>
      <c r="Q25" s="4">
        <v>2019</v>
      </c>
      <c r="R25" s="4">
        <v>2020</v>
      </c>
      <c r="S25" s="11" t="s">
        <v>46</v>
      </c>
      <c r="T25" s="79">
        <v>2018</v>
      </c>
      <c r="U25" s="79">
        <v>2018</v>
      </c>
      <c r="V25" s="79">
        <v>2019</v>
      </c>
      <c r="W25" s="79">
        <v>2019</v>
      </c>
      <c r="X25" s="79" t="s">
        <v>42</v>
      </c>
      <c r="Y25" s="79">
        <v>2018</v>
      </c>
      <c r="Z25" s="79">
        <v>2017</v>
      </c>
      <c r="AA25" s="79">
        <v>2019</v>
      </c>
      <c r="AB25" s="79">
        <v>2020</v>
      </c>
      <c r="AC25" s="79">
        <v>2019</v>
      </c>
      <c r="AD25" s="79">
        <v>2020</v>
      </c>
    </row>
    <row r="26" spans="4:30" x14ac:dyDescent="0.2">
      <c r="D26" s="2" t="s">
        <v>6</v>
      </c>
      <c r="E26" s="18">
        <f>E8/E11</f>
        <v>0.14048844726445589</v>
      </c>
      <c r="F26" s="18">
        <f>F8/F11</f>
        <v>0.16816372358885373</v>
      </c>
      <c r="G26" s="20">
        <f>G8/G11</f>
        <v>0.1643961286179533</v>
      </c>
      <c r="H26" s="20">
        <f>H8/H11</f>
        <v>8.4694646896205081E-2</v>
      </c>
      <c r="I26" s="2" t="s">
        <v>6</v>
      </c>
      <c r="J26" s="18">
        <f>J8/J11</f>
        <v>0.16724639062276647</v>
      </c>
      <c r="K26" s="18">
        <f>K8/K11</f>
        <v>0.14584588202224633</v>
      </c>
      <c r="L26" s="18">
        <f>L8/L11</f>
        <v>0.23121185701830863</v>
      </c>
      <c r="M26" s="18">
        <f>M8/M11</f>
        <v>9.2803835891883536E-4</v>
      </c>
      <c r="N26" s="2" t="s">
        <v>6</v>
      </c>
      <c r="O26" s="18">
        <f>O8/O11</f>
        <v>0.10509089908963393</v>
      </c>
      <c r="P26" s="18">
        <f>P8/P11</f>
        <v>0.10356905455847011</v>
      </c>
      <c r="Q26" s="18">
        <f>Q8/Q11</f>
        <v>0.11345642170301898</v>
      </c>
      <c r="R26" s="18">
        <f>R8/R11</f>
        <v>6.8518360342591803E-2</v>
      </c>
      <c r="S26" s="2" t="s">
        <v>6</v>
      </c>
      <c r="T26" s="20">
        <f t="shared" ref="T26:W26" si="0">T8/T11</f>
        <v>0.1147866107519719</v>
      </c>
      <c r="U26" s="20" t="e">
        <f t="shared" si="0"/>
        <v>#DIV/0!</v>
      </c>
      <c r="V26" s="20" t="e">
        <f t="shared" si="0"/>
        <v>#DIV/0!</v>
      </c>
      <c r="W26" s="20" t="e">
        <f t="shared" si="0"/>
        <v>#DIV/0!</v>
      </c>
      <c r="X26" s="19" t="s">
        <v>6</v>
      </c>
      <c r="Y26" s="20" t="e">
        <f>Y8/Y11</f>
        <v>#DIV/0!</v>
      </c>
      <c r="Z26" s="20" t="e">
        <f>Z8/Z11</f>
        <v>#DIV/0!</v>
      </c>
      <c r="AA26" s="20" t="e">
        <f>AA8/AA11</f>
        <v>#DIV/0!</v>
      </c>
      <c r="AB26" s="20" t="e">
        <f>AB8/AB11</f>
        <v>#DIV/0!</v>
      </c>
      <c r="AC26" s="20">
        <f>AC8/AC11</f>
        <v>4.3108798395951685E-2</v>
      </c>
      <c r="AD26" s="20">
        <f>AD8/AD11</f>
        <v>6.4403675620100242E-2</v>
      </c>
    </row>
    <row r="27" spans="4:30" x14ac:dyDescent="0.2">
      <c r="D27" s="2" t="s">
        <v>7</v>
      </c>
      <c r="E27" s="18">
        <f>E8/E4</f>
        <v>3.7699177589308658E-2</v>
      </c>
      <c r="F27" s="18">
        <f>F8/F4</f>
        <v>4.4510786604887408E-2</v>
      </c>
      <c r="G27" s="18">
        <f>G8/G4</f>
        <v>4.7958678460076808E-2</v>
      </c>
      <c r="H27" s="18">
        <f>H8/H4</f>
        <v>3.3292719070043136E-2</v>
      </c>
      <c r="I27" s="2" t="s">
        <v>7</v>
      </c>
      <c r="J27" s="18">
        <f>J8/J4</f>
        <v>3.3197767899366314E-2</v>
      </c>
      <c r="K27" s="18">
        <f>K8/K4</f>
        <v>3.2894975183856826E-2</v>
      </c>
      <c r="L27" s="18">
        <f>L8/L4</f>
        <v>6.1282778892103484E-2</v>
      </c>
      <c r="M27" s="18">
        <f>M8/M4</f>
        <v>2.7689325764917625E-4</v>
      </c>
      <c r="N27" s="2" t="s">
        <v>7</v>
      </c>
      <c r="O27" s="18">
        <f>O8/O4</f>
        <v>4.9936832934001307E-2</v>
      </c>
      <c r="P27" s="18">
        <f>P8/P4</f>
        <v>5.1528732366895771E-2</v>
      </c>
      <c r="Q27" s="18">
        <f>Q8/Q4</f>
        <v>5.5531365781057031E-2</v>
      </c>
      <c r="R27" s="18">
        <f>R8/R4</f>
        <v>3.9590100680174441E-2</v>
      </c>
      <c r="S27" s="2" t="s">
        <v>7</v>
      </c>
      <c r="T27" s="20">
        <f t="shared" ref="T27:W27" si="1">T8/T4</f>
        <v>4.5302995901100609E-2</v>
      </c>
      <c r="U27" s="20" t="e">
        <f t="shared" si="1"/>
        <v>#DIV/0!</v>
      </c>
      <c r="V27" s="20" t="e">
        <f t="shared" si="1"/>
        <v>#DIV/0!</v>
      </c>
      <c r="W27" s="20" t="e">
        <f t="shared" si="1"/>
        <v>#DIV/0!</v>
      </c>
      <c r="X27" s="19" t="s">
        <v>7</v>
      </c>
      <c r="Y27" s="20">
        <f>Y8/Y4</f>
        <v>0</v>
      </c>
      <c r="Z27" s="20">
        <f>Z8/Z4</f>
        <v>0</v>
      </c>
      <c r="AA27" s="20">
        <f>AA8/AA4</f>
        <v>0</v>
      </c>
      <c r="AB27" s="20">
        <f>AB8/AB4</f>
        <v>0</v>
      </c>
      <c r="AC27" s="20">
        <f>AC8/AC4</f>
        <v>1.5682074734435149E-2</v>
      </c>
      <c r="AD27" s="20">
        <f>AD8/AD4</f>
        <v>2.59803381526677E-2</v>
      </c>
    </row>
    <row r="28" spans="4:30" x14ac:dyDescent="0.2">
      <c r="E28" s="15"/>
      <c r="F28" s="15"/>
      <c r="G28" s="15"/>
      <c r="H28" s="15"/>
      <c r="J28" s="15"/>
      <c r="K28" s="15"/>
      <c r="L28" s="15"/>
      <c r="M28" s="15"/>
      <c r="O28" s="15"/>
      <c r="P28" s="15"/>
      <c r="Q28" s="15"/>
      <c r="R28" s="15"/>
      <c r="T28" s="87"/>
      <c r="U28" s="87"/>
      <c r="V28" s="87"/>
      <c r="W28" s="87"/>
      <c r="X28" s="8"/>
      <c r="Y28" s="87"/>
      <c r="Z28" s="87"/>
      <c r="AA28" s="87"/>
      <c r="AB28" s="87"/>
      <c r="AC28" s="87"/>
      <c r="AD28" s="87"/>
    </row>
    <row r="29" spans="4:30" x14ac:dyDescent="0.2">
      <c r="D29" s="19" t="s">
        <v>0</v>
      </c>
      <c r="E29" s="20">
        <f>E6/E10</f>
        <v>5.3077786411119744E-2</v>
      </c>
      <c r="F29" s="20">
        <f>F6/F10</f>
        <v>7.1022727272727279E-2</v>
      </c>
      <c r="G29" s="20">
        <f>G6/G10</f>
        <v>6.6909382793911079E-2</v>
      </c>
      <c r="H29" s="20">
        <f>H6/H10</f>
        <v>4.1545367977145968E-2</v>
      </c>
      <c r="I29" s="19" t="s">
        <v>0</v>
      </c>
      <c r="J29" s="20">
        <f>J6/J10</f>
        <v>6.1579040280792113E-2</v>
      </c>
      <c r="K29" s="20">
        <f>K6/K10</f>
        <v>5.0881050447493109E-2</v>
      </c>
      <c r="L29" s="20">
        <f>L6/L10</f>
        <v>4.9131002407082534E-2</v>
      </c>
      <c r="M29" s="20">
        <f>M6/M10</f>
        <v>2.1708613255790633E-2</v>
      </c>
      <c r="N29" s="19" t="s">
        <v>0</v>
      </c>
      <c r="O29" s="20">
        <f>O6/O10</f>
        <v>3.2729107304005516E-2</v>
      </c>
      <c r="P29" s="20">
        <f>P6/P10</f>
        <v>3.0382664419979222E-2</v>
      </c>
      <c r="Q29" s="20">
        <f>Q6/Q10</f>
        <v>3.4749042659776956E-2</v>
      </c>
      <c r="R29" s="20">
        <f>R6/R10</f>
        <v>1.9462336606894996E-2</v>
      </c>
      <c r="S29" s="19" t="s">
        <v>0</v>
      </c>
      <c r="T29" s="20">
        <f t="shared" ref="T29:W29" si="2">T6/T10</f>
        <v>3.9528582943622409E-2</v>
      </c>
      <c r="U29" s="20" t="e">
        <f t="shared" si="2"/>
        <v>#DIV/0!</v>
      </c>
      <c r="V29" s="20" t="e">
        <f t="shared" si="2"/>
        <v>#DIV/0!</v>
      </c>
      <c r="W29" s="20" t="e">
        <f t="shared" si="2"/>
        <v>#DIV/0!</v>
      </c>
      <c r="X29" s="19" t="s">
        <v>0</v>
      </c>
      <c r="Y29" s="20" t="e">
        <f>Y6/Y10</f>
        <v>#DIV/0!</v>
      </c>
      <c r="Z29" s="20" t="e">
        <f>Z6/Z10</f>
        <v>#DIV/0!</v>
      </c>
      <c r="AA29" s="20" t="e">
        <f>AA6/AA10</f>
        <v>#DIV/0!</v>
      </c>
      <c r="AB29" s="20" t="e">
        <f>AB6/AB10</f>
        <v>#DIV/0!</v>
      </c>
      <c r="AC29" s="20">
        <f>AC6/AC10</f>
        <v>1.4260774109073596E-2</v>
      </c>
      <c r="AD29" s="20">
        <f>AD6/AD10</f>
        <v>2.3108662861302528E-2</v>
      </c>
    </row>
    <row r="30" spans="4:30" x14ac:dyDescent="0.2">
      <c r="D30" s="19" t="s">
        <v>8</v>
      </c>
      <c r="E30" s="20">
        <f>E6/E4</f>
        <v>4.9376766897969673E-2</v>
      </c>
      <c r="F30" s="20">
        <f>F6/F4</f>
        <v>5.9437772704553742E-2</v>
      </c>
      <c r="G30" s="20">
        <f>G6/G4</f>
        <v>6.2464037681818789E-2</v>
      </c>
      <c r="H30" s="20">
        <f>H6/H4</f>
        <v>5.0284848684427175E-2</v>
      </c>
      <c r="I30" s="19" t="s">
        <v>8</v>
      </c>
      <c r="J30" s="20">
        <f>J6/J4</f>
        <v>5.6086257448217158E-2</v>
      </c>
      <c r="K30" s="20">
        <f>K6/K4</f>
        <v>4.4641886751440062E-2</v>
      </c>
      <c r="L30" s="20">
        <f>L6/L4</f>
        <v>4.4524758057807312E-2</v>
      </c>
      <c r="M30" s="20">
        <f>M6/M4</f>
        <v>2.4978079283769439E-2</v>
      </c>
      <c r="N30" s="19" t="s">
        <v>8</v>
      </c>
      <c r="O30" s="20">
        <f>O6/O4</f>
        <v>6.019603572206491E-2</v>
      </c>
      <c r="P30" s="20">
        <f>P6/P4</f>
        <v>5.9020814164995397E-2</v>
      </c>
      <c r="Q30" s="20">
        <f>Q6/Q4</f>
        <v>6.7133221444630922E-2</v>
      </c>
      <c r="R30" s="20">
        <f>R6/R4</f>
        <v>4.3408230290195797E-2</v>
      </c>
      <c r="S30" s="19" t="s">
        <v>8</v>
      </c>
      <c r="T30" s="20">
        <f t="shared" ref="T30:W30" si="3">T6/T4</f>
        <v>6.651450149974307E-2</v>
      </c>
      <c r="U30" s="20" t="e">
        <f t="shared" si="3"/>
        <v>#DIV/0!</v>
      </c>
      <c r="V30" s="20" t="e">
        <f t="shared" si="3"/>
        <v>#DIV/0!</v>
      </c>
      <c r="W30" s="20" t="e">
        <f t="shared" si="3"/>
        <v>#DIV/0!</v>
      </c>
      <c r="X30" s="19" t="s">
        <v>8</v>
      </c>
      <c r="Y30" s="20">
        <f>Y6/Y4</f>
        <v>0</v>
      </c>
      <c r="Z30" s="20">
        <f>Z6/Z4</f>
        <v>0</v>
      </c>
      <c r="AA30" s="20">
        <f>AA6/AA4</f>
        <v>0</v>
      </c>
      <c r="AB30" s="20">
        <f>AB6/AB4</f>
        <v>0</v>
      </c>
      <c r="AC30" s="20">
        <f>AC6/AC4</f>
        <v>2.4967437552461721E-2</v>
      </c>
      <c r="AD30" s="20">
        <f>AD6/AD4</f>
        <v>4.2790763986546472E-2</v>
      </c>
    </row>
    <row r="31" spans="4:30" x14ac:dyDescent="0.2">
      <c r="D31" s="19" t="s">
        <v>9</v>
      </c>
      <c r="E31" s="21">
        <f>E4/E10</f>
        <v>1.074954674954675</v>
      </c>
      <c r="F31" s="21">
        <f>F4/F10</f>
        <v>1.1949089617768596</v>
      </c>
      <c r="G31" s="21">
        <f>G4/G10</f>
        <v>1.0711664707737294</v>
      </c>
      <c r="H31" s="21">
        <f>H4/H10</f>
        <v>0.82620051693647123</v>
      </c>
      <c r="I31" s="19" t="s">
        <v>9</v>
      </c>
      <c r="J31" s="21">
        <f>J4/J10</f>
        <v>1.0979345579912565</v>
      </c>
      <c r="K31" s="21">
        <f>K4/K10</f>
        <v>1.1397603047288718</v>
      </c>
      <c r="L31" s="21">
        <f>L4/L10</f>
        <v>1.1034535514666883</v>
      </c>
      <c r="M31" s="21">
        <f>M4/M10</f>
        <v>0.86910658778702499</v>
      </c>
      <c r="N31" s="19" t="s">
        <v>9</v>
      </c>
      <c r="O31" s="21">
        <f>O4/O10</f>
        <v>0.54370868299569153</v>
      </c>
      <c r="P31" s="21">
        <f>P4/P10</f>
        <v>0.51477880896463213</v>
      </c>
      <c r="Q31" s="21">
        <f>Q4/Q10</f>
        <v>0.51761321610995126</v>
      </c>
      <c r="R31" s="21">
        <f>R4/R10</f>
        <v>0.44835591031433436</v>
      </c>
      <c r="S31" s="19" t="s">
        <v>9</v>
      </c>
      <c r="T31" s="21">
        <f t="shared" ref="T31:W31" si="4">T4/T10</f>
        <v>0.59428518672390718</v>
      </c>
      <c r="U31" s="21" t="e">
        <f t="shared" si="4"/>
        <v>#DIV/0!</v>
      </c>
      <c r="V31" s="21" t="e">
        <f t="shared" si="4"/>
        <v>#DIV/0!</v>
      </c>
      <c r="W31" s="21" t="e">
        <f t="shared" si="4"/>
        <v>#DIV/0!</v>
      </c>
      <c r="X31" s="19" t="s">
        <v>9</v>
      </c>
      <c r="Y31" s="21" t="e">
        <f>Y4/Y10</f>
        <v>#DIV/0!</v>
      </c>
      <c r="Z31" s="21" t="e">
        <f>Z4/Z10</f>
        <v>#DIV/0!</v>
      </c>
      <c r="AA31" s="21" t="e">
        <f>AA4/AA10</f>
        <v>#DIV/0!</v>
      </c>
      <c r="AB31" s="21" t="e">
        <f>AB4/AB10</f>
        <v>#DIV/0!</v>
      </c>
      <c r="AC31" s="21">
        <f>AC4/AC10</f>
        <v>0.57117491849569169</v>
      </c>
      <c r="AD31" s="21">
        <f>AD4/AD10</f>
        <v>0.54003856693392871</v>
      </c>
    </row>
    <row r="32" spans="4:30" x14ac:dyDescent="0.2">
      <c r="D32" s="19" t="s">
        <v>4</v>
      </c>
      <c r="E32" s="20">
        <f>E5/E4</f>
        <v>9.3308275507581598E-2</v>
      </c>
      <c r="F32" s="20">
        <f>F5/F4</f>
        <v>9.9895983897767035E-2</v>
      </c>
      <c r="G32" s="20">
        <f>G5/G4</f>
        <v>0.11220243272537501</v>
      </c>
      <c r="H32" s="20">
        <f>H5/H4</f>
        <v>0.1171008002107551</v>
      </c>
      <c r="I32" s="19" t="s">
        <v>4</v>
      </c>
      <c r="J32" s="20">
        <f>J5/J4</f>
        <v>0.10785964248557647</v>
      </c>
      <c r="K32" s="20">
        <f>K5/K4</f>
        <v>9.4518711734231792E-2</v>
      </c>
      <c r="L32" s="20">
        <f>L5/L4</f>
        <v>9.4854280089104973E-2</v>
      </c>
      <c r="M32" s="20">
        <f>M5/M4</f>
        <v>8.4313996954174172E-2</v>
      </c>
      <c r="N32" s="19" t="s">
        <v>4</v>
      </c>
      <c r="O32" s="20">
        <f>O5/O4</f>
        <v>0.15675887606186015</v>
      </c>
      <c r="P32" s="20">
        <f>P5/P4</f>
        <v>0.1546794771230745</v>
      </c>
      <c r="Q32" s="20">
        <f>Q5/Q4</f>
        <v>0.1638707685487191</v>
      </c>
      <c r="R32" s="20">
        <f>R5/R4</f>
        <v>0.16486154232695036</v>
      </c>
      <c r="S32" s="19" t="s">
        <v>4</v>
      </c>
      <c r="T32" s="20">
        <f t="shared" ref="T32:W32" si="5">T5/T4</f>
        <v>0.10418733045733201</v>
      </c>
      <c r="U32" s="20" t="e">
        <f t="shared" si="5"/>
        <v>#DIV/0!</v>
      </c>
      <c r="V32" s="20" t="e">
        <f t="shared" si="5"/>
        <v>#DIV/0!</v>
      </c>
      <c r="W32" s="20" t="e">
        <f t="shared" si="5"/>
        <v>#DIV/0!</v>
      </c>
      <c r="X32" s="19" t="s">
        <v>4</v>
      </c>
      <c r="Y32" s="20">
        <f>Y5/Y4</f>
        <v>0.16002307059212362</v>
      </c>
      <c r="Z32" s="20">
        <f>Z5/Z4</f>
        <v>0.16524356710758634</v>
      </c>
      <c r="AA32" s="20">
        <f>AA5/AA4</f>
        <v>0.17055843022908426</v>
      </c>
      <c r="AB32" s="20">
        <f>AB5/AB4</f>
        <v>0.14784897108812456</v>
      </c>
      <c r="AC32" s="20">
        <f>AC5/AC4</f>
        <v>6.9837043040319541E-2</v>
      </c>
      <c r="AD32" s="20">
        <f>AD5/AD4</f>
        <v>0.10083663298965063</v>
      </c>
    </row>
    <row r="33" spans="3:30" x14ac:dyDescent="0.2">
      <c r="D33" s="8"/>
      <c r="E33" s="9"/>
      <c r="F33" s="9"/>
      <c r="G33" s="9"/>
      <c r="H33" s="9"/>
      <c r="I33" s="8"/>
      <c r="J33" s="9"/>
      <c r="K33" s="9"/>
      <c r="L33" s="9"/>
      <c r="M33" s="9"/>
      <c r="N33" s="8"/>
      <c r="O33" s="9"/>
      <c r="P33" s="9"/>
      <c r="Q33" s="9"/>
      <c r="R33" s="9"/>
      <c r="S33" s="8"/>
      <c r="T33" s="9"/>
      <c r="U33" s="9"/>
      <c r="V33" s="9"/>
      <c r="W33" s="9"/>
      <c r="X33" s="8"/>
      <c r="Y33" s="9"/>
      <c r="Z33" s="9"/>
      <c r="AA33" s="9"/>
      <c r="AB33" s="9"/>
      <c r="AC33" s="9"/>
      <c r="AD33" s="9"/>
    </row>
    <row r="34" spans="3:30" x14ac:dyDescent="0.2">
      <c r="D34" s="19" t="s">
        <v>24</v>
      </c>
      <c r="E34" s="22">
        <f>E6/(E6-E7)</f>
        <v>146.38095238095238</v>
      </c>
      <c r="F34" s="22">
        <f>F6/(F6-F7)</f>
        <v>8.9795918367346932</v>
      </c>
      <c r="G34" s="22">
        <f>G6/(G6-G7)</f>
        <v>12.684782608695652</v>
      </c>
      <c r="H34" s="22">
        <f>H6/(H6-H7)</f>
        <v>9.6340694006309153</v>
      </c>
      <c r="I34" s="19" t="s">
        <v>24</v>
      </c>
      <c r="J34" s="22">
        <f>J6/(J6-J7)</f>
        <v>116.27450980392157</v>
      </c>
      <c r="K34" s="22">
        <f>K6/(K6-K7)</f>
        <v>6.0036540803897687</v>
      </c>
      <c r="L34" s="22">
        <f>L6/(L6-L7)</f>
        <v>6.0515075376884422</v>
      </c>
      <c r="M34" s="22">
        <f>M6/(M6-M7)</f>
        <v>2.6761433868974041</v>
      </c>
      <c r="N34" s="19" t="s">
        <v>24</v>
      </c>
      <c r="O34" s="22">
        <f>O6/(O6-O7)</f>
        <v>95.296551724137927</v>
      </c>
      <c r="P34" s="22">
        <f>P6/(P6-P7)</f>
        <v>-8.0789320951828199</v>
      </c>
      <c r="Q34" s="22">
        <f>Q6/(Q6-Q7)</f>
        <v>-12.148997134670488</v>
      </c>
      <c r="R34" s="22">
        <f>R6/(R6-R7)</f>
        <v>-4.8569277108433733</v>
      </c>
      <c r="S34" s="19" t="s">
        <v>24</v>
      </c>
      <c r="T34" s="22">
        <f t="shared" ref="T34:W34" si="6">T6/(T6-T7)</f>
        <v>20.729981378026071</v>
      </c>
      <c r="U34" s="22" t="e">
        <f t="shared" si="6"/>
        <v>#DIV/0!</v>
      </c>
      <c r="V34" s="22" t="e">
        <f t="shared" si="6"/>
        <v>#DIV/0!</v>
      </c>
      <c r="W34" s="22" t="e">
        <f t="shared" si="6"/>
        <v>#DIV/0!</v>
      </c>
      <c r="X34" s="19" t="s">
        <v>24</v>
      </c>
      <c r="Y34" s="22" t="e">
        <f>Y6/(Y6-Y7)</f>
        <v>#DIV/0!</v>
      </c>
      <c r="Z34" s="22" t="e">
        <f>Z6/(Z6-Z7)</f>
        <v>#DIV/0!</v>
      </c>
      <c r="AA34" s="22" t="e">
        <f>AA6/(AA6-AA7)</f>
        <v>#DIV/0!</v>
      </c>
      <c r="AB34" s="22" t="e">
        <f>AB6/(AB6-AB7)</f>
        <v>#DIV/0!</v>
      </c>
      <c r="AC34" s="22">
        <f>AC6/(AC6-AC7)</f>
        <v>8.9296066252587991</v>
      </c>
      <c r="AD34" s="22">
        <f>AD6/(AD6-AD7)</f>
        <v>25.011363636363637</v>
      </c>
    </row>
    <row r="35" spans="3:30" x14ac:dyDescent="0.2">
      <c r="D35" s="19" t="s">
        <v>33</v>
      </c>
      <c r="E35" s="22">
        <f t="shared" ref="E35" si="7">1-(1/E34)</f>
        <v>0.9931685100845804</v>
      </c>
      <c r="F35" s="22">
        <f>1-(1/F34)</f>
        <v>0.88863636363636367</v>
      </c>
      <c r="G35" s="22">
        <f>1-(1/G34)</f>
        <v>0.921165381319623</v>
      </c>
      <c r="H35" s="22">
        <f>1-(1/H34)</f>
        <v>0.89620170268500332</v>
      </c>
      <c r="I35" s="19" t="s">
        <v>33</v>
      </c>
      <c r="J35" s="22">
        <f t="shared" ref="J35" si="8">1-(1/J34)</f>
        <v>0.99139966273187186</v>
      </c>
      <c r="K35" s="22">
        <f>1-(1/K34)</f>
        <v>0.83343477378778652</v>
      </c>
      <c r="L35" s="22">
        <f>1-(1/L34)</f>
        <v>0.83475192028233347</v>
      </c>
      <c r="M35" s="22">
        <f>1-(1/M34)</f>
        <v>0.62632794457274832</v>
      </c>
      <c r="N35" s="19" t="s">
        <v>33</v>
      </c>
      <c r="O35" s="22">
        <f t="shared" ref="O35" si="9">1-(1/O34)</f>
        <v>0.98950644087422202</v>
      </c>
      <c r="P35" s="22">
        <f>1-(1/P34)</f>
        <v>1.123778735632184</v>
      </c>
      <c r="Q35" s="22">
        <f>1-(1/Q34)</f>
        <v>1.082311320754717</v>
      </c>
      <c r="R35" s="22">
        <f>1-(1/R34)</f>
        <v>1.2058914728682171</v>
      </c>
      <c r="S35" s="19" t="s">
        <v>33</v>
      </c>
      <c r="T35" s="22">
        <f>1-(1/T34)</f>
        <v>0.95176068990298235</v>
      </c>
      <c r="U35" s="22" t="e">
        <f t="shared" ref="U35:V35" si="10">1-(1/U34)</f>
        <v>#DIV/0!</v>
      </c>
      <c r="V35" s="22" t="e">
        <f t="shared" si="10"/>
        <v>#DIV/0!</v>
      </c>
      <c r="W35" s="22" t="e">
        <f>1-(1/W34)</f>
        <v>#DIV/0!</v>
      </c>
      <c r="X35" s="19" t="s">
        <v>33</v>
      </c>
      <c r="Y35" s="22" t="e">
        <f t="shared" ref="Y35:Z35" si="11">1-(1/Y34)</f>
        <v>#DIV/0!</v>
      </c>
      <c r="Z35" s="22" t="e">
        <f t="shared" si="11"/>
        <v>#DIV/0!</v>
      </c>
      <c r="AA35" s="22" t="e">
        <f>1-(1/AA34)</f>
        <v>#DIV/0!</v>
      </c>
      <c r="AB35" s="22" t="e">
        <f>1-(1/AB34)</f>
        <v>#DIV/0!</v>
      </c>
      <c r="AC35" s="22">
        <f t="shared" ref="AC35" si="12">1-(1/AC34)</f>
        <v>0.88801298400185491</v>
      </c>
      <c r="AD35" s="22">
        <f>1-(1/AD34)</f>
        <v>0.96001817355747388</v>
      </c>
    </row>
    <row r="36" spans="3:30" x14ac:dyDescent="0.2">
      <c r="D36" s="19" t="s">
        <v>25</v>
      </c>
      <c r="E36" s="23">
        <f>E12/E11</f>
        <v>2.4667185442356039</v>
      </c>
      <c r="F36" s="23">
        <f>F12/F11</f>
        <v>2.1617842196590793</v>
      </c>
      <c r="G36" s="23">
        <f>G12/G11</f>
        <v>2.2001284344754826</v>
      </c>
      <c r="H36" s="23">
        <f>H12/H11</f>
        <v>2.0790818463600571</v>
      </c>
      <c r="I36" s="19" t="s">
        <v>25</v>
      </c>
      <c r="J36" s="23">
        <f>J12/J11</f>
        <v>3.5885071711059227</v>
      </c>
      <c r="K36" s="23">
        <f>K12/K11</f>
        <v>2.8900132514154921</v>
      </c>
      <c r="L36" s="23">
        <f>L12/L11</f>
        <v>2.4191455972101132</v>
      </c>
      <c r="M36" s="23">
        <f>M12/M11</f>
        <v>2.8563860639573102</v>
      </c>
      <c r="N36" s="19" t="s">
        <v>25</v>
      </c>
      <c r="O36" s="23">
        <f>O12/O11</f>
        <v>2.8705960009901261</v>
      </c>
      <c r="P36" s="23">
        <f>P12/P11</f>
        <v>2.9044502394709482</v>
      </c>
      <c r="Q36" s="23">
        <f>Q12/Q11</f>
        <v>2.9471658134588479</v>
      </c>
      <c r="R36" s="23">
        <f>R12/R11</f>
        <v>2.8600902293004511</v>
      </c>
      <c r="S36" s="19" t="s">
        <v>25</v>
      </c>
      <c r="T36" s="23">
        <f t="shared" ref="T36:W36" si="13">T12/T11</f>
        <v>3.2635308010234207</v>
      </c>
      <c r="U36" s="23" t="e">
        <f t="shared" si="13"/>
        <v>#DIV/0!</v>
      </c>
      <c r="V36" s="23" t="e">
        <f t="shared" si="13"/>
        <v>#DIV/0!</v>
      </c>
      <c r="W36" s="23" t="e">
        <f t="shared" si="13"/>
        <v>#DIV/0!</v>
      </c>
      <c r="X36" s="19" t="s">
        <v>25</v>
      </c>
      <c r="Y36" s="23" t="e">
        <f>Y12/Y11</f>
        <v>#DIV/0!</v>
      </c>
      <c r="Z36" s="23" t="e">
        <f>Z12/Z11</f>
        <v>#DIV/0!</v>
      </c>
      <c r="AA36" s="23" t="e">
        <f>AA12/AA11</f>
        <v>#DIV/0!</v>
      </c>
      <c r="AB36" s="23" t="e">
        <f>AB12/AB11</f>
        <v>#DIV/0!</v>
      </c>
      <c r="AC36" s="23">
        <f>AC12/AC11</f>
        <v>3.8127496379752071</v>
      </c>
      <c r="AD36" s="23">
        <f>AD12/AD11</f>
        <v>3.5903000899627298</v>
      </c>
    </row>
    <row r="37" spans="3:30" x14ac:dyDescent="0.2">
      <c r="D37" s="19" t="s">
        <v>32</v>
      </c>
      <c r="E37" s="20">
        <f>E8/E7</f>
        <v>0.7687520471667213</v>
      </c>
      <c r="F37" s="20">
        <f>F8/F7</f>
        <v>0.84271099744245526</v>
      </c>
      <c r="G37" s="20">
        <f>G8/G7</f>
        <v>0.83348837209302329</v>
      </c>
      <c r="H37" s="20">
        <f>H8/H7</f>
        <v>0.73876507124588964</v>
      </c>
      <c r="I37" s="19" t="s">
        <v>32</v>
      </c>
      <c r="J37" s="20">
        <f>J8/J7</f>
        <v>0.59704031297839766</v>
      </c>
      <c r="K37" s="20">
        <f>K8/K7</f>
        <v>0.88412852969814992</v>
      </c>
      <c r="L37" s="20">
        <f>L8/L7</f>
        <v>1.6488435712509326</v>
      </c>
      <c r="M37" s="20">
        <f>M8/M7</f>
        <v>1.7699115044247787E-2</v>
      </c>
      <c r="N37" s="19" t="s">
        <v>32</v>
      </c>
      <c r="O37" s="20">
        <f>O8/O7</f>
        <v>0.83836758575294379</v>
      </c>
      <c r="P37" s="20">
        <f>P8/P7</f>
        <v>0.77689701463913574</v>
      </c>
      <c r="Q37" s="20">
        <f>Q8/Q7</f>
        <v>0.76427326214861624</v>
      </c>
      <c r="R37" s="20">
        <f>R8/R7</f>
        <v>0.75632124796434386</v>
      </c>
      <c r="S37" s="19" t="s">
        <v>32</v>
      </c>
      <c r="T37" s="20">
        <f t="shared" ref="T37:W37" si="14">T8/T7</f>
        <v>0.71562057574327509</v>
      </c>
      <c r="U37" s="20" t="e">
        <f t="shared" si="14"/>
        <v>#DIV/0!</v>
      </c>
      <c r="V37" s="20" t="e">
        <f t="shared" si="14"/>
        <v>#DIV/0!</v>
      </c>
      <c r="W37" s="20" t="e">
        <f t="shared" si="14"/>
        <v>#DIV/0!</v>
      </c>
      <c r="X37" s="19" t="s">
        <v>32</v>
      </c>
      <c r="Y37" s="20" t="e">
        <f>Y8/Y7</f>
        <v>#DIV/0!</v>
      </c>
      <c r="Z37" s="20" t="e">
        <f>Z8/Z7</f>
        <v>#DIV/0!</v>
      </c>
      <c r="AA37" s="20" t="e">
        <f>AA8/AA7</f>
        <v>#DIV/0!</v>
      </c>
      <c r="AB37" s="20" t="e">
        <f>AB8/AB7</f>
        <v>#DIV/0!</v>
      </c>
      <c r="AC37" s="20">
        <f>AC8/AC7</f>
        <v>0.70731070496083548</v>
      </c>
      <c r="AD37" s="20">
        <f>AD8/AD7</f>
        <v>0.63243413787663671</v>
      </c>
    </row>
    <row r="38" spans="3:30" x14ac:dyDescent="0.2">
      <c r="D38" s="8"/>
      <c r="E38" s="9"/>
      <c r="F38" s="9"/>
      <c r="G38" s="9"/>
      <c r="H38" s="9"/>
      <c r="I38" s="8"/>
      <c r="J38" s="9"/>
      <c r="K38" s="9"/>
      <c r="L38" s="9"/>
      <c r="M38" s="9"/>
      <c r="N38" s="8"/>
      <c r="O38" s="9"/>
      <c r="P38" s="9"/>
      <c r="Q38" s="9"/>
      <c r="R38" s="9"/>
      <c r="S38" s="8"/>
      <c r="T38" s="9"/>
      <c r="U38" s="9"/>
      <c r="V38" s="9"/>
      <c r="W38" s="9"/>
      <c r="X38" s="8"/>
      <c r="Y38" s="9"/>
      <c r="Z38" s="9"/>
      <c r="AA38" s="9"/>
      <c r="AB38" s="9"/>
      <c r="AC38" s="9"/>
      <c r="AD38" s="9"/>
    </row>
    <row r="39" spans="3:30" x14ac:dyDescent="0.2">
      <c r="D39" s="19" t="s">
        <v>26</v>
      </c>
      <c r="E39" s="21">
        <f>E16/E20</f>
        <v>0.89726212151864593</v>
      </c>
      <c r="F39" s="21">
        <f>F16/F20</f>
        <v>0.93813745750283317</v>
      </c>
      <c r="G39" s="21">
        <f>G16/G20</f>
        <v>0.98823343848580447</v>
      </c>
      <c r="H39" s="21">
        <f>H16/H20</f>
        <v>1.1440301171583422</v>
      </c>
      <c r="I39" s="19" t="s">
        <v>26</v>
      </c>
      <c r="J39" s="21">
        <f>J16/J20</f>
        <v>0.76739512153842904</v>
      </c>
      <c r="K39" s="21">
        <f>K16/K20</f>
        <v>0.82394457115806685</v>
      </c>
      <c r="L39" s="21">
        <f>L16/L20</f>
        <v>0.80573880149467181</v>
      </c>
      <c r="M39" s="21">
        <f>M16/M20</f>
        <v>1.0260265901580552</v>
      </c>
      <c r="N39" s="19" t="s">
        <v>26</v>
      </c>
      <c r="O39" s="21">
        <f>O16/O20</f>
        <v>0.99827294889300389</v>
      </c>
      <c r="P39" s="21">
        <f>P16/P20</f>
        <v>1.0926843208230139</v>
      </c>
      <c r="Q39" s="21">
        <f>Q16/Q20</f>
        <v>1.1163562087611063</v>
      </c>
      <c r="R39" s="21">
        <f>R16/R20</f>
        <v>1.1785502690284746</v>
      </c>
      <c r="S39" s="19" t="s">
        <v>26</v>
      </c>
      <c r="T39" s="21">
        <f t="shared" ref="T39:W39" si="15">T16/T20</f>
        <v>1.2415570891865404</v>
      </c>
      <c r="U39" s="21" t="e">
        <f t="shared" si="15"/>
        <v>#DIV/0!</v>
      </c>
      <c r="V39" s="21" t="e">
        <f t="shared" si="15"/>
        <v>#DIV/0!</v>
      </c>
      <c r="W39" s="21" t="e">
        <f t="shared" si="15"/>
        <v>#DIV/0!</v>
      </c>
      <c r="X39" s="19" t="s">
        <v>26</v>
      </c>
      <c r="Y39" s="21" t="e">
        <f>Y16/Y20</f>
        <v>#DIV/0!</v>
      </c>
      <c r="Z39" s="21" t="e">
        <f>Z16/Z20</f>
        <v>#DIV/0!</v>
      </c>
      <c r="AA39" s="21" t="e">
        <f>AA16/AA20</f>
        <v>#DIV/0!</v>
      </c>
      <c r="AB39" s="21" t="e">
        <f>AB16/AB20</f>
        <v>#DIV/0!</v>
      </c>
      <c r="AC39" s="21">
        <f>AC16/AC20</f>
        <v>1.2079166745430143</v>
      </c>
      <c r="AD39" s="21">
        <f>AD16/AD20</f>
        <v>1.1548457553928002</v>
      </c>
    </row>
    <row r="40" spans="3:30" x14ac:dyDescent="0.2">
      <c r="D40" s="19" t="s">
        <v>35</v>
      </c>
      <c r="E40" s="21">
        <f t="shared" ref="E40" si="16">E23/E14</f>
        <v>0.7074909279419388</v>
      </c>
      <c r="F40" s="21">
        <f>F23/F14</f>
        <v>1.080994076744785</v>
      </c>
      <c r="G40" s="21">
        <f>G23/G14</f>
        <v>0.74344521308395251</v>
      </c>
      <c r="H40" s="21">
        <f>H23/H14</f>
        <v>0.45177738927738925</v>
      </c>
      <c r="I40" s="19" t="s">
        <v>35</v>
      </c>
      <c r="J40" s="21">
        <f t="shared" ref="J40" si="17">J23/J14</f>
        <v>0.57344008834897842</v>
      </c>
      <c r="K40" s="21">
        <f>K23/K14</f>
        <v>0.67512724804886326</v>
      </c>
      <c r="L40" s="21">
        <f>L23/L14</f>
        <v>0.79143656857553524</v>
      </c>
      <c r="M40" s="21">
        <f>M23/M14</f>
        <v>0.42220689655172416</v>
      </c>
      <c r="N40" s="19" t="s">
        <v>35</v>
      </c>
      <c r="O40" s="21">
        <f t="shared" ref="O40:W40" si="18">O23/O14</f>
        <v>-6.7827848912751067E-3</v>
      </c>
      <c r="P40" s="21">
        <f>P23/P14</f>
        <v>3.5731483210330289E-2</v>
      </c>
      <c r="Q40" s="21">
        <f>Q23/Q14</f>
        <v>8.2937853107344639E-2</v>
      </c>
      <c r="R40" s="21">
        <f>R23/R14</f>
        <v>0.11406570653767224</v>
      </c>
      <c r="S40" s="19" t="s">
        <v>35</v>
      </c>
      <c r="T40" s="21">
        <f t="shared" ref="T40" si="19">T23/T14</f>
        <v>2.2138458956717055E-3</v>
      </c>
      <c r="U40" s="21" t="e">
        <f t="shared" si="18"/>
        <v>#DIV/0!</v>
      </c>
      <c r="V40" s="21" t="e">
        <f t="shared" si="18"/>
        <v>#DIV/0!</v>
      </c>
      <c r="W40" s="21" t="e">
        <f t="shared" si="18"/>
        <v>#DIV/0!</v>
      </c>
      <c r="X40" s="19" t="s">
        <v>35</v>
      </c>
      <c r="Y40" s="21" t="e">
        <f t="shared" ref="Y40:Z40" si="20">Y23/Y14</f>
        <v>#DIV/0!</v>
      </c>
      <c r="Z40" s="21" t="e">
        <f t="shared" si="20"/>
        <v>#DIV/0!</v>
      </c>
      <c r="AA40" s="21" t="e">
        <f>AA23/AA14</f>
        <v>#DIV/0!</v>
      </c>
      <c r="AB40" s="21" t="e">
        <f>AB23/AB14</f>
        <v>#DIV/0!</v>
      </c>
      <c r="AC40" s="21">
        <f>AC23/AC14</f>
        <v>4.5955582484677591E-2</v>
      </c>
      <c r="AD40" s="21">
        <f>AD23/AD14</f>
        <v>0.1445998445998446</v>
      </c>
    </row>
    <row r="41" spans="3:30" x14ac:dyDescent="0.2">
      <c r="D41" s="19" t="s">
        <v>39</v>
      </c>
      <c r="E41" s="20">
        <f t="shared" ref="E41:W41" si="21">(E19+E18-E21)/E4</f>
        <v>-1.8488177846312001E-2</v>
      </c>
      <c r="F41" s="20">
        <f>(F19+F18-F21)/F4</f>
        <v>-3.3325678468666839E-2</v>
      </c>
      <c r="G41" s="20">
        <f>(G19+G18-G21)/G4</f>
        <v>-3.7614912151583683E-2</v>
      </c>
      <c r="H41" s="20">
        <f>(H19+H18-H21)/H4</f>
        <v>-6.3621694602693707E-2</v>
      </c>
      <c r="I41" s="19" t="s">
        <v>36</v>
      </c>
      <c r="J41" s="20">
        <f t="shared" si="21"/>
        <v>-1.0687600491818784E-2</v>
      </c>
      <c r="K41" s="20">
        <f>(K19+K18-K21)/K4</f>
        <v>-1.219976089555483E-2</v>
      </c>
      <c r="L41" s="20">
        <f>(L19+L18-L21)/L4</f>
        <v>-4.8674979433758217E-2</v>
      </c>
      <c r="M41" s="20">
        <f>(M19+M18-M21)/M4</f>
        <v>-8.0033688679680651E-2</v>
      </c>
      <c r="N41" s="19" t="s">
        <v>36</v>
      </c>
      <c r="O41" s="20">
        <f t="shared" si="21"/>
        <v>0.15714223480723155</v>
      </c>
      <c r="P41" s="20">
        <f>(P19+P18-P21)/P4</f>
        <v>0.19601100704264168</v>
      </c>
      <c r="Q41" s="20">
        <f>(Q19+Q18-Q21)/Q4</f>
        <v>0.19478925868456887</v>
      </c>
      <c r="R41" s="20">
        <f>(R19+R18-R21)/R4</f>
        <v>0.200866818614167</v>
      </c>
      <c r="S41" s="19" t="s">
        <v>36</v>
      </c>
      <c r="T41" s="20">
        <f t="shared" ref="T41" si="22">(T19+T18-T21)/T4</f>
        <v>0.16664475806933474</v>
      </c>
      <c r="U41" s="20" t="e">
        <f t="shared" si="21"/>
        <v>#DIV/0!</v>
      </c>
      <c r="V41" s="20" t="e">
        <f t="shared" si="21"/>
        <v>#DIV/0!</v>
      </c>
      <c r="W41" s="20" t="e">
        <f t="shared" si="21"/>
        <v>#DIV/0!</v>
      </c>
      <c r="X41" s="19" t="s">
        <v>39</v>
      </c>
      <c r="Y41" s="20">
        <f t="shared" ref="Y41:Z41" si="23">(Y19+Y18-Y21)/Y4</f>
        <v>0</v>
      </c>
      <c r="Z41" s="20">
        <f t="shared" si="23"/>
        <v>0</v>
      </c>
      <c r="AA41" s="20">
        <f>(AA19+AA18-AA21)/AA4</f>
        <v>0</v>
      </c>
      <c r="AB41" s="20">
        <f>(AB19+AB18-AB21)/AB4</f>
        <v>0</v>
      </c>
      <c r="AC41" s="20">
        <f>(AC19+AC18-AC21)/AC4</f>
        <v>0.17008885930128223</v>
      </c>
      <c r="AD41" s="20">
        <f>(AD19+AD18-AD21)/AD4</f>
        <v>0.16016564166704469</v>
      </c>
    </row>
    <row r="42" spans="3:30" x14ac:dyDescent="0.2">
      <c r="D42" s="19" t="s">
        <v>37</v>
      </c>
      <c r="E42" s="21">
        <f t="shared" ref="E42:W42" si="24">E4/E18</f>
        <v>8.5410893126629173</v>
      </c>
      <c r="F42" s="21">
        <f>F4/F18</f>
        <v>11.032339791356184</v>
      </c>
      <c r="G42" s="21">
        <f>G4/G18</f>
        <v>11.920721008135269</v>
      </c>
      <c r="H42" s="21">
        <f>H4/H18</f>
        <v>11.318300409988819</v>
      </c>
      <c r="I42" s="19" t="s">
        <v>37</v>
      </c>
      <c r="J42" s="21">
        <f t="shared" si="24"/>
        <v>8.1821699427333225</v>
      </c>
      <c r="K42" s="21">
        <f>K4/K18</f>
        <v>10.324668038152234</v>
      </c>
      <c r="L42" s="21">
        <f>L4/L18</f>
        <v>11.128060069944455</v>
      </c>
      <c r="M42" s="21">
        <f>M4/M18</f>
        <v>10.708673091178651</v>
      </c>
      <c r="N42" s="19" t="s">
        <v>37</v>
      </c>
      <c r="O42" s="21">
        <f t="shared" si="24"/>
        <v>5.679821848323642</v>
      </c>
      <c r="P42" s="21">
        <f>P4/P18</f>
        <v>5.1557328669799976</v>
      </c>
      <c r="Q42" s="21">
        <f>Q4/Q18</f>
        <v>5.4048179367592315</v>
      </c>
      <c r="R42" s="21">
        <f>R4/R18</f>
        <v>5.0860050658330103</v>
      </c>
      <c r="S42" s="19" t="s">
        <v>37</v>
      </c>
      <c r="T42" s="21">
        <f t="shared" ref="T42" si="25">T4/T18</f>
        <v>5.6754043880769096</v>
      </c>
      <c r="U42" s="21" t="e">
        <f t="shared" si="24"/>
        <v>#DIV/0!</v>
      </c>
      <c r="V42" s="21" t="e">
        <f t="shared" si="24"/>
        <v>#DIV/0!</v>
      </c>
      <c r="W42" s="21" t="e">
        <f t="shared" si="24"/>
        <v>#DIV/0!</v>
      </c>
      <c r="X42" s="19" t="s">
        <v>37</v>
      </c>
      <c r="Y42" s="21" t="e">
        <f t="shared" ref="Y42:Z42" si="26">Y4/Y18</f>
        <v>#DIV/0!</v>
      </c>
      <c r="Z42" s="21" t="e">
        <f t="shared" si="26"/>
        <v>#DIV/0!</v>
      </c>
      <c r="AA42" s="21" t="e">
        <f>AA4/AA18</f>
        <v>#DIV/0!</v>
      </c>
      <c r="AB42" s="21" t="e">
        <f>AB4/AB18</f>
        <v>#DIV/0!</v>
      </c>
      <c r="AC42" s="21">
        <f>AC4/AC18</f>
        <v>5.8051886950969518</v>
      </c>
      <c r="AD42" s="21">
        <f>AD4/AD18</f>
        <v>5.8353123581908939</v>
      </c>
    </row>
    <row r="43" spans="3:30" x14ac:dyDescent="0.2">
      <c r="D43" s="19" t="s">
        <v>40</v>
      </c>
      <c r="E43" s="20">
        <f t="shared" ref="E43" si="27">(E14-E17)/E10</f>
        <v>-7.2140205473538804E-2</v>
      </c>
      <c r="F43" s="20">
        <f>(F14-F17)/F10</f>
        <v>-0.12364411157024793</v>
      </c>
      <c r="G43" s="20">
        <f>(G14-G17)/G10</f>
        <v>-8.7779147435713675E-2</v>
      </c>
      <c r="H43" s="20">
        <f>(H14-H17)/H10</f>
        <v>-0.12467691470548224</v>
      </c>
      <c r="I43" s="19" t="s">
        <v>40</v>
      </c>
      <c r="J43" s="20">
        <f t="shared" ref="J43" si="28">(J14-J17)/J10</f>
        <v>5.6823019969054714E-2</v>
      </c>
      <c r="K43" s="20">
        <f>(K14-K17)/K10</f>
        <v>2.3587583743664386E-2</v>
      </c>
      <c r="L43" s="20">
        <f>(L14-L17)/L10</f>
        <v>-1.8583493125535474E-2</v>
      </c>
      <c r="M43" s="20">
        <f>(M14-M17)/M10</f>
        <v>-2.1016745212072595E-2</v>
      </c>
      <c r="N43" s="19" t="s">
        <v>40</v>
      </c>
      <c r="O43" s="20">
        <f t="shared" ref="O43:W43" si="29">(O14-O17)/O10</f>
        <v>0.37009140369451887</v>
      </c>
      <c r="P43" s="20">
        <f>(P14-P17)/P10</f>
        <v>0.38104924960057274</v>
      </c>
      <c r="Q43" s="20">
        <f>(Q14-Q17)/Q10</f>
        <v>0.3911357159101852</v>
      </c>
      <c r="R43" s="20">
        <f>(R14-R17)/R10</f>
        <v>0.37093101381172128</v>
      </c>
      <c r="S43" s="19" t="s">
        <v>40</v>
      </c>
      <c r="T43" s="20">
        <f t="shared" ref="T43" si="30">(T14-T17)/T10</f>
        <v>0.49386227491753043</v>
      </c>
      <c r="U43" s="20" t="e">
        <f t="shared" si="29"/>
        <v>#DIV/0!</v>
      </c>
      <c r="V43" s="20" t="e">
        <f t="shared" si="29"/>
        <v>#DIV/0!</v>
      </c>
      <c r="W43" s="20" t="e">
        <f t="shared" si="29"/>
        <v>#DIV/0!</v>
      </c>
      <c r="X43" s="19" t="s">
        <v>40</v>
      </c>
      <c r="Y43" s="20" t="e">
        <f t="shared" ref="Y43:Z43" si="31">(Y14-Y17)/Y10</f>
        <v>#DIV/0!</v>
      </c>
      <c r="Z43" s="20" t="e">
        <f t="shared" si="31"/>
        <v>#DIV/0!</v>
      </c>
      <c r="AA43" s="20" t="e">
        <f>(AA14-AA17)/AA10</f>
        <v>#DIV/0!</v>
      </c>
      <c r="AB43" s="20" t="e">
        <f>(AB14-AB17)/AB10</f>
        <v>#DIV/0!</v>
      </c>
      <c r="AC43" s="20">
        <f>(AC14-AC17)/AC10</f>
        <v>0.50509856565643207</v>
      </c>
      <c r="AD43" s="20">
        <f>(AD14-AD17)/AD10</f>
        <v>0.45983544308227497</v>
      </c>
    </row>
    <row r="44" spans="3:30" x14ac:dyDescent="0.2">
      <c r="D44" s="8"/>
      <c r="E44" s="9"/>
      <c r="F44" s="9"/>
      <c r="G44" s="9"/>
      <c r="H44" s="9"/>
      <c r="I44" s="10"/>
      <c r="L44" s="10"/>
      <c r="M44" s="10"/>
    </row>
    <row r="45" spans="3:30" x14ac:dyDescent="0.2">
      <c r="C45" t="s">
        <v>48</v>
      </c>
      <c r="D45" s="89" t="s">
        <v>47</v>
      </c>
      <c r="E45" s="90"/>
      <c r="F45" s="90">
        <f>F23/F12</f>
        <v>0.19819160489163795</v>
      </c>
      <c r="G45" s="90">
        <f t="shared" ref="G45:H45" si="32">G23/G12</f>
        <v>0.18148650057333474</v>
      </c>
      <c r="H45" s="90">
        <f t="shared" si="32"/>
        <v>0.12494963333064711</v>
      </c>
      <c r="I45" s="89" t="s">
        <v>47</v>
      </c>
      <c r="J45" s="90"/>
      <c r="K45" s="90">
        <f>K23/K12</f>
        <v>0.13822426010837849</v>
      </c>
      <c r="L45" s="90">
        <f t="shared" ref="L45:M45" si="33">L23/L12</f>
        <v>0.15081664720552407</v>
      </c>
      <c r="M45" s="90">
        <f t="shared" si="33"/>
        <v>0.12431466515046907</v>
      </c>
      <c r="N45" s="89" t="s">
        <v>47</v>
      </c>
      <c r="O45" s="90"/>
      <c r="P45" s="90">
        <f>P23/P12</f>
        <v>2.1337151642831575E-2</v>
      </c>
      <c r="Q45" s="90">
        <f t="shared" ref="Q45:R45" si="34">Q23/Q12</f>
        <v>4.9346907414521704E-2</v>
      </c>
      <c r="R45" s="90">
        <f t="shared" si="34"/>
        <v>6.7604953153549391E-2</v>
      </c>
      <c r="S45" s="89" t="s">
        <v>47</v>
      </c>
      <c r="T45" s="90">
        <f>T23/T12</f>
        <v>1.5911600159579896E-3</v>
      </c>
      <c r="U45" s="90" t="e">
        <f t="shared" ref="U45:AD45" si="35">U23/U12</f>
        <v>#DIV/0!</v>
      </c>
      <c r="V45" s="90" t="e">
        <f t="shared" si="35"/>
        <v>#DIV/0!</v>
      </c>
      <c r="W45" s="90" t="e">
        <f t="shared" si="35"/>
        <v>#DIV/0!</v>
      </c>
      <c r="X45" s="90" t="e">
        <f t="shared" si="35"/>
        <v>#VALUE!</v>
      </c>
      <c r="Y45" s="90" t="e">
        <f t="shared" si="35"/>
        <v>#DIV/0!</v>
      </c>
      <c r="Z45" s="90" t="e">
        <f t="shared" si="35"/>
        <v>#DIV/0!</v>
      </c>
      <c r="AA45" s="90" t="e">
        <f t="shared" si="35"/>
        <v>#DIV/0!</v>
      </c>
      <c r="AB45" s="90" t="e">
        <f t="shared" si="35"/>
        <v>#DIV/0!</v>
      </c>
      <c r="AC45" s="90">
        <f t="shared" si="35"/>
        <v>3.2921948104525513E-2</v>
      </c>
      <c r="AD45" s="90">
        <f t="shared" si="35"/>
        <v>9.9924381065734785E-2</v>
      </c>
    </row>
    <row r="46" spans="3:30" x14ac:dyDescent="0.2">
      <c r="D46" s="8"/>
      <c r="E46" s="9"/>
      <c r="F46" s="9"/>
      <c r="G46" s="9"/>
      <c r="H46" s="9"/>
      <c r="I46" s="10"/>
      <c r="L46" s="10"/>
      <c r="M46" s="10"/>
      <c r="N46" s="73" t="s">
        <v>44</v>
      </c>
    </row>
    <row r="47" spans="3:30" x14ac:dyDescent="0.2">
      <c r="D47" s="8"/>
      <c r="E47" s="9"/>
      <c r="F47" s="9"/>
      <c r="G47" s="9"/>
      <c r="H47" s="9"/>
      <c r="I47" s="10"/>
      <c r="L47" s="10"/>
      <c r="M47" s="10"/>
    </row>
    <row r="48" spans="3:30" x14ac:dyDescent="0.2">
      <c r="D48" s="8"/>
      <c r="E48" s="9"/>
      <c r="F48" s="9"/>
      <c r="G48" s="9"/>
      <c r="H48" s="9"/>
      <c r="I48" s="10"/>
      <c r="L48" s="10"/>
      <c r="M48" s="10"/>
    </row>
    <row r="49" spans="4:13" x14ac:dyDescent="0.2">
      <c r="D49" s="8"/>
      <c r="E49" s="9"/>
      <c r="F49" s="9"/>
      <c r="G49" s="9"/>
      <c r="H49" s="9"/>
      <c r="I49" s="10"/>
      <c r="L49" s="10"/>
      <c r="M49" s="10"/>
    </row>
    <row r="50" spans="4:13" x14ac:dyDescent="0.2">
      <c r="D50" s="8"/>
      <c r="E50" s="9"/>
      <c r="F50" s="9"/>
      <c r="G50" s="9"/>
      <c r="H50" s="9"/>
      <c r="I50" s="10"/>
      <c r="L50" s="10"/>
      <c r="M50" s="10"/>
    </row>
    <row r="51" spans="4:13" x14ac:dyDescent="0.2">
      <c r="D51" s="24" t="s">
        <v>6</v>
      </c>
      <c r="E51" s="4">
        <v>2017</v>
      </c>
      <c r="F51" s="4">
        <v>2018</v>
      </c>
      <c r="G51" s="4">
        <v>2019</v>
      </c>
      <c r="H51" s="4">
        <v>2020</v>
      </c>
      <c r="I51" s="24" t="s">
        <v>8</v>
      </c>
      <c r="J51" s="4">
        <v>2017</v>
      </c>
      <c r="K51" s="4">
        <v>2018</v>
      </c>
      <c r="L51" s="4">
        <v>2019</v>
      </c>
      <c r="M51" s="4">
        <v>2020</v>
      </c>
    </row>
    <row r="52" spans="4:13" x14ac:dyDescent="0.2">
      <c r="D52" s="3" t="s">
        <v>2</v>
      </c>
      <c r="E52" s="34">
        <f>E26</f>
        <v>0.14048844726445589</v>
      </c>
      <c r="F52" s="34">
        <f>F26</f>
        <v>0.16816372358885373</v>
      </c>
      <c r="G52" s="34">
        <f>G26</f>
        <v>0.1643961286179533</v>
      </c>
      <c r="H52" s="34">
        <f>H26</f>
        <v>8.4694646896205081E-2</v>
      </c>
      <c r="I52" s="3" t="s">
        <v>2</v>
      </c>
      <c r="J52" s="34">
        <f>E30</f>
        <v>4.9376766897969673E-2</v>
      </c>
      <c r="K52" s="34">
        <f>F30</f>
        <v>5.9437772704553742E-2</v>
      </c>
      <c r="L52" s="34">
        <f>G30</f>
        <v>6.2464037681818789E-2</v>
      </c>
      <c r="M52" s="34">
        <f>H30</f>
        <v>5.0284848684427175E-2</v>
      </c>
    </row>
    <row r="53" spans="4:13" x14ac:dyDescent="0.2">
      <c r="D53" s="6" t="s">
        <v>1</v>
      </c>
      <c r="E53" s="34">
        <f>J26</f>
        <v>0.16724639062276647</v>
      </c>
      <c r="F53" s="34">
        <f>K26</f>
        <v>0.14584588202224633</v>
      </c>
      <c r="G53" s="34">
        <f>L26</f>
        <v>0.23121185701830863</v>
      </c>
      <c r="H53" s="34">
        <f>M26</f>
        <v>9.2803835891883536E-4</v>
      </c>
      <c r="I53" s="6" t="s">
        <v>1</v>
      </c>
      <c r="J53" s="34">
        <f>J30</f>
        <v>5.6086257448217158E-2</v>
      </c>
      <c r="K53" s="34">
        <f>K30</f>
        <v>4.4641886751440062E-2</v>
      </c>
      <c r="L53" s="34">
        <f>L30</f>
        <v>4.4524758057807312E-2</v>
      </c>
      <c r="M53" s="34">
        <f>M30</f>
        <v>2.4978079283769439E-2</v>
      </c>
    </row>
    <row r="54" spans="4:13" x14ac:dyDescent="0.2">
      <c r="D54" s="7" t="s">
        <v>3</v>
      </c>
      <c r="E54" s="34">
        <f>O26</f>
        <v>0.10509089908963393</v>
      </c>
      <c r="F54" s="34">
        <f>P26</f>
        <v>0.10356905455847011</v>
      </c>
      <c r="G54" s="34">
        <f>Q26</f>
        <v>0.11345642170301898</v>
      </c>
      <c r="H54" s="34">
        <f>R26</f>
        <v>6.8518360342591803E-2</v>
      </c>
      <c r="I54" s="7" t="s">
        <v>3</v>
      </c>
      <c r="J54" s="34">
        <f>O30</f>
        <v>6.019603572206491E-2</v>
      </c>
      <c r="K54" s="34">
        <f>P30</f>
        <v>5.9020814164995397E-2</v>
      </c>
      <c r="L54" s="34">
        <f>Q30</f>
        <v>6.7133221444630922E-2</v>
      </c>
      <c r="M54" s="34">
        <f>R30</f>
        <v>4.3408230290195797E-2</v>
      </c>
    </row>
    <row r="55" spans="4:13" x14ac:dyDescent="0.2">
      <c r="D55" s="11" t="s">
        <v>46</v>
      </c>
      <c r="E55" s="9"/>
      <c r="F55" s="34">
        <f>T26</f>
        <v>0.1147866107519719</v>
      </c>
      <c r="G55" s="34">
        <f>AC26</f>
        <v>4.3108798395951685E-2</v>
      </c>
      <c r="H55" s="34">
        <f>AD26</f>
        <v>6.4403675620100242E-2</v>
      </c>
      <c r="I55" s="11" t="s">
        <v>46</v>
      </c>
      <c r="J55" s="9"/>
      <c r="K55" s="34">
        <f>T30</f>
        <v>6.651450149974307E-2</v>
      </c>
      <c r="L55" s="34">
        <f>AC30</f>
        <v>2.4967437552461721E-2</v>
      </c>
      <c r="M55" s="34">
        <f>AD30</f>
        <v>4.2790763986546472E-2</v>
      </c>
    </row>
    <row r="56" spans="4:13" x14ac:dyDescent="0.2">
      <c r="D56" s="78" t="s">
        <v>45</v>
      </c>
      <c r="E56" s="70">
        <f t="shared" ref="E56" si="36">AVERAGE(E52:E54)</f>
        <v>0.13760857899228543</v>
      </c>
      <c r="F56" s="70">
        <f>AVERAGE(F52:F55)</f>
        <v>0.13309131773038552</v>
      </c>
      <c r="G56" s="70">
        <f>AVERAGE(G52:G55)</f>
        <v>0.13804330143380816</v>
      </c>
      <c r="H56" s="70">
        <f>AVERAGE(H52:H55)</f>
        <v>5.4636180304453989E-2</v>
      </c>
      <c r="I56" s="78" t="s">
        <v>45</v>
      </c>
      <c r="J56" s="70">
        <f t="shared" ref="J56" si="37">AVERAGE(J52:J55)</f>
        <v>5.5219686689417243E-2</v>
      </c>
      <c r="K56" s="70">
        <f>AVERAGE(K52:K55)</f>
        <v>5.7403743780183064E-2</v>
      </c>
      <c r="L56" s="70">
        <f>AVERAGE(L52:L55)</f>
        <v>4.9772363684179685E-2</v>
      </c>
      <c r="M56" s="70">
        <f>AVERAGE(M52:M55)</f>
        <v>4.0365480561234721E-2</v>
      </c>
    </row>
    <row r="57" spans="4:13" x14ac:dyDescent="0.2">
      <c r="D57" s="8"/>
      <c r="E57" s="9"/>
      <c r="F57" s="9"/>
      <c r="G57" s="9"/>
      <c r="H57" s="9"/>
      <c r="I57" s="8"/>
      <c r="L57" s="8"/>
      <c r="M57" s="8"/>
    </row>
    <row r="58" spans="4:13" x14ac:dyDescent="0.2">
      <c r="D58" s="25" t="s">
        <v>0</v>
      </c>
      <c r="E58" s="4">
        <v>2017</v>
      </c>
      <c r="F58" s="4">
        <v>2018</v>
      </c>
      <c r="G58" s="4">
        <v>2019</v>
      </c>
      <c r="H58" s="4">
        <v>2020</v>
      </c>
      <c r="I58" s="24" t="s">
        <v>4</v>
      </c>
      <c r="J58" s="4">
        <v>2017</v>
      </c>
      <c r="K58" s="4">
        <v>2018</v>
      </c>
      <c r="L58" s="4">
        <v>2019</v>
      </c>
      <c r="M58" s="4">
        <v>2020</v>
      </c>
    </row>
    <row r="59" spans="4:13" x14ac:dyDescent="0.2">
      <c r="D59" s="3" t="s">
        <v>2</v>
      </c>
      <c r="E59" s="34">
        <f>E29</f>
        <v>5.3077786411119744E-2</v>
      </c>
      <c r="F59" s="34">
        <f>F29</f>
        <v>7.1022727272727279E-2</v>
      </c>
      <c r="G59" s="34">
        <f>G29</f>
        <v>6.6909382793911079E-2</v>
      </c>
      <c r="H59" s="34">
        <f>H29</f>
        <v>4.1545367977145968E-2</v>
      </c>
      <c r="I59" s="3" t="s">
        <v>2</v>
      </c>
      <c r="J59" s="34">
        <f>E32</f>
        <v>9.3308275507581598E-2</v>
      </c>
      <c r="K59" s="34">
        <f>F32</f>
        <v>9.9895983897767035E-2</v>
      </c>
      <c r="L59" s="34">
        <f>G32</f>
        <v>0.11220243272537501</v>
      </c>
      <c r="M59" s="34">
        <f>H32</f>
        <v>0.1171008002107551</v>
      </c>
    </row>
    <row r="60" spans="4:13" x14ac:dyDescent="0.2">
      <c r="D60" s="6" t="s">
        <v>1</v>
      </c>
      <c r="E60" s="34">
        <f>J29</f>
        <v>6.1579040280792113E-2</v>
      </c>
      <c r="F60" s="34">
        <f>K29</f>
        <v>5.0881050447493109E-2</v>
      </c>
      <c r="G60" s="34">
        <f>L29</f>
        <v>4.9131002407082534E-2</v>
      </c>
      <c r="H60" s="34">
        <f>M29</f>
        <v>2.1708613255790633E-2</v>
      </c>
      <c r="I60" s="6" t="s">
        <v>1</v>
      </c>
      <c r="J60" s="34">
        <f>J32</f>
        <v>0.10785964248557647</v>
      </c>
      <c r="K60" s="34">
        <f>K32</f>
        <v>9.4518711734231792E-2</v>
      </c>
      <c r="L60" s="34">
        <f>L32</f>
        <v>9.4854280089104973E-2</v>
      </c>
      <c r="M60" s="34">
        <f>M32</f>
        <v>8.4313996954174172E-2</v>
      </c>
    </row>
    <row r="61" spans="4:13" x14ac:dyDescent="0.2">
      <c r="D61" s="7" t="s">
        <v>3</v>
      </c>
      <c r="E61" s="37"/>
      <c r="F61" s="37">
        <f>P29</f>
        <v>3.0382664419979222E-2</v>
      </c>
      <c r="G61" s="37">
        <f>Q29</f>
        <v>3.4749042659776956E-2</v>
      </c>
      <c r="H61" s="37">
        <f>R29</f>
        <v>1.9462336606894996E-2</v>
      </c>
      <c r="I61" s="7" t="s">
        <v>3</v>
      </c>
      <c r="J61" s="34">
        <f>O32</f>
        <v>0.15675887606186015</v>
      </c>
      <c r="K61" s="34">
        <f>P32</f>
        <v>0.1546794771230745</v>
      </c>
      <c r="L61" s="34">
        <f>Q32</f>
        <v>0.1638707685487191</v>
      </c>
      <c r="M61" s="34">
        <f>R32</f>
        <v>0.16486154232695036</v>
      </c>
    </row>
    <row r="62" spans="4:13" x14ac:dyDescent="0.2">
      <c r="D62" s="11" t="s">
        <v>46</v>
      </c>
      <c r="F62" s="37">
        <f>T29</f>
        <v>3.9528582943622409E-2</v>
      </c>
      <c r="G62" s="37">
        <f>AC29</f>
        <v>1.4260774109073596E-2</v>
      </c>
      <c r="H62" s="37">
        <f>AD29</f>
        <v>2.3108662861302528E-2</v>
      </c>
      <c r="I62" s="11" t="s">
        <v>46</v>
      </c>
      <c r="J62" s="9"/>
      <c r="K62" s="34">
        <f>T32</f>
        <v>0.10418733045733201</v>
      </c>
      <c r="L62" s="34">
        <f>AC32</f>
        <v>6.9837043040319541E-2</v>
      </c>
      <c r="M62" s="34">
        <f>AD32</f>
        <v>0.10083663298965063</v>
      </c>
    </row>
    <row r="63" spans="4:13" x14ac:dyDescent="0.2">
      <c r="D63" s="78" t="s">
        <v>45</v>
      </c>
      <c r="E63" s="70">
        <f t="shared" ref="E63" si="38">AVERAGE(E59:E62)</f>
        <v>5.7328413345955925E-2</v>
      </c>
      <c r="F63" s="70">
        <f>AVERAGE(F59:F62)</f>
        <v>4.7953756270955501E-2</v>
      </c>
      <c r="G63" s="70">
        <f>AVERAGE(G59:G62)</f>
        <v>4.1262550492461039E-2</v>
      </c>
      <c r="H63" s="70">
        <f>AVERAGE(H59:H62)</f>
        <v>2.6456245175283534E-2</v>
      </c>
      <c r="I63" s="78" t="s">
        <v>45</v>
      </c>
      <c r="J63" s="70">
        <f t="shared" ref="J63" si="39">AVERAGE(J59:J62)</f>
        <v>0.11930893135167275</v>
      </c>
      <c r="K63" s="70">
        <f>AVERAGE(K59:K62)</f>
        <v>0.11332037580310134</v>
      </c>
      <c r="L63" s="70">
        <f>AVERAGE(L59:L62)</f>
        <v>0.11019113110087966</v>
      </c>
      <c r="M63" s="70">
        <f>AVERAGE(M59:M62)</f>
        <v>0.11677824312038257</v>
      </c>
    </row>
    <row r="65" spans="4:13" x14ac:dyDescent="0.2">
      <c r="D65" s="26" t="s">
        <v>28</v>
      </c>
      <c r="E65" s="28">
        <v>2017</v>
      </c>
      <c r="F65" s="28">
        <v>2018</v>
      </c>
      <c r="G65" s="27">
        <v>2019</v>
      </c>
      <c r="H65" s="4">
        <v>2020</v>
      </c>
      <c r="I65" s="24" t="s">
        <v>9</v>
      </c>
      <c r="J65" s="4">
        <v>2017</v>
      </c>
      <c r="K65" s="4">
        <v>2018</v>
      </c>
      <c r="L65" s="4">
        <v>2019</v>
      </c>
      <c r="M65" s="4">
        <v>2020</v>
      </c>
    </row>
    <row r="66" spans="4:13" x14ac:dyDescent="0.2">
      <c r="D66" s="29" t="s">
        <v>2</v>
      </c>
      <c r="E66" s="38">
        <f>E36</f>
        <v>2.4667185442356039</v>
      </c>
      <c r="F66" s="38">
        <f>F36</f>
        <v>2.1617842196590793</v>
      </c>
      <c r="G66" s="38">
        <f>G36</f>
        <v>2.2001284344754826</v>
      </c>
      <c r="H66" s="38">
        <f>H36</f>
        <v>2.0790818463600571</v>
      </c>
      <c r="I66" s="3" t="s">
        <v>2</v>
      </c>
      <c r="J66" s="36">
        <f>E31</f>
        <v>1.074954674954675</v>
      </c>
      <c r="K66" s="36">
        <f>F31</f>
        <v>1.1949089617768596</v>
      </c>
      <c r="L66" s="36">
        <f>G31</f>
        <v>1.0711664707737294</v>
      </c>
      <c r="M66" s="36">
        <f>H31</f>
        <v>0.82620051693647123</v>
      </c>
    </row>
    <row r="67" spans="4:13" x14ac:dyDescent="0.2">
      <c r="D67" s="31" t="s">
        <v>1</v>
      </c>
      <c r="E67" s="38">
        <f>J36</f>
        <v>3.5885071711059227</v>
      </c>
      <c r="F67" s="38">
        <f>K36</f>
        <v>2.8900132514154921</v>
      </c>
      <c r="G67" s="38">
        <f>L36</f>
        <v>2.4191455972101132</v>
      </c>
      <c r="H67" s="38">
        <f>M36</f>
        <v>2.8563860639573102</v>
      </c>
      <c r="I67" s="6" t="s">
        <v>1</v>
      </c>
      <c r="J67" s="36">
        <f>J31</f>
        <v>1.0979345579912565</v>
      </c>
      <c r="K67" s="36">
        <f>K31</f>
        <v>1.1397603047288718</v>
      </c>
      <c r="L67" s="36">
        <f>L31</f>
        <v>1.1034535514666883</v>
      </c>
      <c r="M67" s="36">
        <f>M31</f>
        <v>0.86910658778702499</v>
      </c>
    </row>
    <row r="68" spans="4:13" x14ac:dyDescent="0.2">
      <c r="D68" s="32" t="s">
        <v>3</v>
      </c>
      <c r="E68" s="38">
        <f>O36</f>
        <v>2.8705960009901261</v>
      </c>
      <c r="F68" s="38">
        <f>P36</f>
        <v>2.9044502394709482</v>
      </c>
      <c r="G68" s="38">
        <f>Q36</f>
        <v>2.9471658134588479</v>
      </c>
      <c r="H68" s="38">
        <f>R36</f>
        <v>2.8600902293004511</v>
      </c>
      <c r="I68" s="7" t="s">
        <v>3</v>
      </c>
      <c r="J68" s="36">
        <f>O31</f>
        <v>0.54370868299569153</v>
      </c>
      <c r="K68" s="36">
        <f>P31</f>
        <v>0.51477880896463213</v>
      </c>
      <c r="L68" s="36">
        <f>Q31</f>
        <v>0.51761321610995126</v>
      </c>
      <c r="M68" s="36">
        <f>R31</f>
        <v>0.44835591031433436</v>
      </c>
    </row>
    <row r="69" spans="4:13" x14ac:dyDescent="0.2">
      <c r="D69" s="11" t="s">
        <v>46</v>
      </c>
      <c r="E69" s="30"/>
      <c r="F69" s="38">
        <f>T36</f>
        <v>3.2635308010234207</v>
      </c>
      <c r="G69" s="38">
        <f>AC36</f>
        <v>3.8127496379752071</v>
      </c>
      <c r="H69" s="38">
        <f>AD36</f>
        <v>3.5903000899627298</v>
      </c>
      <c r="I69" s="11" t="s">
        <v>46</v>
      </c>
      <c r="J69" s="9"/>
      <c r="K69" s="36">
        <f>T31</f>
        <v>0.59428518672390718</v>
      </c>
      <c r="L69" s="36">
        <f>AC31</f>
        <v>0.57117491849569169</v>
      </c>
      <c r="M69" s="36">
        <f>AD31</f>
        <v>0.54003856693392871</v>
      </c>
    </row>
    <row r="70" spans="4:13" x14ac:dyDescent="0.2">
      <c r="D70" s="71" t="s">
        <v>45</v>
      </c>
      <c r="E70" s="72">
        <f t="shared" ref="E70" si="40">AVERAGE(E66:E69)</f>
        <v>2.9752739054438844</v>
      </c>
      <c r="F70" s="72">
        <f>AVERAGE(F66:F69)</f>
        <v>2.8049446278922354</v>
      </c>
      <c r="G70" s="72">
        <f>AVERAGE(G66:G69)</f>
        <v>2.8447973707799123</v>
      </c>
      <c r="H70" s="72">
        <f>AVERAGE(H66:H69)</f>
        <v>2.8464645573951373</v>
      </c>
      <c r="I70" s="71" t="s">
        <v>45</v>
      </c>
      <c r="J70" s="72">
        <f t="shared" ref="J70" si="41">AVERAGE(J66:J69)</f>
        <v>0.90553263864720768</v>
      </c>
      <c r="K70" s="72">
        <f>AVERAGE(K66:K69)</f>
        <v>0.86093331554856756</v>
      </c>
      <c r="L70" s="72">
        <f>AVERAGE(L66:L69)</f>
        <v>0.81585203921151506</v>
      </c>
      <c r="M70" s="72">
        <f>AVERAGE(M66:M69)</f>
        <v>0.67092539549293984</v>
      </c>
    </row>
    <row r="74" spans="4:13" x14ac:dyDescent="0.2">
      <c r="D74" s="25" t="s">
        <v>31</v>
      </c>
      <c r="E74" s="4">
        <v>2017</v>
      </c>
      <c r="F74" s="4">
        <v>2018</v>
      </c>
      <c r="G74" s="4">
        <v>2019</v>
      </c>
      <c r="H74" s="4">
        <v>2020</v>
      </c>
    </row>
    <row r="75" spans="4:13" x14ac:dyDescent="0.2">
      <c r="D75" s="3" t="s">
        <v>2</v>
      </c>
      <c r="E75" s="39">
        <f t="shared" ref="E75:F77" si="42">E59/E$63</f>
        <v>0.9258547954365105</v>
      </c>
      <c r="F75" s="39">
        <f t="shared" si="42"/>
        <v>1.4810670278137132</v>
      </c>
      <c r="G75" s="39">
        <f>G59/G$63</f>
        <v>1.6215522791334942</v>
      </c>
      <c r="H75" s="39">
        <f>H59/H$63</f>
        <v>1.5703425675824658</v>
      </c>
    </row>
    <row r="76" spans="4:13" x14ac:dyDescent="0.2">
      <c r="D76" s="6" t="s">
        <v>1</v>
      </c>
      <c r="E76" s="39">
        <f t="shared" si="42"/>
        <v>1.0741452045634896</v>
      </c>
      <c r="F76" s="39">
        <f t="shared" si="42"/>
        <v>1.0610441059089797</v>
      </c>
      <c r="G76" s="39">
        <f>G60/G$63</f>
        <v>1.1906923304718917</v>
      </c>
      <c r="H76" s="39">
        <f>H60/H$63</f>
        <v>0.82054778038085596</v>
      </c>
    </row>
    <row r="77" spans="4:13" x14ac:dyDescent="0.2">
      <c r="D77" s="7" t="s">
        <v>3</v>
      </c>
      <c r="E77" s="39">
        <f>E61/E$63</f>
        <v>0</v>
      </c>
      <c r="F77" s="39">
        <f t="shared" si="42"/>
        <v>0.63358257585300592</v>
      </c>
      <c r="G77" s="39">
        <f>G61/G$63</f>
        <v>0.84214480794457558</v>
      </c>
      <c r="H77" s="39">
        <f>H61/H$63</f>
        <v>0.73564243444029909</v>
      </c>
    </row>
    <row r="78" spans="4:13" x14ac:dyDescent="0.2">
      <c r="D78" s="11" t="s">
        <v>46</v>
      </c>
      <c r="E78" s="39">
        <f t="shared" ref="E78" si="43">E62/E$63</f>
        <v>0</v>
      </c>
      <c r="F78" s="39">
        <f>F62/F$63</f>
        <v>0.82430629042430137</v>
      </c>
      <c r="G78" s="39">
        <f>G62/G$63</f>
        <v>0.34561058245003884</v>
      </c>
      <c r="H78" s="39">
        <f>H62/H$63</f>
        <v>0.8734672175963788</v>
      </c>
    </row>
    <row r="80" spans="4:13" x14ac:dyDescent="0.2">
      <c r="D80" s="26" t="s">
        <v>30</v>
      </c>
      <c r="E80" s="28">
        <v>2017</v>
      </c>
      <c r="F80" s="28">
        <v>2018</v>
      </c>
      <c r="G80" s="27">
        <v>2019</v>
      </c>
      <c r="H80" s="4">
        <v>2020</v>
      </c>
    </row>
    <row r="81" spans="4:13" x14ac:dyDescent="0.2">
      <c r="D81" s="29" t="s">
        <v>2</v>
      </c>
      <c r="E81" s="38">
        <f t="shared" ref="E81:F83" si="44">E66/E$70</f>
        <v>0.82907275855249085</v>
      </c>
      <c r="F81" s="38">
        <f t="shared" si="44"/>
        <v>0.77070477547485261</v>
      </c>
      <c r="G81" s="38">
        <f>G66/G$70</f>
        <v>0.77338669427703699</v>
      </c>
      <c r="H81" s="38">
        <f>H66/H$70</f>
        <v>0.73040847846096879</v>
      </c>
    </row>
    <row r="82" spans="4:13" x14ac:dyDescent="0.2">
      <c r="D82" s="31" t="s">
        <v>1</v>
      </c>
      <c r="E82" s="38">
        <f t="shared" si="44"/>
        <v>1.2061098524542564</v>
      </c>
      <c r="F82" s="38">
        <f t="shared" si="44"/>
        <v>1.0303280937089947</v>
      </c>
      <c r="G82" s="38">
        <f>G67/G$70</f>
        <v>0.85037536313065942</v>
      </c>
      <c r="H82" s="38">
        <f>H67/H$70</f>
        <v>1.0034855542242382</v>
      </c>
    </row>
    <row r="83" spans="4:13" x14ac:dyDescent="0.2">
      <c r="D83" s="32" t="s">
        <v>3</v>
      </c>
      <c r="E83" s="38">
        <f t="shared" si="44"/>
        <v>0.96481738899325264</v>
      </c>
      <c r="F83" s="38">
        <f t="shared" si="44"/>
        <v>1.0354750716250274</v>
      </c>
      <c r="G83" s="38">
        <f>G68/G$70</f>
        <v>1.0359844408358936</v>
      </c>
      <c r="H83" s="38">
        <f>H68/H$70</f>
        <v>1.0047868756594611</v>
      </c>
    </row>
    <row r="84" spans="4:13" x14ac:dyDescent="0.2">
      <c r="D84" s="11" t="s">
        <v>46</v>
      </c>
      <c r="E84" s="38">
        <f t="shared" ref="E84" si="45">E69/E70</f>
        <v>0</v>
      </c>
      <c r="F84" s="38">
        <f>F69/F70</f>
        <v>1.1634920591911249</v>
      </c>
      <c r="G84" s="38">
        <f>G69/G70</f>
        <v>1.3402535017564103</v>
      </c>
      <c r="H84" s="38">
        <f>H69/H70</f>
        <v>1.2613190916553314</v>
      </c>
    </row>
    <row r="89" spans="4:13" x14ac:dyDescent="0.2">
      <c r="D89" s="25" t="s">
        <v>26</v>
      </c>
      <c r="E89" s="4">
        <v>2017</v>
      </c>
      <c r="F89" s="4">
        <v>2018</v>
      </c>
      <c r="G89" s="4">
        <v>2019</v>
      </c>
      <c r="H89" s="4">
        <v>2020</v>
      </c>
    </row>
    <row r="90" spans="4:13" x14ac:dyDescent="0.2">
      <c r="D90" s="3" t="s">
        <v>2</v>
      </c>
      <c r="E90" s="39">
        <v>0.89726212151864593</v>
      </c>
      <c r="F90" s="39">
        <v>0.93813745750283317</v>
      </c>
      <c r="G90" s="39">
        <v>0.98823343848580447</v>
      </c>
      <c r="H90" s="39">
        <f>H39</f>
        <v>1.1440301171583422</v>
      </c>
    </row>
    <row r="91" spans="4:13" x14ac:dyDescent="0.2">
      <c r="D91" s="6" t="s">
        <v>1</v>
      </c>
      <c r="E91" s="39">
        <v>0.76739512153842904</v>
      </c>
      <c r="F91" s="39">
        <v>0.82394457115806685</v>
      </c>
      <c r="G91" s="39">
        <v>0.80573880149467181</v>
      </c>
      <c r="H91" s="39">
        <f>M39</f>
        <v>1.0260265901580552</v>
      </c>
    </row>
    <row r="92" spans="4:13" x14ac:dyDescent="0.2">
      <c r="D92" s="7" t="s">
        <v>3</v>
      </c>
      <c r="E92" s="41">
        <v>0.99827294889300389</v>
      </c>
      <c r="F92" s="41">
        <v>1.0926843208230139</v>
      </c>
      <c r="G92" s="41">
        <v>1.1163562087611063</v>
      </c>
      <c r="H92" s="41">
        <f>R39</f>
        <v>1.1785502690284746</v>
      </c>
    </row>
    <row r="93" spans="4:13" x14ac:dyDescent="0.2">
      <c r="D93" s="11" t="s">
        <v>46</v>
      </c>
      <c r="E93" s="41"/>
      <c r="F93" s="41">
        <f>T39</f>
        <v>1.2415570891865404</v>
      </c>
      <c r="G93" s="41">
        <f>AC39</f>
        <v>1.2079166745430143</v>
      </c>
      <c r="H93" s="41">
        <f>AD39</f>
        <v>1.1548457553928002</v>
      </c>
    </row>
    <row r="95" spans="4:13" x14ac:dyDescent="0.2">
      <c r="D95" s="25" t="s">
        <v>35</v>
      </c>
      <c r="E95" s="4">
        <v>2017</v>
      </c>
      <c r="F95" s="4">
        <v>2018</v>
      </c>
      <c r="G95" s="4">
        <v>2019</v>
      </c>
      <c r="H95" s="4">
        <v>2020</v>
      </c>
      <c r="I95" s="25" t="s">
        <v>49</v>
      </c>
      <c r="J95" s="4">
        <v>2017</v>
      </c>
      <c r="K95" s="91">
        <v>2018</v>
      </c>
      <c r="L95" s="91">
        <v>2019</v>
      </c>
      <c r="M95" s="91">
        <v>2020</v>
      </c>
    </row>
    <row r="96" spans="4:13" x14ac:dyDescent="0.2">
      <c r="D96" s="3" t="s">
        <v>2</v>
      </c>
      <c r="E96" s="39">
        <v>0.7074909279419388</v>
      </c>
      <c r="F96" s="39">
        <v>1.080994076744785</v>
      </c>
      <c r="G96" s="39">
        <v>0.74344521308395251</v>
      </c>
      <c r="H96" s="39">
        <f>H40</f>
        <v>0.45177738927738925</v>
      </c>
      <c r="I96" s="3" t="s">
        <v>2</v>
      </c>
      <c r="J96" s="39">
        <v>0.7074909279419388</v>
      </c>
      <c r="K96" s="92">
        <f>F45</f>
        <v>0.19819160489163795</v>
      </c>
      <c r="L96" s="92">
        <f>G45</f>
        <v>0.18148650057333474</v>
      </c>
      <c r="M96" s="92">
        <f>H45</f>
        <v>0.12494963333064711</v>
      </c>
    </row>
    <row r="97" spans="4:13" x14ac:dyDescent="0.2">
      <c r="D97" s="6" t="s">
        <v>1</v>
      </c>
      <c r="E97" s="39">
        <v>0.57344008834897842</v>
      </c>
      <c r="F97" s="39">
        <v>0.67512724804886326</v>
      </c>
      <c r="G97" s="39">
        <v>0.79143656857553524</v>
      </c>
      <c r="H97" s="39">
        <f>M40</f>
        <v>0.42220689655172416</v>
      </c>
      <c r="I97" s="6" t="s">
        <v>1</v>
      </c>
      <c r="J97" s="39">
        <v>0.57344008834897842</v>
      </c>
      <c r="K97" s="92">
        <f>K45</f>
        <v>0.13822426010837849</v>
      </c>
      <c r="L97" s="92">
        <f t="shared" ref="L97:M97" si="46">L45</f>
        <v>0.15081664720552407</v>
      </c>
      <c r="M97" s="92">
        <f t="shared" si="46"/>
        <v>0.12431466515046907</v>
      </c>
    </row>
    <row r="98" spans="4:13" x14ac:dyDescent="0.2">
      <c r="D98" s="7" t="s">
        <v>3</v>
      </c>
      <c r="E98" s="41">
        <v>-6.7827848912751067E-3</v>
      </c>
      <c r="F98" s="41">
        <v>3.5731483210330289E-2</v>
      </c>
      <c r="G98" s="41">
        <v>8.2937853107344639E-2</v>
      </c>
      <c r="H98" s="41">
        <f>R40</f>
        <v>0.11406570653767224</v>
      </c>
      <c r="I98" s="7" t="s">
        <v>3</v>
      </c>
      <c r="J98" s="41">
        <v>-6.7827848912751067E-3</v>
      </c>
      <c r="K98" s="92">
        <f>P45</f>
        <v>2.1337151642831575E-2</v>
      </c>
      <c r="L98" s="92">
        <f t="shared" ref="L98:M98" si="47">Q45</f>
        <v>4.9346907414521704E-2</v>
      </c>
      <c r="M98" s="92">
        <f t="shared" si="47"/>
        <v>6.7604953153549391E-2</v>
      </c>
    </row>
    <row r="99" spans="4:13" x14ac:dyDescent="0.2">
      <c r="D99" s="11" t="s">
        <v>46</v>
      </c>
      <c r="E99" s="41"/>
      <c r="F99" s="41">
        <f>T40</f>
        <v>2.2138458956717055E-3</v>
      </c>
      <c r="G99" s="41">
        <f>AC40</f>
        <v>4.5955582484677591E-2</v>
      </c>
      <c r="H99" s="41">
        <f>AD40</f>
        <v>0.1445998445998446</v>
      </c>
      <c r="I99" s="11" t="s">
        <v>46</v>
      </c>
      <c r="J99" s="41"/>
      <c r="K99" s="92">
        <f>T45</f>
        <v>1.5911600159579896E-3</v>
      </c>
      <c r="L99" s="92">
        <f>AC45</f>
        <v>3.2921948104525513E-2</v>
      </c>
      <c r="M99" s="92">
        <f>AD45</f>
        <v>9.9924381065734785E-2</v>
      </c>
    </row>
    <row r="101" spans="4:13" x14ac:dyDescent="0.2">
      <c r="D101" s="25" t="s">
        <v>39</v>
      </c>
      <c r="E101" s="4">
        <v>2017</v>
      </c>
      <c r="F101" s="4">
        <v>2018</v>
      </c>
      <c r="G101" s="4">
        <v>2019</v>
      </c>
      <c r="H101" s="4">
        <v>2020</v>
      </c>
      <c r="I101" s="25" t="s">
        <v>37</v>
      </c>
      <c r="J101" s="4">
        <v>2017</v>
      </c>
      <c r="K101" s="4">
        <v>2018</v>
      </c>
      <c r="L101" s="4">
        <v>2019</v>
      </c>
      <c r="M101" s="4">
        <v>2020</v>
      </c>
    </row>
    <row r="102" spans="4:13" x14ac:dyDescent="0.2">
      <c r="D102" s="3" t="s">
        <v>2</v>
      </c>
      <c r="E102" s="34">
        <v>-1.8488177846312001E-2</v>
      </c>
      <c r="F102" s="34">
        <v>-3.3325678468666839E-2</v>
      </c>
      <c r="G102" s="34">
        <v>-3.7614912151583683E-2</v>
      </c>
      <c r="H102" s="34">
        <f>H41</f>
        <v>-6.3621694602693707E-2</v>
      </c>
      <c r="I102" s="3" t="s">
        <v>2</v>
      </c>
      <c r="J102" s="39">
        <v>8.5410893126629173</v>
      </c>
      <c r="K102" s="39">
        <v>11.032339791356184</v>
      </c>
      <c r="L102" s="39">
        <v>11.920721008135269</v>
      </c>
      <c r="M102" s="39">
        <f>H42</f>
        <v>11.318300409988819</v>
      </c>
    </row>
    <row r="103" spans="4:13" x14ac:dyDescent="0.2">
      <c r="D103" s="6" t="s">
        <v>1</v>
      </c>
      <c r="E103" s="34">
        <v>-1.0687600491818784E-2</v>
      </c>
      <c r="F103" s="34">
        <v>-1.219976089555483E-2</v>
      </c>
      <c r="G103" s="34">
        <v>-4.8674979433758217E-2</v>
      </c>
      <c r="H103" s="34">
        <f>M41</f>
        <v>-8.0033688679680651E-2</v>
      </c>
      <c r="I103" s="6" t="s">
        <v>1</v>
      </c>
      <c r="J103" s="39">
        <v>8.1821699427333225</v>
      </c>
      <c r="K103" s="39">
        <v>10.324668038152234</v>
      </c>
      <c r="L103" s="39">
        <v>11.128060069944455</v>
      </c>
      <c r="M103" s="39">
        <f>M42</f>
        <v>10.708673091178651</v>
      </c>
    </row>
    <row r="104" spans="4:13" x14ac:dyDescent="0.2">
      <c r="D104" s="7" t="s">
        <v>3</v>
      </c>
      <c r="E104" s="37">
        <v>0.15714223480723155</v>
      </c>
      <c r="F104" s="37">
        <v>0.19601100704264168</v>
      </c>
      <c r="G104" s="37">
        <v>0.19478925868456887</v>
      </c>
      <c r="H104" s="37">
        <f>R41</f>
        <v>0.200866818614167</v>
      </c>
      <c r="I104" s="7" t="s">
        <v>3</v>
      </c>
      <c r="J104" s="41">
        <v>5.679821848323642</v>
      </c>
      <c r="K104" s="41">
        <v>5.1557328669799976</v>
      </c>
      <c r="L104" s="41">
        <v>5.4048179367592315</v>
      </c>
      <c r="M104" s="41">
        <f>R42</f>
        <v>5.0860050658330103</v>
      </c>
    </row>
    <row r="105" spans="4:13" x14ac:dyDescent="0.2">
      <c r="D105" s="11" t="s">
        <v>46</v>
      </c>
      <c r="E105" s="37"/>
      <c r="F105" s="37">
        <f>T41</f>
        <v>0.16664475806933474</v>
      </c>
      <c r="G105" s="37">
        <f>AC41</f>
        <v>0.17008885930128223</v>
      </c>
      <c r="H105" s="37">
        <f>AD41</f>
        <v>0.16016564166704469</v>
      </c>
      <c r="I105" s="11" t="s">
        <v>46</v>
      </c>
      <c r="J105" s="41"/>
      <c r="K105" s="41">
        <f>T42</f>
        <v>5.6754043880769096</v>
      </c>
      <c r="L105" s="41">
        <f>AC42</f>
        <v>5.8051886950969518</v>
      </c>
      <c r="M105" s="41">
        <f>AD42</f>
        <v>5.8353123581908939</v>
      </c>
    </row>
    <row r="107" spans="4:13" x14ac:dyDescent="0.2">
      <c r="D107" s="25" t="s">
        <v>40</v>
      </c>
      <c r="E107" s="4">
        <v>2017</v>
      </c>
      <c r="F107" s="4">
        <v>2018</v>
      </c>
      <c r="G107" s="4">
        <v>2019</v>
      </c>
      <c r="H107" s="4">
        <v>2020</v>
      </c>
    </row>
    <row r="108" spans="4:13" x14ac:dyDescent="0.2">
      <c r="D108" s="3" t="s">
        <v>2</v>
      </c>
      <c r="E108" s="34">
        <v>-7.2140205473538804E-2</v>
      </c>
      <c r="F108" s="34">
        <v>-0.12364411157024793</v>
      </c>
      <c r="G108" s="34">
        <v>-8.7779147435713675E-2</v>
      </c>
      <c r="H108" s="34">
        <f>H43</f>
        <v>-0.12467691470548224</v>
      </c>
    </row>
    <row r="109" spans="4:13" x14ac:dyDescent="0.2">
      <c r="D109" s="6" t="s">
        <v>1</v>
      </c>
      <c r="E109" s="34">
        <v>5.6823019969054714E-2</v>
      </c>
      <c r="F109" s="34">
        <v>2.3587583743664386E-2</v>
      </c>
      <c r="G109" s="34">
        <v>-1.8583493125535474E-2</v>
      </c>
      <c r="H109" s="34">
        <f>M43</f>
        <v>-2.1016745212072595E-2</v>
      </c>
    </row>
    <row r="110" spans="4:13" x14ac:dyDescent="0.2">
      <c r="D110" s="7" t="s">
        <v>3</v>
      </c>
      <c r="E110" s="37">
        <v>0.37009140369451887</v>
      </c>
      <c r="F110" s="37">
        <v>0.38104924960057274</v>
      </c>
      <c r="G110" s="37">
        <v>0.3911357159101852</v>
      </c>
      <c r="H110" s="37">
        <f>R43</f>
        <v>0.37093101381172128</v>
      </c>
    </row>
    <row r="111" spans="4:13" x14ac:dyDescent="0.2">
      <c r="D111" s="11" t="s">
        <v>46</v>
      </c>
      <c r="E111" s="37"/>
      <c r="F111" s="37">
        <f>T43</f>
        <v>0.49386227491753043</v>
      </c>
      <c r="G111" s="37">
        <f>AC43</f>
        <v>0.50509856565643207</v>
      </c>
      <c r="H111" s="37">
        <f>AD43</f>
        <v>0.45983544308227497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1501-EB8A-4B43-B74F-27B0C091433E}">
  <dimension ref="A1"/>
  <sheetViews>
    <sheetView workbookViewId="0">
      <selection sqref="A1:L4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RATIOS</vt:lpstr>
      <vt:lpstr>RATIOS (2)</vt:lpstr>
      <vt:lpstr>MY_SHEET_flipped</vt:lpstr>
      <vt:lpstr>MY_SHEET_flipped con Toyota</vt:lpstr>
      <vt:lpstr>Sheet4</vt:lpstr>
      <vt:lpstr>MY_SHEET_reflipped_bene</vt:lpstr>
      <vt:lpstr>FINAL_FOR_GRAPHS_(SUPERFLIPPED)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Chiaroni</dc:creator>
  <cp:lastModifiedBy>Microsoft Office User</cp:lastModifiedBy>
  <dcterms:created xsi:type="dcterms:W3CDTF">2020-02-12T19:37:04Z</dcterms:created>
  <dcterms:modified xsi:type="dcterms:W3CDTF">2022-01-21T08:16:28Z</dcterms:modified>
</cp:coreProperties>
</file>