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ropBox\Dropbox\ECOS 2016\Other material\"/>
    </mc:Choice>
  </mc:AlternateContent>
  <bookViews>
    <workbookView xWindow="0" yWindow="0" windowWidth="15750" windowHeight="9825" activeTab="3"/>
  </bookViews>
  <sheets>
    <sheet name="Cases" sheetId="3" r:id="rId1"/>
    <sheet name="Heat exchangers" sheetId="6" r:id="rId2"/>
    <sheet name="Complex HEN" sheetId="2" r:id="rId3"/>
    <sheet name="Simplifed HEN" sheetId="1" r:id="rId4"/>
    <sheet name="Constants" sheetId="4" r:id="rId5"/>
    <sheet name="Results" sheetId="7"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7" l="1"/>
  <c r="I12" i="7"/>
  <c r="F12" i="7"/>
  <c r="E12" i="7"/>
  <c r="R11" i="7"/>
  <c r="Q11" i="7"/>
  <c r="P11" i="7"/>
  <c r="N11" i="7"/>
  <c r="M11" i="7"/>
  <c r="L11" i="7"/>
  <c r="J11" i="7"/>
  <c r="I11" i="7"/>
  <c r="H11" i="7"/>
  <c r="F11" i="7"/>
  <c r="E11" i="7"/>
  <c r="D11" i="7"/>
  <c r="R10" i="7" l="1"/>
  <c r="Q10" i="7"/>
  <c r="P10" i="7"/>
  <c r="N10" i="7"/>
  <c r="M10" i="7"/>
  <c r="L10" i="7"/>
  <c r="J10" i="7"/>
  <c r="I10" i="7"/>
  <c r="H10" i="7"/>
  <c r="F10" i="7"/>
  <c r="E10" i="7"/>
  <c r="D10" i="7"/>
  <c r="P9" i="7"/>
  <c r="L9" i="7"/>
  <c r="H9" i="7"/>
  <c r="D9" i="7"/>
  <c r="R8" i="7"/>
  <c r="Q8" i="7"/>
  <c r="P8" i="7"/>
  <c r="N8" i="7"/>
  <c r="M8" i="7"/>
  <c r="L8" i="7"/>
  <c r="J8" i="7"/>
  <c r="I8" i="7"/>
  <c r="H8" i="7"/>
  <c r="F8" i="7"/>
  <c r="E8" i="7"/>
  <c r="D8" i="7"/>
  <c r="R21" i="3" l="1"/>
  <c r="H21" i="3"/>
  <c r="V33" i="2" l="1"/>
  <c r="U33" i="2"/>
  <c r="U20" i="1" s="1"/>
  <c r="P33" i="2"/>
  <c r="Q33" i="2" s="1"/>
  <c r="Q20" i="1" s="1"/>
  <c r="K33" i="2"/>
  <c r="L33" i="2" s="1"/>
  <c r="L20" i="1" s="1"/>
  <c r="F33" i="2"/>
  <c r="G33" i="2" s="1"/>
  <c r="G20" i="1" s="1"/>
  <c r="X33" i="2"/>
  <c r="X20" i="1" s="1"/>
  <c r="W33" i="2"/>
  <c r="X32" i="2"/>
  <c r="X19" i="1" s="1"/>
  <c r="W32" i="2"/>
  <c r="W19" i="1" s="1"/>
  <c r="S33" i="2"/>
  <c r="S20" i="1" s="1"/>
  <c r="R33" i="2"/>
  <c r="S32" i="2"/>
  <c r="S19" i="1" s="1"/>
  <c r="R32" i="2"/>
  <c r="R19" i="1" s="1"/>
  <c r="N33" i="2"/>
  <c r="N20" i="1" s="1"/>
  <c r="M33" i="2"/>
  <c r="N32" i="2"/>
  <c r="M32" i="2"/>
  <c r="M19" i="1" s="1"/>
  <c r="I33" i="2"/>
  <c r="I20" i="1" s="1"/>
  <c r="H33" i="2"/>
  <c r="I32" i="2"/>
  <c r="H32" i="2"/>
  <c r="H19" i="1" s="1"/>
  <c r="U32" i="2"/>
  <c r="U19" i="1" s="1"/>
  <c r="P32" i="2"/>
  <c r="Q32" i="2" s="1"/>
  <c r="Q19" i="1" s="1"/>
  <c r="K32" i="2"/>
  <c r="L32" i="2" s="1"/>
  <c r="L19" i="1" s="1"/>
  <c r="F32" i="2"/>
  <c r="G32" i="2" s="1"/>
  <c r="G19" i="1" s="1"/>
  <c r="P19" i="1"/>
  <c r="F28" i="2"/>
  <c r="C13" i="1"/>
  <c r="F13" i="1"/>
  <c r="K13" i="1"/>
  <c r="L13" i="1"/>
  <c r="O13" i="1"/>
  <c r="S13" i="1"/>
  <c r="U13" i="1"/>
  <c r="C14" i="1"/>
  <c r="I14" i="1"/>
  <c r="L14" i="1"/>
  <c r="N14" i="1"/>
  <c r="O14" i="1"/>
  <c r="Q14" i="1"/>
  <c r="C15" i="1"/>
  <c r="F15" i="1"/>
  <c r="G15" i="1"/>
  <c r="L15" i="1"/>
  <c r="N15" i="1"/>
  <c r="O15" i="1"/>
  <c r="P15" i="1"/>
  <c r="Q15" i="1"/>
  <c r="S15" i="1"/>
  <c r="V15" i="1"/>
  <c r="X15" i="1"/>
  <c r="C16" i="1"/>
  <c r="G16" i="1"/>
  <c r="I16" i="1"/>
  <c r="L16" i="1"/>
  <c r="N16" i="1"/>
  <c r="O16" i="1"/>
  <c r="P16" i="1"/>
  <c r="Q16" i="1"/>
  <c r="V16" i="1"/>
  <c r="C17" i="1"/>
  <c r="F17" i="1"/>
  <c r="G17" i="1"/>
  <c r="I17" i="1"/>
  <c r="K17" i="1"/>
  <c r="L17" i="1"/>
  <c r="N17" i="1"/>
  <c r="O17" i="1"/>
  <c r="P17" i="1"/>
  <c r="Q17" i="1"/>
  <c r="S17" i="1"/>
  <c r="U17" i="1"/>
  <c r="V17" i="1"/>
  <c r="X17" i="1"/>
  <c r="C18" i="1"/>
  <c r="F18" i="1"/>
  <c r="G18" i="1"/>
  <c r="I18" i="1"/>
  <c r="K18" i="1"/>
  <c r="L18" i="1"/>
  <c r="N18" i="1"/>
  <c r="O18" i="1"/>
  <c r="P18" i="1"/>
  <c r="Q18" i="1"/>
  <c r="U18" i="1"/>
  <c r="V18" i="1"/>
  <c r="C19" i="1"/>
  <c r="F19" i="1"/>
  <c r="I19" i="1"/>
  <c r="K19" i="1"/>
  <c r="N19" i="1"/>
  <c r="O19" i="1"/>
  <c r="C20" i="1"/>
  <c r="F20" i="1"/>
  <c r="H20" i="1"/>
  <c r="K20" i="1"/>
  <c r="M20" i="1"/>
  <c r="O20" i="1"/>
  <c r="P20" i="1"/>
  <c r="R20" i="1"/>
  <c r="V20" i="1"/>
  <c r="W20" i="1"/>
  <c r="U29" i="2"/>
  <c r="U16" i="1" s="1"/>
  <c r="U28" i="2"/>
  <c r="U15" i="1" s="1"/>
  <c r="P29" i="2"/>
  <c r="P28" i="2"/>
  <c r="K29" i="2"/>
  <c r="K16" i="1" s="1"/>
  <c r="K28" i="2"/>
  <c r="K15" i="1" s="1"/>
  <c r="F29" i="2"/>
  <c r="F16" i="1" s="1"/>
  <c r="H17" i="4"/>
  <c r="U27" i="2"/>
  <c r="U14" i="1" s="1"/>
  <c r="P27" i="2"/>
  <c r="P14" i="1" s="1"/>
  <c r="K27" i="2"/>
  <c r="K14" i="1" s="1"/>
  <c r="F27" i="2"/>
  <c r="F14" i="1" s="1"/>
  <c r="U26" i="2"/>
  <c r="P26" i="2"/>
  <c r="P13" i="1" s="1"/>
  <c r="K26" i="2"/>
  <c r="F26" i="2"/>
  <c r="X31" i="2"/>
  <c r="X18" i="1" s="1"/>
  <c r="W31" i="2"/>
  <c r="W18" i="1" s="1"/>
  <c r="X30" i="2"/>
  <c r="W30" i="2"/>
  <c r="W17" i="1" s="1"/>
  <c r="S31" i="2"/>
  <c r="S18" i="1" s="1"/>
  <c r="R31" i="2"/>
  <c r="R18" i="1" s="1"/>
  <c r="S30" i="2"/>
  <c r="R30" i="2"/>
  <c r="R17" i="1" s="1"/>
  <c r="N31" i="2"/>
  <c r="M31" i="2"/>
  <c r="M18" i="1" s="1"/>
  <c r="N30" i="2"/>
  <c r="M30" i="2"/>
  <c r="M17" i="1" s="1"/>
  <c r="I31" i="2"/>
  <c r="H31" i="2"/>
  <c r="H18" i="1" s="1"/>
  <c r="I30" i="2"/>
  <c r="H30" i="2"/>
  <c r="H17" i="1" s="1"/>
  <c r="X29" i="2"/>
  <c r="X16" i="1" s="1"/>
  <c r="W29" i="2"/>
  <c r="W16" i="1" s="1"/>
  <c r="X28" i="2"/>
  <c r="W28" i="2"/>
  <c r="W15" i="1" s="1"/>
  <c r="S29" i="2"/>
  <c r="S16" i="1" s="1"/>
  <c r="R29" i="2"/>
  <c r="R16" i="1" s="1"/>
  <c r="S28" i="2"/>
  <c r="R28" i="2"/>
  <c r="R15" i="1" s="1"/>
  <c r="N29" i="2"/>
  <c r="M29" i="2"/>
  <c r="M16" i="1" s="1"/>
  <c r="N28" i="2"/>
  <c r="M28" i="2"/>
  <c r="M15" i="1" s="1"/>
  <c r="I29" i="2"/>
  <c r="H29" i="2"/>
  <c r="H16" i="1" s="1"/>
  <c r="H28" i="2"/>
  <c r="H15" i="1" s="1"/>
  <c r="I28" i="2"/>
  <c r="I15" i="1" s="1"/>
  <c r="X27" i="2"/>
  <c r="X14" i="1" s="1"/>
  <c r="V27" i="2"/>
  <c r="W27" i="2" s="1"/>
  <c r="W14" i="1" s="1"/>
  <c r="S27" i="2"/>
  <c r="Q27" i="2"/>
  <c r="N27" i="2"/>
  <c r="M27" i="2"/>
  <c r="M14" i="1" s="1"/>
  <c r="L27" i="2"/>
  <c r="I27" i="2"/>
  <c r="G27" i="2"/>
  <c r="H27" i="2" s="1"/>
  <c r="H14" i="1" s="1"/>
  <c r="X26" i="2"/>
  <c r="X13" i="1" s="1"/>
  <c r="V26" i="2"/>
  <c r="S26" i="2"/>
  <c r="Q26" i="2"/>
  <c r="Q13" i="1" s="1"/>
  <c r="N26" i="2"/>
  <c r="M26" i="2" s="1"/>
  <c r="M13" i="1" s="1"/>
  <c r="L26" i="2"/>
  <c r="I26" i="2"/>
  <c r="I13" i="1" s="1"/>
  <c r="G26" i="2"/>
  <c r="H26" i="2" s="1"/>
  <c r="H13" i="1" s="1"/>
  <c r="B14" i="1"/>
  <c r="B15" i="1"/>
  <c r="B16" i="1"/>
  <c r="B17" i="1"/>
  <c r="B18" i="1"/>
  <c r="B19" i="1"/>
  <c r="B20" i="1"/>
  <c r="B13" i="1"/>
  <c r="F26" i="6"/>
  <c r="F25" i="6"/>
  <c r="F24" i="6"/>
  <c r="E24" i="6"/>
  <c r="E26" i="6"/>
  <c r="E25" i="6"/>
  <c r="J26" i="6"/>
  <c r="I26" i="6"/>
  <c r="N26" i="6"/>
  <c r="M26" i="6"/>
  <c r="H16" i="4"/>
  <c r="M25" i="6"/>
  <c r="N25" i="6"/>
  <c r="N24" i="6"/>
  <c r="M24" i="6"/>
  <c r="D27" i="6"/>
  <c r="H15" i="4"/>
  <c r="H14" i="4"/>
  <c r="J25" i="6"/>
  <c r="I25" i="6"/>
  <c r="J24" i="6"/>
  <c r="I24" i="6"/>
  <c r="X9" i="1"/>
  <c r="W9" i="1"/>
  <c r="S9" i="1"/>
  <c r="R9" i="1"/>
  <c r="N9" i="1"/>
  <c r="M9" i="1"/>
  <c r="I9" i="1"/>
  <c r="H9" i="1"/>
  <c r="V8" i="1"/>
  <c r="Q8" i="1"/>
  <c r="L8" i="1"/>
  <c r="G8" i="1"/>
  <c r="V7" i="1"/>
  <c r="Q7" i="1"/>
  <c r="L7" i="1"/>
  <c r="G7" i="1"/>
  <c r="R8" i="2"/>
  <c r="R7" i="2"/>
  <c r="H8" i="2"/>
  <c r="H7" i="2"/>
  <c r="W8" i="1"/>
  <c r="R8" i="1"/>
  <c r="M8" i="1"/>
  <c r="H8" i="1"/>
  <c r="H13" i="4"/>
  <c r="X7" i="1"/>
  <c r="S7" i="1"/>
  <c r="N7" i="1"/>
  <c r="I7" i="1"/>
  <c r="H12" i="4"/>
  <c r="W16" i="2"/>
  <c r="W15" i="2"/>
  <c r="P9" i="2"/>
  <c r="R10" i="2"/>
  <c r="H10" i="2"/>
  <c r="W10" i="2"/>
  <c r="M10" i="2"/>
  <c r="K10" i="2" s="1"/>
  <c r="H22" i="2"/>
  <c r="R22" i="2"/>
  <c r="W22" i="2"/>
  <c r="M22" i="2"/>
  <c r="X21" i="2"/>
  <c r="X22" i="2" s="1"/>
  <c r="S21" i="2"/>
  <c r="S22" i="2" s="1"/>
  <c r="I21" i="2"/>
  <c r="F21" i="2" s="1"/>
  <c r="X9" i="2"/>
  <c r="X10" i="2" s="1"/>
  <c r="S9" i="2"/>
  <c r="S10" i="2" s="1"/>
  <c r="N9" i="2"/>
  <c r="N10" i="2" s="1"/>
  <c r="I9" i="2"/>
  <c r="I10" i="2" s="1"/>
  <c r="W18" i="2"/>
  <c r="W17" i="2"/>
  <c r="R18" i="2"/>
  <c r="R17" i="2"/>
  <c r="H18" i="2"/>
  <c r="H17" i="2"/>
  <c r="V16" i="2"/>
  <c r="V15" i="2"/>
  <c r="L16" i="2"/>
  <c r="L15" i="2"/>
  <c r="V18" i="2"/>
  <c r="V17" i="2"/>
  <c r="Q18" i="2"/>
  <c r="Q17" i="2"/>
  <c r="L18" i="2"/>
  <c r="L17" i="2"/>
  <c r="G18" i="2"/>
  <c r="G17" i="2"/>
  <c r="G7" i="6"/>
  <c r="G11" i="6"/>
  <c r="U18" i="2"/>
  <c r="U17" i="2"/>
  <c r="P18" i="2"/>
  <c r="S18" i="2" s="1"/>
  <c r="P17" i="2"/>
  <c r="F18" i="2"/>
  <c r="I18" i="2" s="1"/>
  <c r="F17" i="2"/>
  <c r="I17" i="2" s="1"/>
  <c r="U14" i="2"/>
  <c r="U13" i="2"/>
  <c r="P14" i="2"/>
  <c r="P13" i="2"/>
  <c r="F13" i="2"/>
  <c r="F14" i="2"/>
  <c r="X14" i="2"/>
  <c r="W14" i="2"/>
  <c r="X13" i="2"/>
  <c r="W13" i="2"/>
  <c r="S14" i="2"/>
  <c r="R14" i="2"/>
  <c r="S13" i="2"/>
  <c r="R13" i="2"/>
  <c r="I14" i="2"/>
  <c r="H14" i="2"/>
  <c r="I13" i="2"/>
  <c r="H13" i="2"/>
  <c r="K18" i="2"/>
  <c r="K17" i="2"/>
  <c r="K14" i="2"/>
  <c r="K13" i="2"/>
  <c r="N14" i="2"/>
  <c r="M14" i="2"/>
  <c r="N13" i="2"/>
  <c r="M13" i="2"/>
  <c r="M16" i="2"/>
  <c r="M17" i="2"/>
  <c r="M18" i="2"/>
  <c r="M15" i="2"/>
  <c r="H10" i="4"/>
  <c r="K11" i="6"/>
  <c r="K10" i="6"/>
  <c r="K9" i="6"/>
  <c r="K8" i="6"/>
  <c r="K7" i="6"/>
  <c r="K5" i="6"/>
  <c r="K6" i="6"/>
  <c r="K4" i="6"/>
  <c r="U16" i="2"/>
  <c r="U15" i="2"/>
  <c r="K16" i="2"/>
  <c r="K15" i="2"/>
  <c r="U12" i="2"/>
  <c r="U11" i="2"/>
  <c r="K12" i="2"/>
  <c r="K11" i="2"/>
  <c r="U7" i="2"/>
  <c r="K8" i="2"/>
  <c r="K7" i="2"/>
  <c r="X20" i="2"/>
  <c r="X19" i="2"/>
  <c r="U19" i="2" s="1"/>
  <c r="N20" i="2"/>
  <c r="N19" i="2"/>
  <c r="K19" i="2" s="1"/>
  <c r="H3" i="4"/>
  <c r="W20" i="2"/>
  <c r="M20" i="2"/>
  <c r="V20" i="2"/>
  <c r="L20" i="2"/>
  <c r="X8" i="2"/>
  <c r="W8" i="2"/>
  <c r="N8" i="2"/>
  <c r="M8" i="2"/>
  <c r="V8" i="2"/>
  <c r="X12" i="2"/>
  <c r="W12" i="2"/>
  <c r="X11" i="2"/>
  <c r="W11" i="2"/>
  <c r="S12" i="2"/>
  <c r="R12" i="2"/>
  <c r="S11" i="2"/>
  <c r="R11" i="2"/>
  <c r="N12" i="2"/>
  <c r="M12" i="2"/>
  <c r="N11" i="2"/>
  <c r="M11" i="2"/>
  <c r="I12" i="2"/>
  <c r="H12" i="2"/>
  <c r="I11" i="2"/>
  <c r="H11" i="2"/>
  <c r="H2" i="4"/>
  <c r="L8" i="2"/>
  <c r="G18" i="6"/>
  <c r="J18" i="6"/>
  <c r="I18" i="6"/>
  <c r="M21" i="6"/>
  <c r="N21" i="6"/>
  <c r="N20" i="6"/>
  <c r="M20" i="6"/>
  <c r="D8" i="4"/>
  <c r="E21" i="6"/>
  <c r="D21" i="6"/>
  <c r="K21" i="6" s="1"/>
  <c r="F9" i="2" l="1"/>
  <c r="G13" i="1"/>
  <c r="V32" i="2"/>
  <c r="V19" i="1" s="1"/>
  <c r="U8" i="2"/>
  <c r="P22" i="2"/>
  <c r="V14" i="1"/>
  <c r="U22" i="2"/>
  <c r="F10" i="2"/>
  <c r="G14" i="1"/>
  <c r="N13" i="1"/>
  <c r="N16" i="2"/>
  <c r="S17" i="2"/>
  <c r="U10" i="2"/>
  <c r="U21" i="2"/>
  <c r="P10" i="2"/>
  <c r="W26" i="2"/>
  <c r="W13" i="1" s="1"/>
  <c r="R27" i="2"/>
  <c r="R14" i="1" s="1"/>
  <c r="S14" i="1"/>
  <c r="V13" i="1"/>
  <c r="R26" i="2"/>
  <c r="R13" i="1" s="1"/>
  <c r="U9" i="2"/>
  <c r="X15" i="2"/>
  <c r="X16" i="2"/>
  <c r="N17" i="2"/>
  <c r="X17" i="2"/>
  <c r="I22" i="2"/>
  <c r="F22" i="2" s="1"/>
  <c r="F9" i="1" s="1"/>
  <c r="G9" i="1" s="1"/>
  <c r="P21" i="2"/>
  <c r="P9" i="1" s="1"/>
  <c r="Q9" i="1" s="1"/>
  <c r="K9" i="2"/>
  <c r="N18" i="2"/>
  <c r="X18" i="2"/>
  <c r="N21" i="2"/>
  <c r="P7" i="1"/>
  <c r="R7" i="1" s="1"/>
  <c r="U7" i="1"/>
  <c r="K7" i="1"/>
  <c r="N15" i="2"/>
  <c r="F7" i="1"/>
  <c r="E20" i="6"/>
  <c r="U20" i="2"/>
  <c r="K20" i="2"/>
  <c r="F21" i="6"/>
  <c r="D20" i="6"/>
  <c r="K20" i="6" s="1"/>
  <c r="G9" i="6"/>
  <c r="I9" i="6" s="1"/>
  <c r="J8" i="6" s="1"/>
  <c r="I8" i="6" s="1"/>
  <c r="J9" i="6"/>
  <c r="J10" i="6"/>
  <c r="I10" i="6"/>
  <c r="I6" i="6"/>
  <c r="J6" i="6" s="1"/>
  <c r="M9" i="6"/>
  <c r="N9" i="6" s="1"/>
  <c r="M11" i="6" s="1"/>
  <c r="N11" i="6" s="1"/>
  <c r="N8" i="6"/>
  <c r="M8" i="6" s="1"/>
  <c r="N10" i="6" s="1"/>
  <c r="M10" i="6" s="1"/>
  <c r="J11" i="6"/>
  <c r="I11" i="6"/>
  <c r="J7" i="6"/>
  <c r="I7" i="6"/>
  <c r="D4" i="6"/>
  <c r="N18" i="6"/>
  <c r="K18" i="6"/>
  <c r="M18" i="6" s="1"/>
  <c r="U9" i="1" l="1"/>
  <c r="V9" i="1" s="1"/>
  <c r="N22" i="2"/>
  <c r="K22" i="2" s="1"/>
  <c r="K21" i="2"/>
  <c r="P8" i="1"/>
  <c r="S8" i="1" s="1"/>
  <c r="K8" i="1"/>
  <c r="N8" i="1" s="1"/>
  <c r="M7" i="1"/>
  <c r="F8" i="1"/>
  <c r="I8" i="1" s="1"/>
  <c r="H7" i="1"/>
  <c r="U8" i="1"/>
  <c r="X8" i="1" s="1"/>
  <c r="W7" i="1"/>
  <c r="E18" i="6"/>
  <c r="F18" i="6" s="1"/>
  <c r="F20" i="6"/>
  <c r="E8" i="6"/>
  <c r="F8" i="6" s="1"/>
  <c r="E11" i="6"/>
  <c r="F11" i="6" s="1"/>
  <c r="E9" i="6"/>
  <c r="F9" i="6" s="1"/>
  <c r="E10" i="6"/>
  <c r="F10" i="6" s="1"/>
  <c r="K9" i="1" l="1"/>
  <c r="L9" i="1" s="1"/>
  <c r="I17" i="6" l="1"/>
  <c r="I16" i="6"/>
  <c r="I15" i="6"/>
  <c r="M15" i="6"/>
  <c r="N15" i="6" s="1"/>
  <c r="N17" i="6"/>
  <c r="M17" i="6"/>
  <c r="K17" i="6" s="1"/>
  <c r="N16" i="6"/>
  <c r="M16" i="6"/>
  <c r="G17" i="6"/>
  <c r="G16" i="6"/>
  <c r="J16" i="6" s="1"/>
  <c r="G15" i="6"/>
  <c r="J15" i="6" s="1"/>
  <c r="L15" i="6"/>
  <c r="L16" i="6" s="1"/>
  <c r="L17" i="6" s="1"/>
  <c r="H15" i="6"/>
  <c r="H16" i="6" s="1"/>
  <c r="H17" i="6" s="1"/>
  <c r="M14" i="6"/>
  <c r="K14" i="6"/>
  <c r="I14" i="6"/>
  <c r="G14" i="6"/>
  <c r="J5" i="6"/>
  <c r="J4" i="6"/>
  <c r="I4" i="6"/>
  <c r="I5" i="6"/>
  <c r="M5" i="6"/>
  <c r="N4" i="6"/>
  <c r="G5" i="6"/>
  <c r="E16" i="6" l="1"/>
  <c r="F16" i="6" s="1"/>
  <c r="K16" i="6"/>
  <c r="J17" i="6"/>
  <c r="E17" i="6"/>
  <c r="F17" i="6" s="1"/>
  <c r="E15" i="6"/>
  <c r="F15" i="6" s="1"/>
  <c r="D5" i="6"/>
  <c r="N5" i="6" s="1"/>
  <c r="M7" i="6" s="1"/>
  <c r="N7" i="6" s="1"/>
  <c r="E7" i="6" s="1"/>
  <c r="F7" i="6" s="1"/>
  <c r="N14" i="6"/>
  <c r="M4" i="6"/>
  <c r="J14" i="6"/>
  <c r="E4" i="6" l="1"/>
  <c r="F4" i="6" s="1"/>
  <c r="N6" i="6"/>
  <c r="E14" i="6"/>
  <c r="F14" i="6" s="1"/>
  <c r="E5" i="6"/>
  <c r="F5" i="6" s="1"/>
  <c r="M6" i="6" l="1"/>
  <c r="E6" i="6"/>
  <c r="F6" i="6" s="1"/>
</calcChain>
</file>

<file path=xl/sharedStrings.xml><?xml version="1.0" encoding="utf-8"?>
<sst xmlns="http://schemas.openxmlformats.org/spreadsheetml/2006/main" count="410" uniqueCount="177">
  <si>
    <t>HOT STREAMS</t>
  </si>
  <si>
    <t>Power</t>
  </si>
  <si>
    <t>Flow</t>
  </si>
  <si>
    <t>T_in</t>
  </si>
  <si>
    <t>T_out</t>
  </si>
  <si>
    <t>Case 1</t>
  </si>
  <si>
    <t>Case 2</t>
  </si>
  <si>
    <t>Case 3</t>
  </si>
  <si>
    <t>Case 4</t>
  </si>
  <si>
    <t>High Temperature cooling systems</t>
  </si>
  <si>
    <t>Low Temperature cooling systems</t>
  </si>
  <si>
    <t>Steam (from HRSG)</t>
  </si>
  <si>
    <t>Steam (from Boilers)</t>
  </si>
  <si>
    <t>COLD STREAMS</t>
  </si>
  <si>
    <t>AC preheater</t>
  </si>
  <si>
    <t>AC reheater</t>
  </si>
  <si>
    <t>Hot water heater</t>
  </si>
  <si>
    <t>Name</t>
  </si>
  <si>
    <t>Season</t>
  </si>
  <si>
    <t>Location</t>
  </si>
  <si>
    <t>Winter</t>
  </si>
  <si>
    <t>Spring</t>
  </si>
  <si>
    <t>Port</t>
  </si>
  <si>
    <t>At sea</t>
  </si>
  <si>
    <t>ME running</t>
  </si>
  <si>
    <t>AE running</t>
  </si>
  <si>
    <t>ME load</t>
  </si>
  <si>
    <t>AE load</t>
  </si>
  <si>
    <t>Passengers</t>
  </si>
  <si>
    <t>Air temp</t>
  </si>
  <si>
    <t>#</t>
  </si>
  <si>
    <t>%</t>
  </si>
  <si>
    <t>K</t>
  </si>
  <si>
    <t>Galley fact.</t>
  </si>
  <si>
    <t>Hot wat fact.</t>
  </si>
  <si>
    <t>Tank factor</t>
  </si>
  <si>
    <t>Charge air cooler (ME1)</t>
  </si>
  <si>
    <t>Charge air cooler (ME2)</t>
  </si>
  <si>
    <t>Charge air cooler (AE2)</t>
  </si>
  <si>
    <t>Charge air cooler (AE1)</t>
  </si>
  <si>
    <t>Jacket water cooler (ME1)</t>
  </si>
  <si>
    <t>Lubricating oil cooler (ME1)</t>
  </si>
  <si>
    <t>Jacket water cooler (ME2)</t>
  </si>
  <si>
    <t>Jacket water cooler (AE1)</t>
  </si>
  <si>
    <t>Jacket water cooler (AE2)</t>
  </si>
  <si>
    <t>Lubricating oil cooler (ME2)</t>
  </si>
  <si>
    <t>Lubricating oil cooler (AE1)</t>
  </si>
  <si>
    <t>Lubricating oil cooler (AE2)</t>
  </si>
  <si>
    <t>Exhaust gas (ME1)</t>
  </si>
  <si>
    <t>Exhaust gas (ME2)</t>
  </si>
  <si>
    <t>Exhaust gas (AE1)</t>
  </si>
  <si>
    <t>Exhaust gas (AE2)</t>
  </si>
  <si>
    <t/>
  </si>
  <si>
    <t>kg/s</t>
  </si>
  <si>
    <t>kJ/kgK</t>
  </si>
  <si>
    <t>mfr</t>
  </si>
  <si>
    <t>Hot side</t>
  </si>
  <si>
    <t>Cold side</t>
  </si>
  <si>
    <t>kW/K</t>
  </si>
  <si>
    <t>MLTD</t>
  </si>
  <si>
    <t>UA calc</t>
  </si>
  <si>
    <t>Heat recovery</t>
  </si>
  <si>
    <t>Heat recovery from HT</t>
  </si>
  <si>
    <t>c_p (water)</t>
  </si>
  <si>
    <t>c_p (air)</t>
  </si>
  <si>
    <t>fluid</t>
  </si>
  <si>
    <t>air</t>
  </si>
  <si>
    <t>water</t>
  </si>
  <si>
    <t>AC-Reheating</t>
  </si>
  <si>
    <t>AC-Preheating</t>
  </si>
  <si>
    <t>Note: for the design UA use 25 as value instead, which I calculated in Matlab</t>
  </si>
  <si>
    <t>Steam heater</t>
  </si>
  <si>
    <t>steam</t>
  </si>
  <si>
    <t>lub oil</t>
  </si>
  <si>
    <t>rho (lub oil)</t>
  </si>
  <si>
    <t>kg/m3</t>
  </si>
  <si>
    <t>Note: Power from Project guide</t>
  </si>
  <si>
    <t>Note: Power from project guide</t>
  </si>
  <si>
    <t>Note: in this case I have no better value, but these are probably the same exchanger. So I advise to use an average of the two (around 7)</t>
  </si>
  <si>
    <t>HRSG</t>
  </si>
  <si>
    <t>Main Engines</t>
  </si>
  <si>
    <t>Auxiliary Engines</t>
  </si>
  <si>
    <t>c_p (eg)</t>
  </si>
  <si>
    <t>eg</t>
  </si>
  <si>
    <t>DH_ev (steam)</t>
  </si>
  <si>
    <t>kJ/kg</t>
  </si>
  <si>
    <t>Note: the design condition is taken from the maximum heat recovered as seen from the measured data</t>
  </si>
  <si>
    <t>T_ev (steam)</t>
  </si>
  <si>
    <t>Steam</t>
  </si>
  <si>
    <t>HEX_LT11</t>
  </si>
  <si>
    <t>HEX_HT11</t>
  </si>
  <si>
    <t>HEX_HT12</t>
  </si>
  <si>
    <t>HEX_LT12</t>
  </si>
  <si>
    <t>HEX_HT32</t>
  </si>
  <si>
    <t>HEX_LT31</t>
  </si>
  <si>
    <t>HEX_HT31</t>
  </si>
  <si>
    <t>HEX_LT32</t>
  </si>
  <si>
    <t>HT Cooling</t>
  </si>
  <si>
    <t>CAC cooler (ME)</t>
  </si>
  <si>
    <t>LT Cooling</t>
  </si>
  <si>
    <t>Jacket water cooler (ME)</t>
  </si>
  <si>
    <t>Lubricating oil cooler (ME)</t>
  </si>
  <si>
    <t>HEX_HT-HR1</t>
  </si>
  <si>
    <t>HEX_St-HR</t>
  </si>
  <si>
    <t>HEX_HR1</t>
  </si>
  <si>
    <t>HEX_HR3</t>
  </si>
  <si>
    <t>HEX_HR2</t>
  </si>
  <si>
    <t>HEX_HRSG1</t>
  </si>
  <si>
    <t>HEX_HRSG3</t>
  </si>
  <si>
    <t>Fluid</t>
  </si>
  <si>
    <t>-</t>
  </si>
  <si>
    <t>T_jacket</t>
  </si>
  <si>
    <t>Note: this hot stream does not need to be cooled down. The T_out given is the minimum temperature it can be cooled to</t>
  </si>
  <si>
    <t>T_eg (min)</t>
  </si>
  <si>
    <t>Thermodynamic Constants</t>
  </si>
  <si>
    <t>Assumptions</t>
  </si>
  <si>
    <t>m3/h</t>
  </si>
  <si>
    <t>Oil flow (ME)</t>
  </si>
  <si>
    <t>HT water flow (ME)</t>
  </si>
  <si>
    <t>LT water flow (ME)</t>
  </si>
  <si>
    <t>Oil flow (AE)</t>
  </si>
  <si>
    <t>HT water flow (AE)</t>
  </si>
  <si>
    <t>LT water flow (AE)</t>
  </si>
  <si>
    <t>Oil temp (inlet)</t>
  </si>
  <si>
    <t>c_p (lub oil)</t>
  </si>
  <si>
    <t xml:space="preserve">Eps CAC_HT </t>
  </si>
  <si>
    <t>T_HT out</t>
  </si>
  <si>
    <t>T_LT in</t>
  </si>
  <si>
    <t>Note: the flow refers to the maximum amount of steam that can be generated</t>
  </si>
  <si>
    <t>HEX_U1</t>
  </si>
  <si>
    <t>HEX_U2</t>
  </si>
  <si>
    <t>HEX_U3</t>
  </si>
  <si>
    <t>HEX_U4</t>
  </si>
  <si>
    <t>HEX_U5</t>
  </si>
  <si>
    <t>Galley</t>
  </si>
  <si>
    <t>Tank heating (HT)</t>
  </si>
  <si>
    <t>Tank heating (LT)</t>
  </si>
  <si>
    <t>Others</t>
  </si>
  <si>
    <t>fuel oil</t>
  </si>
  <si>
    <t>Fuel tanks - HT</t>
  </si>
  <si>
    <t>Fuel tanks - LT</t>
  </si>
  <si>
    <t>Hot water steam heater</t>
  </si>
  <si>
    <t>T_hot water</t>
  </si>
  <si>
    <t>?</t>
  </si>
  <si>
    <t>Crew</t>
  </si>
  <si>
    <t>When it says "steam", it means that we do not know what temperature is actually required on the other side, and therefore that we should just assume that we need to use steam @ 6 bar</t>
  </si>
  <si>
    <t>Max_pass+crew</t>
  </si>
  <si>
    <t>"others" factor</t>
  </si>
  <si>
    <t>Sea water</t>
  </si>
  <si>
    <t>Sea water is just available as much as we want for cooling</t>
  </si>
  <si>
    <t>Boilers</t>
  </si>
  <si>
    <t>The boilers can just be used for providing the remaining heat demand!</t>
  </si>
  <si>
    <t>CAC cooler (AE)</t>
  </si>
  <si>
    <t>Jacket water cooler (AE)</t>
  </si>
  <si>
    <t>Lubricating oil cooler (AE)</t>
  </si>
  <si>
    <t xml:space="preserve">BIG NOTE: In cases 2 and 4 there are two engines running, one per side. So in principle, it should be possible to recover from both of them. In practice, what they do on board, is that they always run only one of the two engines with the HRSG installed, so that, as it is now, heat from the exhaust gas is always recovered at maximum from one main engine at the time. </t>
  </si>
  <si>
    <t>Prop power</t>
  </si>
  <si>
    <t>El power</t>
  </si>
  <si>
    <t>No Int</t>
  </si>
  <si>
    <t>Simple</t>
  </si>
  <si>
    <t>Complex</t>
  </si>
  <si>
    <t>Heat demand</t>
  </si>
  <si>
    <t>Internal heat recovery</t>
  </si>
  <si>
    <t>External heat demand</t>
  </si>
  <si>
    <t>"Free" steam available</t>
  </si>
  <si>
    <t>"Free" steam for WHR</t>
  </si>
  <si>
    <t>Heat needed from Aux Boilers</t>
  </si>
  <si>
    <t>Fuel savings [kg/s]</t>
  </si>
  <si>
    <t>eta_boiler</t>
  </si>
  <si>
    <t>LHV fuel</t>
  </si>
  <si>
    <t>Heating demand [kW]</t>
  </si>
  <si>
    <t>Cooling demand [kW]</t>
  </si>
  <si>
    <t>External heating demand [kW]</t>
  </si>
  <si>
    <r>
      <t>-</t>
    </r>
    <r>
      <rPr>
        <sz val="7"/>
        <color rgb="FF000000"/>
        <rFont val="Times New Roman"/>
        <family val="1"/>
      </rPr>
      <t xml:space="preserve">          </t>
    </r>
    <r>
      <rPr>
        <sz val="12"/>
        <color rgb="FF000000"/>
        <rFont val="Times New Roman"/>
        <family val="1"/>
      </rPr>
      <t xml:space="preserve">with integration of the current system </t>
    </r>
  </si>
  <si>
    <r>
      <t>-</t>
    </r>
    <r>
      <rPr>
        <sz val="7"/>
        <color rgb="FF000000"/>
        <rFont val="Times New Roman"/>
        <family val="1"/>
      </rPr>
      <t xml:space="preserve">          </t>
    </r>
    <r>
      <rPr>
        <sz val="12"/>
        <color rgb="FF000000"/>
        <rFont val="Times New Roman"/>
        <family val="1"/>
      </rPr>
      <t>with enhanced internal recovery</t>
    </r>
  </si>
  <si>
    <t>External cooling demand [kW]</t>
  </si>
  <si>
    <t>Internal heat recovery [kW]</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</si>
</sst>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8">
    <font>
      <sz val="11"/>
      <color theme="1"/>
      <name val="Calibri"/>
      <family val="2"/>
      <scheme val="minor"/>
    </font>
    <font>
      <b/>
      <sz val="11"/>
      <color theme="1"/>
      <name val="Calibri"/>
      <scheme val="minor"/>
    </font>
    <font>
      <sz val="11"/>
      <color rgb="FF9C0006"/>
      <name val="Calibri"/>
      <family val="2"/>
      <scheme val="minor"/>
    </font>
    <font>
      <b/>
      <sz val="12"/>
      <color theme="1"/>
      <name val="Calibri"/>
      <scheme val="minor"/>
    </font>
    <font>
      <sz val="11"/>
      <color theme="0" tint="-0.249977111117893"/>
      <name val="Calibri"/>
      <family val="2"/>
      <scheme val="minor"/>
    </font>
    <font>
      <sz val="11"/>
      <color theme="1"/>
      <name val="Times New Roman"/>
      <family val="1"/>
    </font>
    <font>
      <sz val="12"/>
      <color rgb="FF000000"/>
      <name val="Times New Roman"/>
      <family val="1"/>
    </font>
    <font>
      <sz val="7"/>
      <color rgb="FF000000"/>
      <name val="Times New Roman"/>
      <family val="1"/>
    </font>
  </fonts>
  <fills count="5">
    <fill>
      <patternFill patternType="none"/>
    </fill>
    <fill>
      <patternFill patternType="gray125"/>
    </fill>
    <fill>
      <patternFill patternType="solid">
        <fgColor rgb="FFFFC7CE"/>
      </patternFill>
    </fill>
    <fill>
      <patternFill patternType="solid">
        <fgColor theme="5" tint="0.79998168889431442"/>
        <bgColor indexed="64"/>
      </patternFill>
    </fill>
    <fill>
      <patternFill patternType="solid">
        <fgColor theme="4" tint="0.79998168889431442"/>
        <bgColor indexed="64"/>
      </patternFill>
    </fill>
  </fills>
  <borders count="2">
    <border>
      <left/>
      <right/>
      <top/>
      <bottom/>
      <diagonal/>
    </border>
    <border>
      <left/>
      <right/>
      <top/>
      <bottom style="medium">
        <color indexed="64"/>
      </bottom>
      <diagonal/>
    </border>
  </borders>
  <cellStyleXfs count="2">
    <xf numFmtId="0" fontId="0" fillId="0" borderId="0"/>
    <xf numFmtId="0" fontId="2" fillId="2" borderId="0" applyNumberFormat="0" applyBorder="0" applyAlignment="0" applyProtection="0"/>
  </cellStyleXfs>
  <cellXfs count="38">
    <xf numFmtId="0" fontId="0" fillId="0" borderId="0" xfId="0"/>
    <xf numFmtId="0" fontId="1" fillId="0" borderId="0" xfId="0" applyFont="1"/>
    <xf numFmtId="0" fontId="1" fillId="0" borderId="0" xfId="0" applyFont="1" applyAlignment="1">
      <alignment horizontal="center"/>
    </xf>
    <xf numFmtId="9" fontId="0" fillId="0" borderId="0" xfId="0" applyNumberFormat="1"/>
    <xf numFmtId="1" fontId="0" fillId="0" borderId="0" xfId="0" applyNumberFormat="1"/>
    <xf numFmtId="0" fontId="0" fillId="0" borderId="0" xfId="0" applyAlignment="1"/>
    <xf numFmtId="0" fontId="0" fillId="0" borderId="0" xfId="0" applyAlignment="1">
      <alignment horizontal="center" vertical="center" wrapText="1"/>
    </xf>
    <xf numFmtId="164" fontId="0" fillId="0" borderId="0" xfId="0" applyNumberFormat="1"/>
    <xf numFmtId="0" fontId="0" fillId="3" borderId="0" xfId="0" applyFill="1"/>
    <xf numFmtId="0" fontId="3" fillId="0" borderId="0" xfId="0" applyFont="1"/>
    <xf numFmtId="0" fontId="3" fillId="0" borderId="0" xfId="0" applyFont="1" applyAlignment="1">
      <alignment horizontal="center" vertical="center" wrapText="1"/>
    </xf>
    <xf numFmtId="0" fontId="3" fillId="3" borderId="0" xfId="0" applyFont="1" applyFill="1" applyAlignment="1">
      <alignment horizontal="center" vertical="center" wrapText="1"/>
    </xf>
    <xf numFmtId="0" fontId="1" fillId="0" borderId="0" xfId="0" applyFont="1" applyAlignment="1">
      <alignment horizontal="center" vertical="center" wrapText="1"/>
    </xf>
    <xf numFmtId="0" fontId="1" fillId="3" borderId="0" xfId="0" applyFont="1" applyFill="1" applyAlignment="1">
      <alignment horizontal="center" vertical="center" wrapText="1"/>
    </xf>
    <xf numFmtId="0" fontId="3" fillId="4" borderId="0" xfId="0" applyFont="1" applyFill="1" applyAlignment="1">
      <alignment horizontal="center" vertical="center" wrapText="1"/>
    </xf>
    <xf numFmtId="0" fontId="1" fillId="4" borderId="0" xfId="0" applyFont="1" applyFill="1" applyAlignment="1">
      <alignment horizontal="center" vertical="center" wrapText="1"/>
    </xf>
    <xf numFmtId="2" fontId="0" fillId="4" borderId="0" xfId="0" applyNumberFormat="1" applyFill="1"/>
    <xf numFmtId="0" fontId="0" fillId="4" borderId="0" xfId="0" applyFill="1"/>
    <xf numFmtId="164" fontId="0" fillId="3" borderId="0" xfId="0" applyNumberFormat="1" applyFill="1"/>
    <xf numFmtId="164" fontId="2" fillId="2" borderId="0" xfId="1" applyNumberFormat="1"/>
    <xf numFmtId="0" fontId="0" fillId="4" borderId="0" xfId="0" applyFill="1" applyAlignment="1">
      <alignment horizontal="right"/>
    </xf>
    <xf numFmtId="0" fontId="0" fillId="4" borderId="0" xfId="0" quotePrefix="1" applyFill="1" applyAlignment="1">
      <alignment horizontal="right"/>
    </xf>
    <xf numFmtId="0" fontId="4" fillId="0" borderId="0" xfId="0" applyFont="1"/>
    <xf numFmtId="0" fontId="0" fillId="3" borderId="0" xfId="0" quotePrefix="1" applyFill="1"/>
    <xf numFmtId="2" fontId="0" fillId="0" borderId="0" xfId="0" applyNumberFormat="1"/>
    <xf numFmtId="165" fontId="0" fillId="0" borderId="0" xfId="0" applyNumberFormat="1"/>
    <xf numFmtId="0" fontId="6" fillId="0" borderId="0" xfId="0" applyFont="1" applyAlignment="1">
      <alignment horizontal="left" vertical="center"/>
    </xf>
    <xf numFmtId="0" fontId="6" fillId="0" borderId="0" xfId="0" applyFont="1" applyAlignment="1">
      <alignment horizontal="center" vertical="center"/>
    </xf>
    <xf numFmtId="0" fontId="5" fillId="0" borderId="0" xfId="0" applyFont="1"/>
    <xf numFmtId="0" fontId="6" fillId="0" borderId="0" xfId="0" applyFont="1" applyAlignment="1">
      <alignment horizontal="left" vertical="center" indent="4"/>
    </xf>
    <xf numFmtId="0" fontId="6" fillId="0" borderId="1" xfId="0" applyFont="1" applyBorder="1" applyAlignment="1">
      <alignment horizontal="left" vertical="center" indent="4"/>
    </xf>
    <xf numFmtId="0" fontId="6" fillId="0" borderId="1" xfId="0" applyFont="1" applyBorder="1" applyAlignment="1">
      <alignment horizontal="center" vertical="center"/>
    </xf>
    <xf numFmtId="0" fontId="0" fillId="0" borderId="0" xfId="0" applyAlignment="1">
      <alignment horizontal="left" wrapText="1"/>
    </xf>
    <xf numFmtId="0" fontId="3" fillId="3" borderId="0" xfId="0" applyFont="1" applyFill="1" applyAlignment="1">
      <alignment horizontal="center"/>
    </xf>
    <xf numFmtId="0" fontId="3" fillId="4" borderId="0" xfId="0" applyFont="1" applyFill="1" applyAlignment="1">
      <alignment horizontal="center"/>
    </xf>
    <xf numFmtId="0" fontId="1" fillId="0" borderId="0" xfId="0" applyFont="1" applyAlignment="1">
      <alignment horizontal="center"/>
    </xf>
    <xf numFmtId="0" fontId="0" fillId="0" borderId="0" xfId="0" applyAlignment="1">
      <alignment horizontal="center"/>
    </xf>
    <xf numFmtId="1" fontId="0" fillId="0" borderId="0" xfId="0" applyNumberFormat="1" applyAlignment="1">
      <alignment horizontal="center"/>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28</xdr:row>
      <xdr:rowOff>28575</xdr:rowOff>
    </xdr:from>
    <xdr:to>
      <xdr:col>16</xdr:col>
      <xdr:colOff>504825</xdr:colOff>
      <xdr:row>59</xdr:row>
      <xdr:rowOff>76199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3925" y="5343525"/>
          <a:ext cx="10058400" cy="56578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T21"/>
  <sheetViews>
    <sheetView zoomScaleNormal="100" workbookViewId="0">
      <selection activeCell="H15" sqref="H15"/>
    </sheetView>
  </sheetViews>
  <sheetFormatPr defaultRowHeight="15"/>
  <cols>
    <col min="1" max="1" width="14.125" style="1" bestFit="1" customWidth="1"/>
    <col min="2" max="2" width="3.375" style="1" customWidth="1"/>
    <col min="3" max="3" width="9" customWidth="1"/>
    <col min="4" max="7" width="1" customWidth="1"/>
    <col min="9" max="12" width="1" customWidth="1"/>
    <col min="14" max="17" width="1" customWidth="1"/>
    <col min="20" max="20" width="49.375" customWidth="1"/>
  </cols>
  <sheetData>
    <row r="4" spans="1:20">
      <c r="A4" s="1" t="s">
        <v>17</v>
      </c>
      <c r="C4" s="2" t="s">
        <v>5</v>
      </c>
      <c r="D4" s="2"/>
      <c r="E4" s="2"/>
      <c r="F4" s="2"/>
      <c r="G4" s="2"/>
      <c r="H4" s="2" t="s">
        <v>6</v>
      </c>
      <c r="I4" s="2"/>
      <c r="J4" s="2"/>
      <c r="K4" s="2"/>
      <c r="L4" s="2"/>
      <c r="M4" s="2" t="s">
        <v>7</v>
      </c>
      <c r="N4" s="2"/>
      <c r="O4" s="2"/>
      <c r="P4" s="2"/>
      <c r="Q4" s="2"/>
      <c r="R4" s="2" t="s">
        <v>8</v>
      </c>
      <c r="T4" s="32" t="s">
        <v>155</v>
      </c>
    </row>
    <row r="5" spans="1:20">
      <c r="A5" s="1" t="s">
        <v>18</v>
      </c>
      <c r="C5" t="s">
        <v>20</v>
      </c>
      <c r="H5" t="s">
        <v>20</v>
      </c>
      <c r="M5" t="s">
        <v>21</v>
      </c>
      <c r="R5" t="s">
        <v>21</v>
      </c>
      <c r="T5" s="32"/>
    </row>
    <row r="6" spans="1:20">
      <c r="A6" s="1" t="s">
        <v>19</v>
      </c>
      <c r="C6" t="s">
        <v>22</v>
      </c>
      <c r="H6" t="s">
        <v>23</v>
      </c>
      <c r="M6" t="s">
        <v>22</v>
      </c>
      <c r="R6" t="s">
        <v>23</v>
      </c>
      <c r="T6" s="32"/>
    </row>
    <row r="7" spans="1:20">
      <c r="A7" s="1" t="s">
        <v>24</v>
      </c>
      <c r="B7" s="1" t="s">
        <v>30</v>
      </c>
      <c r="C7">
        <v>0</v>
      </c>
      <c r="H7">
        <v>2</v>
      </c>
      <c r="M7">
        <v>0</v>
      </c>
      <c r="R7">
        <v>2</v>
      </c>
      <c r="T7" s="32"/>
    </row>
    <row r="8" spans="1:20">
      <c r="A8" s="1" t="s">
        <v>26</v>
      </c>
      <c r="B8" s="1" t="s">
        <v>31</v>
      </c>
      <c r="C8">
        <v>0</v>
      </c>
      <c r="D8" s="3"/>
      <c r="E8" s="3"/>
      <c r="F8" s="3"/>
      <c r="G8" s="3"/>
      <c r="H8" s="3">
        <v>0.4</v>
      </c>
      <c r="I8" s="3"/>
      <c r="J8" s="3"/>
      <c r="K8" s="3"/>
      <c r="L8" s="3"/>
      <c r="M8">
        <v>0</v>
      </c>
      <c r="N8" s="3"/>
      <c r="O8" s="3"/>
      <c r="P8" s="3"/>
      <c r="Q8" s="3"/>
      <c r="R8" s="3">
        <v>0.4</v>
      </c>
      <c r="T8" s="32"/>
    </row>
    <row r="9" spans="1:20">
      <c r="A9" s="1" t="s">
        <v>25</v>
      </c>
      <c r="B9" s="1" t="s">
        <v>30</v>
      </c>
      <c r="C9">
        <v>1</v>
      </c>
      <c r="H9">
        <v>2</v>
      </c>
      <c r="M9">
        <v>1</v>
      </c>
      <c r="R9">
        <v>2</v>
      </c>
      <c r="T9" s="32"/>
    </row>
    <row r="10" spans="1:20">
      <c r="A10" s="1" t="s">
        <v>27</v>
      </c>
      <c r="B10" s="1" t="s">
        <v>31</v>
      </c>
      <c r="C10" s="3">
        <v>0.6</v>
      </c>
      <c r="D10" s="3"/>
      <c r="E10" s="3"/>
      <c r="F10" s="3"/>
      <c r="G10" s="3"/>
      <c r="H10" s="3">
        <v>0.35</v>
      </c>
      <c r="I10" s="3"/>
      <c r="J10" s="3"/>
      <c r="K10" s="3"/>
      <c r="L10" s="3"/>
      <c r="M10" s="3">
        <v>0.6</v>
      </c>
      <c r="N10" s="3"/>
      <c r="O10" s="3"/>
      <c r="P10" s="3"/>
      <c r="Q10" s="3"/>
      <c r="R10" s="3">
        <v>0.35</v>
      </c>
      <c r="T10" s="32"/>
    </row>
    <row r="11" spans="1:20">
      <c r="A11" s="1" t="s">
        <v>28</v>
      </c>
      <c r="B11" s="1" t="s">
        <v>30</v>
      </c>
      <c r="C11">
        <v>1050</v>
      </c>
      <c r="H11">
        <v>1050</v>
      </c>
      <c r="M11">
        <v>1350</v>
      </c>
      <c r="R11">
        <v>1350</v>
      </c>
      <c r="T11" s="32"/>
    </row>
    <row r="12" spans="1:20">
      <c r="A12" s="1" t="s">
        <v>144</v>
      </c>
      <c r="B12" s="1" t="s">
        <v>30</v>
      </c>
      <c r="C12">
        <v>190</v>
      </c>
      <c r="H12">
        <v>190</v>
      </c>
      <c r="M12">
        <v>190</v>
      </c>
      <c r="R12">
        <v>190</v>
      </c>
      <c r="T12" s="32"/>
    </row>
    <row r="13" spans="1:20">
      <c r="A13" s="1" t="s">
        <v>29</v>
      </c>
      <c r="B13" s="1" t="s">
        <v>32</v>
      </c>
      <c r="C13">
        <v>278</v>
      </c>
      <c r="H13">
        <v>278</v>
      </c>
      <c r="M13">
        <v>285</v>
      </c>
      <c r="R13" s="4">
        <v>285</v>
      </c>
      <c r="T13" s="32"/>
    </row>
    <row r="14" spans="1:20">
      <c r="A14" s="1" t="s">
        <v>33</v>
      </c>
      <c r="B14" s="1" t="s">
        <v>31</v>
      </c>
      <c r="C14" s="3">
        <v>0.1</v>
      </c>
      <c r="D14" s="3"/>
      <c r="E14" s="3"/>
      <c r="F14" s="3"/>
      <c r="G14" s="3"/>
      <c r="H14" s="3">
        <v>0.75</v>
      </c>
      <c r="I14" s="3"/>
      <c r="J14" s="3"/>
      <c r="K14" s="3"/>
      <c r="L14" s="3"/>
      <c r="M14" s="3">
        <v>0.1</v>
      </c>
      <c r="N14" s="3"/>
      <c r="O14" s="3"/>
      <c r="P14" s="3"/>
      <c r="Q14" s="3"/>
      <c r="R14" s="3">
        <v>0.75</v>
      </c>
      <c r="T14" s="32"/>
    </row>
    <row r="15" spans="1:20">
      <c r="A15" s="1" t="s">
        <v>34</v>
      </c>
      <c r="B15" s="1" t="s">
        <v>31</v>
      </c>
      <c r="C15" s="3">
        <v>0.1</v>
      </c>
      <c r="D15" s="3"/>
      <c r="E15" s="3"/>
      <c r="F15" s="3"/>
      <c r="G15" s="3"/>
      <c r="H15" s="3">
        <v>0.75</v>
      </c>
      <c r="I15" s="3"/>
      <c r="J15" s="3"/>
      <c r="K15" s="3"/>
      <c r="L15" s="3"/>
      <c r="M15" s="3">
        <v>0.1</v>
      </c>
      <c r="N15" s="3"/>
      <c r="O15" s="3"/>
      <c r="P15" s="3"/>
      <c r="Q15" s="3"/>
      <c r="R15" s="3">
        <v>0.75</v>
      </c>
      <c r="T15" s="32"/>
    </row>
    <row r="16" spans="1:20">
      <c r="A16" s="1" t="s">
        <v>35</v>
      </c>
      <c r="B16" s="1" t="s">
        <v>31</v>
      </c>
      <c r="C16" s="3">
        <v>0.5</v>
      </c>
      <c r="D16" s="3"/>
      <c r="E16" s="3"/>
      <c r="F16" s="3"/>
      <c r="G16" s="3"/>
      <c r="H16" s="3">
        <v>0.5</v>
      </c>
      <c r="I16" s="3"/>
      <c r="J16" s="3"/>
      <c r="K16" s="3"/>
      <c r="L16" s="3"/>
      <c r="M16" s="3">
        <v>0.5</v>
      </c>
      <c r="N16" s="3"/>
      <c r="O16" s="3"/>
      <c r="P16" s="3"/>
      <c r="Q16" s="3"/>
      <c r="R16" s="3">
        <v>0.5</v>
      </c>
      <c r="T16" s="32"/>
    </row>
    <row r="17" spans="1:20">
      <c r="A17" s="1" t="s">
        <v>147</v>
      </c>
      <c r="B17" s="1" t="s">
        <v>31</v>
      </c>
      <c r="C17" s="3">
        <v>0.4</v>
      </c>
      <c r="H17" s="3">
        <v>0.7</v>
      </c>
      <c r="M17" s="3">
        <v>0.4</v>
      </c>
      <c r="R17" s="3">
        <v>0.7</v>
      </c>
      <c r="T17" s="32"/>
    </row>
    <row r="20" spans="1:20">
      <c r="A20" s="1" t="s">
        <v>156</v>
      </c>
      <c r="C20" s="24">
        <v>0</v>
      </c>
      <c r="D20" s="24"/>
      <c r="E20" s="24"/>
      <c r="F20" s="24"/>
      <c r="G20" s="24"/>
      <c r="H20" s="24"/>
      <c r="I20" s="24"/>
      <c r="J20" s="24"/>
      <c r="K20" s="24"/>
      <c r="L20" s="24"/>
      <c r="M20" s="24">
        <v>0</v>
      </c>
      <c r="N20" s="24"/>
      <c r="O20" s="24"/>
      <c r="P20" s="24"/>
      <c r="Q20" s="24"/>
      <c r="R20" s="24"/>
      <c r="S20" s="24"/>
    </row>
    <row r="21" spans="1:20">
      <c r="A21" s="1" t="s">
        <v>157</v>
      </c>
      <c r="C21" s="24">
        <v>1656</v>
      </c>
      <c r="D21" s="24"/>
      <c r="E21" s="24"/>
      <c r="F21" s="24"/>
      <c r="G21" s="24"/>
      <c r="H21" s="24">
        <f>966*2</f>
        <v>1932</v>
      </c>
      <c r="I21" s="24"/>
      <c r="J21" s="24"/>
      <c r="K21" s="24"/>
      <c r="L21" s="24"/>
      <c r="M21" s="24">
        <v>1656</v>
      </c>
      <c r="N21" s="24"/>
      <c r="O21" s="24"/>
      <c r="P21" s="24"/>
      <c r="Q21" s="24"/>
      <c r="R21" s="24">
        <f>966*2</f>
        <v>1932</v>
      </c>
      <c r="S21" s="24"/>
    </row>
  </sheetData>
  <mergeCells count="1">
    <mergeCell ref="T4:T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zoomScaleNormal="100" workbookViewId="0">
      <selection activeCell="C14" sqref="C14"/>
    </sheetView>
  </sheetViews>
  <sheetFormatPr defaultRowHeight="14.25"/>
  <cols>
    <col min="1" max="1" width="12.125" bestFit="1" customWidth="1"/>
    <col min="2" max="2" width="13.5" bestFit="1" customWidth="1"/>
    <col min="3" max="3" width="22.375" bestFit="1" customWidth="1"/>
    <col min="4" max="4" width="7.375" customWidth="1"/>
    <col min="5" max="5" width="7.25" customWidth="1"/>
    <col min="6" max="6" width="8.375" bestFit="1" customWidth="1"/>
    <col min="7" max="7" width="4.5" style="8" bestFit="1" customWidth="1"/>
    <col min="8" max="8" width="6.25" style="8" bestFit="1" customWidth="1"/>
    <col min="9" max="9" width="5.625" style="8" customWidth="1"/>
    <col min="10" max="10" width="7.125" style="8" customWidth="1"/>
    <col min="11" max="11" width="5.375" style="17" bestFit="1" customWidth="1"/>
    <col min="12" max="12" width="6.875" style="17" customWidth="1"/>
    <col min="13" max="13" width="6" style="17" customWidth="1"/>
    <col min="14" max="14" width="6.75" style="17" customWidth="1"/>
  </cols>
  <sheetData>
    <row r="1" spans="1:16" s="9" customFormat="1" ht="15.75">
      <c r="G1" s="33" t="s">
        <v>56</v>
      </c>
      <c r="H1" s="33"/>
      <c r="I1" s="33"/>
      <c r="J1" s="33"/>
      <c r="K1" s="34" t="s">
        <v>57</v>
      </c>
      <c r="L1" s="34"/>
      <c r="M1" s="34"/>
      <c r="N1" s="34"/>
    </row>
    <row r="2" spans="1:16" s="10" customFormat="1" ht="15.75">
      <c r="D2" s="10" t="s">
        <v>1</v>
      </c>
      <c r="E2" s="10" t="s">
        <v>59</v>
      </c>
      <c r="F2" s="10" t="s">
        <v>60</v>
      </c>
      <c r="G2" s="11" t="s">
        <v>55</v>
      </c>
      <c r="H2" s="11" t="s">
        <v>65</v>
      </c>
      <c r="I2" s="11" t="s">
        <v>3</v>
      </c>
      <c r="J2" s="11" t="s">
        <v>4</v>
      </c>
      <c r="K2" s="14" t="s">
        <v>55</v>
      </c>
      <c r="L2" s="14" t="s">
        <v>65</v>
      </c>
      <c r="M2" s="14" t="s">
        <v>3</v>
      </c>
      <c r="N2" s="14" t="s">
        <v>4</v>
      </c>
    </row>
    <row r="3" spans="1:16" s="6" customFormat="1" ht="15">
      <c r="E3" s="12" t="s">
        <v>32</v>
      </c>
      <c r="F3" s="12" t="s">
        <v>58</v>
      </c>
      <c r="G3" s="13" t="s">
        <v>53</v>
      </c>
      <c r="H3" s="13"/>
      <c r="I3" s="13" t="s">
        <v>32</v>
      </c>
      <c r="J3" s="13" t="s">
        <v>32</v>
      </c>
      <c r="K3" s="15" t="s">
        <v>53</v>
      </c>
      <c r="L3" s="15" t="s">
        <v>54</v>
      </c>
      <c r="M3" s="15" t="s">
        <v>32</v>
      </c>
      <c r="N3" s="15" t="s">
        <v>32</v>
      </c>
    </row>
    <row r="4" spans="1:16">
      <c r="A4" t="s">
        <v>91</v>
      </c>
      <c r="B4" t="s">
        <v>97</v>
      </c>
      <c r="C4" t="s">
        <v>98</v>
      </c>
      <c r="D4" s="4">
        <f>G4*Constants!$D$3*(I4-J4)</f>
        <v>1345.5000000000002</v>
      </c>
      <c r="E4" s="7">
        <f>((I4-N4)-(J4-M4))/LN((I4-N4)/(J4-M4))</f>
        <v>54.253511696105875</v>
      </c>
      <c r="F4" s="19">
        <f>D4/E4</f>
        <v>24.80023795577781</v>
      </c>
      <c r="G4" s="18">
        <v>11.25</v>
      </c>
      <c r="H4" s="8" t="s">
        <v>66</v>
      </c>
      <c r="I4" s="8">
        <f>213+273</f>
        <v>486</v>
      </c>
      <c r="J4" s="8">
        <f>98+273</f>
        <v>371</v>
      </c>
      <c r="K4" s="16">
        <f>Constants!$H$5/3.6</f>
        <v>33.333333333333336</v>
      </c>
      <c r="L4" s="17" t="s">
        <v>67</v>
      </c>
      <c r="M4" s="21">
        <f>N4-D4/(K4*Constants!$D$2)</f>
        <v>353.35944590398856</v>
      </c>
      <c r="N4" s="20">
        <f>273+90</f>
        <v>363</v>
      </c>
      <c r="P4" t="s">
        <v>70</v>
      </c>
    </row>
    <row r="5" spans="1:16">
      <c r="A5" t="s">
        <v>89</v>
      </c>
      <c r="B5" t="s">
        <v>99</v>
      </c>
      <c r="C5" t="s">
        <v>98</v>
      </c>
      <c r="D5" s="4">
        <f>G5*Constants!$D$3*(I5-J5)</f>
        <v>655.20000000000005</v>
      </c>
      <c r="E5" s="7">
        <f>((I5-N5)-(J5-M5))/LN((I5-N5)/(J5-M5))</f>
        <v>22.735370551625792</v>
      </c>
      <c r="F5" s="19">
        <f>D5/E5</f>
        <v>28.818531834008184</v>
      </c>
      <c r="G5" s="18">
        <f>G4</f>
        <v>11.25</v>
      </c>
      <c r="H5" s="8" t="s">
        <v>66</v>
      </c>
      <c r="I5" s="8">
        <f>J4</f>
        <v>371</v>
      </c>
      <c r="J5" s="8">
        <f>42+273</f>
        <v>315</v>
      </c>
      <c r="K5" s="16">
        <f>Constants!$H$6/3.6</f>
        <v>33.333333333333336</v>
      </c>
      <c r="L5" s="17" t="s">
        <v>67</v>
      </c>
      <c r="M5" s="20">
        <f>273+36</f>
        <v>309</v>
      </c>
      <c r="N5" s="20">
        <f>M5+D5/(Constants!$D$2*K5)</f>
        <v>313.69453069023166</v>
      </c>
      <c r="P5" t="s">
        <v>70</v>
      </c>
    </row>
    <row r="6" spans="1:16">
      <c r="A6" t="s">
        <v>90</v>
      </c>
      <c r="B6" t="s">
        <v>97</v>
      </c>
      <c r="C6" t="s">
        <v>100</v>
      </c>
      <c r="D6" s="4">
        <v>630</v>
      </c>
      <c r="E6" s="7">
        <f>((I6-N6)-(J6-M6))/LN((I6-N6)/(J6-M6))</f>
        <v>51.864805266952452</v>
      </c>
      <c r="F6" s="7">
        <f>D6/E6</f>
        <v>12.146965495336149</v>
      </c>
      <c r="G6" s="18" t="s">
        <v>110</v>
      </c>
      <c r="H6" s="18" t="s">
        <v>110</v>
      </c>
      <c r="I6" s="8">
        <f>130+273</f>
        <v>403</v>
      </c>
      <c r="J6" s="8">
        <f>I6</f>
        <v>403</v>
      </c>
      <c r="K6" s="16">
        <f>Constants!$H$5/3.6</f>
        <v>33.333333333333336</v>
      </c>
      <c r="L6" s="17" t="s">
        <v>67</v>
      </c>
      <c r="M6" s="20">
        <f>N6-D6/K6/Constants!$D$2</f>
        <v>348.84547408645813</v>
      </c>
      <c r="N6" s="20">
        <f>M4</f>
        <v>353.35944590398856</v>
      </c>
      <c r="P6" t="s">
        <v>76</v>
      </c>
    </row>
    <row r="7" spans="1:16">
      <c r="A7" t="s">
        <v>92</v>
      </c>
      <c r="B7" t="s">
        <v>99</v>
      </c>
      <c r="C7" t="s">
        <v>101</v>
      </c>
      <c r="D7" s="4">
        <v>770</v>
      </c>
      <c r="E7" s="7">
        <f>((I7-N7)-(J7-M7))/LN((I7-N7)/(J7-M7))</f>
        <v>22.885456381165554</v>
      </c>
      <c r="F7" s="7">
        <f>D7/E7</f>
        <v>33.645822358766701</v>
      </c>
      <c r="G7" s="18">
        <f>Constants!$H$4/3600*Constants!$D$6</f>
        <v>28.333333333333332</v>
      </c>
      <c r="H7" s="8" t="s">
        <v>73</v>
      </c>
      <c r="I7" s="8">
        <f>63+273</f>
        <v>336</v>
      </c>
      <c r="J7" s="8">
        <f>71+273</f>
        <v>344</v>
      </c>
      <c r="K7" s="16">
        <f>Constants!$H$6/3.6</f>
        <v>33.333333333333336</v>
      </c>
      <c r="L7" s="17" t="s">
        <v>67</v>
      </c>
      <c r="M7" s="20">
        <f>N5</f>
        <v>313.69453069023166</v>
      </c>
      <c r="N7" s="20">
        <f>M7+D7/K7/Constants!$D$2</f>
        <v>319.21160735610221</v>
      </c>
      <c r="P7" t="s">
        <v>77</v>
      </c>
    </row>
    <row r="8" spans="1:16">
      <c r="A8" t="s">
        <v>93</v>
      </c>
      <c r="B8" t="s">
        <v>97</v>
      </c>
      <c r="C8" t="s">
        <v>152</v>
      </c>
      <c r="D8" s="4">
        <v>473</v>
      </c>
      <c r="E8" s="7">
        <f t="shared" ref="E8:E9" si="0">((I8-N8)-(J8-M8))/LN((I8-N8)/(J8-M8))</f>
        <v>80.899580561352934</v>
      </c>
      <c r="F8" s="19">
        <f t="shared" ref="F8:F9" si="1">D8/E8</f>
        <v>5.8467546644606454</v>
      </c>
      <c r="G8" s="18">
        <v>4.9000000000000004</v>
      </c>
      <c r="H8" s="8" t="s">
        <v>66</v>
      </c>
      <c r="I8" s="8">
        <f>J8+D8/G8/Constants!$D$3</f>
        <v>494.40502354788072</v>
      </c>
      <c r="J8" s="8">
        <f>I9</f>
        <v>401.58712715855575</v>
      </c>
      <c r="K8" s="16">
        <f>Constants!$H$8/3.6</f>
        <v>16.666666666666668</v>
      </c>
      <c r="L8" s="17" t="s">
        <v>67</v>
      </c>
      <c r="M8" s="21">
        <f>N8-D8/(K8*Constants!$D$2)</f>
        <v>356.22187723907331</v>
      </c>
      <c r="N8" s="20">
        <f>273+90</f>
        <v>363</v>
      </c>
      <c r="P8" t="s">
        <v>78</v>
      </c>
    </row>
    <row r="9" spans="1:16">
      <c r="A9" t="s">
        <v>94</v>
      </c>
      <c r="B9" t="s">
        <v>99</v>
      </c>
      <c r="C9" t="s">
        <v>152</v>
      </c>
      <c r="D9" s="4">
        <v>375</v>
      </c>
      <c r="E9" s="7">
        <f t="shared" si="0"/>
        <v>44.761812016563042</v>
      </c>
      <c r="F9" s="19">
        <f t="shared" si="1"/>
        <v>8.3776769327667111</v>
      </c>
      <c r="G9" s="18">
        <f>G8</f>
        <v>4.9000000000000004</v>
      </c>
      <c r="H9" s="8" t="s">
        <v>66</v>
      </c>
      <c r="I9" s="8">
        <f>J9+D9/G9/Constants!$D$3</f>
        <v>401.58712715855575</v>
      </c>
      <c r="J9" s="8">
        <f>55+273</f>
        <v>328</v>
      </c>
      <c r="K9" s="16">
        <f>Constants!$H$9/3.6</f>
        <v>16.666666666666668</v>
      </c>
      <c r="L9" s="17" t="s">
        <v>67</v>
      </c>
      <c r="M9" s="20">
        <f>273+36</f>
        <v>309</v>
      </c>
      <c r="N9" s="20">
        <f>M9+D9/(Constants!$D$2*K9)</f>
        <v>314.37377597325053</v>
      </c>
      <c r="P9" t="s">
        <v>78</v>
      </c>
    </row>
    <row r="10" spans="1:16">
      <c r="A10" t="s">
        <v>95</v>
      </c>
      <c r="B10" t="s">
        <v>97</v>
      </c>
      <c r="C10" t="s">
        <v>153</v>
      </c>
      <c r="D10" s="4">
        <v>488</v>
      </c>
      <c r="E10" s="7">
        <f>((I10-N10)-(J10-M10))/LN((I10-N10)/(J10-M10))</f>
        <v>50.193494980427445</v>
      </c>
      <c r="F10" s="7">
        <f>D10/E10</f>
        <v>9.7223753833099629</v>
      </c>
      <c r="G10" s="18" t="s">
        <v>110</v>
      </c>
      <c r="H10" s="18" t="s">
        <v>110</v>
      </c>
      <c r="I10" s="8">
        <f>I6</f>
        <v>403</v>
      </c>
      <c r="J10" s="8">
        <f>I10</f>
        <v>403</v>
      </c>
      <c r="K10" s="16">
        <f>Constants!$H$8/3.6</f>
        <v>16.666666666666668</v>
      </c>
      <c r="L10" s="17" t="s">
        <v>67</v>
      </c>
      <c r="M10" s="20">
        <f>N10-D10/K10/Constants!$D$2</f>
        <v>349.22880343921662</v>
      </c>
      <c r="N10" s="20">
        <f>M8</f>
        <v>356.22187723907331</v>
      </c>
      <c r="P10" t="s">
        <v>76</v>
      </c>
    </row>
    <row r="11" spans="1:16">
      <c r="A11" t="s">
        <v>96</v>
      </c>
      <c r="B11" t="s">
        <v>99</v>
      </c>
      <c r="C11" t="s">
        <v>154</v>
      </c>
      <c r="D11" s="4">
        <v>361</v>
      </c>
      <c r="E11" s="7">
        <f>((I11-N11)-(J11-M11))/LN((I11-N11)/(J11-M11))</f>
        <v>25.338495717295714</v>
      </c>
      <c r="F11" s="7">
        <f>D11/E11</f>
        <v>14.247096750640422</v>
      </c>
      <c r="G11" s="18">
        <f>Constants!$H$7/3600*Constants!$D$6</f>
        <v>14.166666666666666</v>
      </c>
      <c r="H11" s="8" t="s">
        <v>73</v>
      </c>
      <c r="I11" s="8">
        <f>76+273</f>
        <v>349</v>
      </c>
      <c r="J11" s="8">
        <f>63+273</f>
        <v>336</v>
      </c>
      <c r="K11" s="16">
        <f>Constants!$H$9/3.6</f>
        <v>16.666666666666668</v>
      </c>
      <c r="L11" s="17" t="s">
        <v>67</v>
      </c>
      <c r="M11" s="20">
        <f>N9</f>
        <v>314.37377597325053</v>
      </c>
      <c r="N11" s="20">
        <f>M11+D11/K11/Constants!$D$2</f>
        <v>319.54693097683304</v>
      </c>
      <c r="P11" t="s">
        <v>77</v>
      </c>
    </row>
    <row r="12" spans="1:16">
      <c r="D12" s="4"/>
      <c r="G12" s="18"/>
      <c r="M12" s="20"/>
      <c r="N12" s="20"/>
    </row>
    <row r="13" spans="1:16">
      <c r="D13" s="4"/>
      <c r="G13" s="18"/>
      <c r="M13" s="20"/>
      <c r="N13" s="20"/>
    </row>
    <row r="14" spans="1:16">
      <c r="A14" t="s">
        <v>102</v>
      </c>
      <c r="B14" t="s">
        <v>61</v>
      </c>
      <c r="C14" t="s">
        <v>62</v>
      </c>
      <c r="D14" s="4">
        <v>2400</v>
      </c>
      <c r="E14" s="7">
        <f>((I14-N14)-(J14-M14))/LN((I14-N14)/(J14-M14))</f>
        <v>12.476627347148614</v>
      </c>
      <c r="F14" s="7">
        <f>D14/E14</f>
        <v>192.35967647526891</v>
      </c>
      <c r="G14" s="18">
        <f>152.4/3.6</f>
        <v>42.333333333333336</v>
      </c>
      <c r="H14" s="8" t="s">
        <v>67</v>
      </c>
      <c r="I14" s="8">
        <f>91+273</f>
        <v>364</v>
      </c>
      <c r="J14" s="18">
        <f>I14-D14/G14/Constants!$D$2</f>
        <v>350.45977707527425</v>
      </c>
      <c r="K14" s="17">
        <f>298/3.6</f>
        <v>82.777777777777771</v>
      </c>
      <c r="L14" s="17" t="s">
        <v>67</v>
      </c>
      <c r="M14" s="20">
        <f>68+273</f>
        <v>341</v>
      </c>
      <c r="N14" s="20">
        <f>M14+D14/K14/Constants!$D$2</f>
        <v>347.92459722727585</v>
      </c>
    </row>
    <row r="15" spans="1:16">
      <c r="A15" t="s">
        <v>104</v>
      </c>
      <c r="B15" t="s">
        <v>61</v>
      </c>
      <c r="C15" t="s">
        <v>16</v>
      </c>
      <c r="D15" s="4">
        <v>1200</v>
      </c>
      <c r="E15" s="7">
        <f>((I15-N15)-(J15-M15))/LN((I15-N15)/(J15-M15))</f>
        <v>8.7524570155784502</v>
      </c>
      <c r="F15" s="7">
        <f>D15/E15</f>
        <v>137.10435799503233</v>
      </c>
      <c r="G15" s="18">
        <f>60/3.6</f>
        <v>16.666666666666668</v>
      </c>
      <c r="H15" s="8" t="str">
        <f>H14</f>
        <v>water</v>
      </c>
      <c r="I15" s="8">
        <f>90+273</f>
        <v>363</v>
      </c>
      <c r="J15" s="8">
        <f>I15-D15/G15/Constants!$D$2</f>
        <v>345.80391688559826</v>
      </c>
      <c r="K15" s="17" t="s">
        <v>110</v>
      </c>
      <c r="L15" s="17" t="str">
        <f>L14</f>
        <v>water</v>
      </c>
      <c r="M15" s="20">
        <f>70+273</f>
        <v>343</v>
      </c>
      <c r="N15" s="20">
        <f>M15</f>
        <v>343</v>
      </c>
    </row>
    <row r="16" spans="1:16">
      <c r="A16" t="s">
        <v>106</v>
      </c>
      <c r="B16" t="s">
        <v>61</v>
      </c>
      <c r="C16" t="s">
        <v>68</v>
      </c>
      <c r="D16" s="4">
        <v>1780</v>
      </c>
      <c r="E16" s="7">
        <f>((I16-N16)-(J16-M16))/LN((I16-N16)/(J16-M16))</f>
        <v>9.7955882989757477</v>
      </c>
      <c r="F16" s="7">
        <f>D16/E16</f>
        <v>181.71445610736023</v>
      </c>
      <c r="G16" s="18">
        <f>75/3.6</f>
        <v>20.833333333333332</v>
      </c>
      <c r="H16" s="8" t="str">
        <f>H15</f>
        <v>water</v>
      </c>
      <c r="I16" s="8">
        <f>90+273</f>
        <v>363</v>
      </c>
      <c r="J16" s="8">
        <f>I16-D16/G16/Constants!$D$2</f>
        <v>342.59398137090994</v>
      </c>
      <c r="K16" s="17">
        <f>D16/Constants!$D$2/(N16-M16)</f>
        <v>21.256269405302124</v>
      </c>
      <c r="L16" s="17" t="str">
        <f>L15</f>
        <v>water</v>
      </c>
      <c r="M16" s="20">
        <f>60+273</f>
        <v>333</v>
      </c>
      <c r="N16" s="20">
        <f>80+273</f>
        <v>353</v>
      </c>
    </row>
    <row r="17" spans="1:16">
      <c r="A17" t="s">
        <v>105</v>
      </c>
      <c r="B17" t="s">
        <v>61</v>
      </c>
      <c r="C17" t="s">
        <v>69</v>
      </c>
      <c r="D17" s="4">
        <v>3500</v>
      </c>
      <c r="E17" s="7">
        <f>((I17-N17)-(J17-M17))/LN((I17-N17)/(J17-M17))</f>
        <v>39.821030205488341</v>
      </c>
      <c r="F17" s="7">
        <f>D17/E17</f>
        <v>87.893255948903402</v>
      </c>
      <c r="G17" s="18">
        <f>110/3.6</f>
        <v>30.555555555555554</v>
      </c>
      <c r="H17" s="8" t="str">
        <f>H16</f>
        <v>water</v>
      </c>
      <c r="I17" s="8">
        <f>90+273</f>
        <v>363</v>
      </c>
      <c r="J17" s="8">
        <f>I17-D17/G17/Constants!$D$2</f>
        <v>335.64259504527001</v>
      </c>
      <c r="K17" s="17">
        <f>D17/Constants!$D$2/(N17-M17)</f>
        <v>30.960026183336428</v>
      </c>
      <c r="L17" s="17" t="str">
        <f>L16</f>
        <v>water</v>
      </c>
      <c r="M17" s="20">
        <f>23+273</f>
        <v>296</v>
      </c>
      <c r="N17" s="20">
        <f>50+273</f>
        <v>323</v>
      </c>
    </row>
    <row r="18" spans="1:16">
      <c r="A18" t="s">
        <v>103</v>
      </c>
      <c r="B18" t="s">
        <v>61</v>
      </c>
      <c r="C18" t="s">
        <v>71</v>
      </c>
      <c r="D18" s="4">
        <v>7150</v>
      </c>
      <c r="E18" s="7">
        <f>((I18-N18)-(J18-M18))/LN((I18-N18)/(J18-M18))</f>
        <v>79.871232957990173</v>
      </c>
      <c r="F18" s="7">
        <f>D18/E18</f>
        <v>89.519088853438404</v>
      </c>
      <c r="G18" s="18">
        <f>D18/Constants!$D$7</f>
        <v>3.4047619047619047</v>
      </c>
      <c r="H18" s="8" t="s">
        <v>72</v>
      </c>
      <c r="I18" s="8">
        <f>Constants!$D$8</f>
        <v>433</v>
      </c>
      <c r="J18" s="8">
        <f>Constants!$D$8</f>
        <v>433</v>
      </c>
      <c r="K18" s="17">
        <f>298/3.6</f>
        <v>82.777777777777771</v>
      </c>
      <c r="L18" s="17" t="s">
        <v>67</v>
      </c>
      <c r="M18" s="20">
        <f>N18-D18/K18/Constants!$D$2</f>
        <v>342.37047076040733</v>
      </c>
      <c r="N18" s="20">
        <f>90+273</f>
        <v>363</v>
      </c>
    </row>
    <row r="19" spans="1:16">
      <c r="D19" s="4"/>
      <c r="G19" s="18"/>
      <c r="M19" s="20"/>
      <c r="N19" s="20"/>
    </row>
    <row r="20" spans="1:16">
      <c r="A20" t="s">
        <v>107</v>
      </c>
      <c r="B20" t="s">
        <v>79</v>
      </c>
      <c r="C20" t="s">
        <v>80</v>
      </c>
      <c r="D20" s="4">
        <f>G20*Constants!$D$4*(I20-J20)</f>
        <v>1445.1695999999999</v>
      </c>
      <c r="E20" s="7">
        <f>((I20-N20)-(J20-M20))/LN((I20-N20)/(J20-M20))</f>
        <v>108.56550685019377</v>
      </c>
      <c r="F20" s="7">
        <f>D20/E20</f>
        <v>13.311498669592593</v>
      </c>
      <c r="G20" s="18">
        <v>8.26</v>
      </c>
      <c r="H20" s="8" t="s">
        <v>83</v>
      </c>
      <c r="I20" s="8">
        <v>642</v>
      </c>
      <c r="J20" s="8">
        <v>480</v>
      </c>
      <c r="K20" s="17">
        <f>D20/Constants!$D$7</f>
        <v>0.68817600000000001</v>
      </c>
      <c r="L20" s="17" t="s">
        <v>72</v>
      </c>
      <c r="M20" s="20">
        <f>Constants!$D$8</f>
        <v>433</v>
      </c>
      <c r="N20" s="20">
        <f>Constants!$D$8</f>
        <v>433</v>
      </c>
      <c r="P20" t="s">
        <v>86</v>
      </c>
    </row>
    <row r="21" spans="1:16">
      <c r="A21" t="s">
        <v>108</v>
      </c>
      <c r="B21" t="s">
        <v>79</v>
      </c>
      <c r="C21" t="s">
        <v>81</v>
      </c>
      <c r="D21" s="4">
        <f>G21*Constants!$D$4*(I21-J21)</f>
        <v>660.96</v>
      </c>
      <c r="E21" s="7">
        <f>((I21-N21)-(J21-M21))/LN((I21-N21)/(J21-M21))</f>
        <v>106.24388765528501</v>
      </c>
      <c r="F21" s="7">
        <f>D21/E21</f>
        <v>6.2211578904616749</v>
      </c>
      <c r="G21" s="18">
        <v>3.6</v>
      </c>
      <c r="H21" s="8" t="s">
        <v>83</v>
      </c>
      <c r="I21" s="8">
        <v>646</v>
      </c>
      <c r="J21" s="8">
        <v>476</v>
      </c>
      <c r="K21" s="17">
        <f>D21/Constants!$D$7</f>
        <v>0.31474285714285716</v>
      </c>
      <c r="L21" s="17" t="s">
        <v>72</v>
      </c>
      <c r="M21" s="20">
        <f>Constants!$D$8</f>
        <v>433</v>
      </c>
      <c r="N21" s="20">
        <f>Constants!$D$8</f>
        <v>433</v>
      </c>
      <c r="P21" t="s">
        <v>86</v>
      </c>
    </row>
    <row r="22" spans="1:16">
      <c r="D22" s="4"/>
      <c r="G22" s="18"/>
      <c r="M22" s="20"/>
      <c r="N22" s="20"/>
    </row>
    <row r="23" spans="1:16">
      <c r="A23" t="s">
        <v>129</v>
      </c>
      <c r="B23" t="s">
        <v>88</v>
      </c>
      <c r="C23" t="s">
        <v>134</v>
      </c>
      <c r="D23" s="4">
        <v>602</v>
      </c>
      <c r="E23" t="s">
        <v>143</v>
      </c>
      <c r="G23" s="18"/>
      <c r="M23" s="20"/>
      <c r="N23" s="20"/>
    </row>
    <row r="24" spans="1:16">
      <c r="A24" t="s">
        <v>130</v>
      </c>
      <c r="B24" t="s">
        <v>88</v>
      </c>
      <c r="C24" t="s">
        <v>135</v>
      </c>
      <c r="D24" s="4">
        <v>271</v>
      </c>
      <c r="E24">
        <f>I24-M24</f>
        <v>90</v>
      </c>
      <c r="F24" s="7">
        <f>D24/E24</f>
        <v>3.0111111111111111</v>
      </c>
      <c r="G24" s="18"/>
      <c r="H24" s="8" t="s">
        <v>72</v>
      </c>
      <c r="I24" s="8">
        <f>Constants!$D$8</f>
        <v>433</v>
      </c>
      <c r="J24" s="8">
        <f>Constants!$D$8</f>
        <v>433</v>
      </c>
      <c r="K24" s="17" t="s">
        <v>110</v>
      </c>
      <c r="L24" s="17" t="s">
        <v>138</v>
      </c>
      <c r="M24" s="20">
        <f>Constants!$H$14</f>
        <v>343</v>
      </c>
      <c r="N24" s="20">
        <f>Constants!$H$14</f>
        <v>343</v>
      </c>
    </row>
    <row r="25" spans="1:16">
      <c r="A25" t="s">
        <v>131</v>
      </c>
      <c r="B25" t="s">
        <v>88</v>
      </c>
      <c r="C25" t="s">
        <v>136</v>
      </c>
      <c r="D25" s="4">
        <v>246</v>
      </c>
      <c r="E25">
        <f>I25-M25</f>
        <v>110</v>
      </c>
      <c r="F25" s="7">
        <f>D25/E25</f>
        <v>2.2363636363636363</v>
      </c>
      <c r="G25" s="18"/>
      <c r="H25" s="8" t="s">
        <v>72</v>
      </c>
      <c r="I25" s="8">
        <f>Constants!$D$8</f>
        <v>433</v>
      </c>
      <c r="J25" s="8">
        <f>Constants!$D$8</f>
        <v>433</v>
      </c>
      <c r="K25" s="17" t="s">
        <v>110</v>
      </c>
      <c r="L25" s="17" t="s">
        <v>138</v>
      </c>
      <c r="M25" s="20">
        <f>Constants!$H$15</f>
        <v>323</v>
      </c>
      <c r="N25" s="20">
        <f>Constants!$H$15</f>
        <v>323</v>
      </c>
    </row>
    <row r="26" spans="1:16">
      <c r="A26" t="s">
        <v>132</v>
      </c>
      <c r="B26" t="s">
        <v>88</v>
      </c>
      <c r="C26" t="s">
        <v>141</v>
      </c>
      <c r="D26" s="4">
        <v>366</v>
      </c>
      <c r="E26">
        <f>I26-M26</f>
        <v>90</v>
      </c>
      <c r="F26" s="7">
        <f>D26/E26</f>
        <v>4.0666666666666664</v>
      </c>
      <c r="G26" s="18"/>
      <c r="H26" s="8" t="s">
        <v>72</v>
      </c>
      <c r="I26" s="8">
        <f>Constants!$D$8</f>
        <v>433</v>
      </c>
      <c r="J26" s="8">
        <f>Constants!$D$8</f>
        <v>433</v>
      </c>
      <c r="K26" s="17" t="s">
        <v>110</v>
      </c>
      <c r="L26" s="17" t="s">
        <v>67</v>
      </c>
      <c r="M26" s="20">
        <f>Constants!$H$16</f>
        <v>343</v>
      </c>
      <c r="N26" s="20">
        <f>Constants!$H$16</f>
        <v>343</v>
      </c>
    </row>
    <row r="27" spans="1:16">
      <c r="A27" t="s">
        <v>133</v>
      </c>
      <c r="B27" t="s">
        <v>88</v>
      </c>
      <c r="C27" t="s">
        <v>137</v>
      </c>
      <c r="D27" s="4">
        <f>47*2+73+26+281</f>
        <v>474</v>
      </c>
      <c r="E27" t="s">
        <v>143</v>
      </c>
      <c r="G27" s="18"/>
      <c r="H27" s="23" t="s">
        <v>52</v>
      </c>
      <c r="M27" s="20"/>
      <c r="N27" s="20"/>
    </row>
    <row r="28" spans="1:16">
      <c r="D28" s="4"/>
      <c r="G28" s="18"/>
      <c r="M28" s="20"/>
      <c r="N28" s="20"/>
    </row>
    <row r="29" spans="1:16">
      <c r="D29" s="4"/>
      <c r="G29" s="18"/>
      <c r="M29" s="20"/>
      <c r="N29" s="20"/>
    </row>
    <row r="30" spans="1:16">
      <c r="D30" s="4"/>
      <c r="G30" s="18"/>
      <c r="M30" s="20"/>
      <c r="N30" s="20"/>
    </row>
    <row r="31" spans="1:16">
      <c r="D31" s="4"/>
      <c r="G31" s="18"/>
      <c r="M31" s="20"/>
      <c r="N31" s="20"/>
    </row>
    <row r="32" spans="1:16">
      <c r="D32" s="4"/>
      <c r="G32" s="18"/>
      <c r="M32" s="20"/>
      <c r="N32" s="20"/>
    </row>
    <row r="33" spans="4:14">
      <c r="D33" s="4"/>
      <c r="G33" s="18"/>
      <c r="M33" s="20"/>
      <c r="N33" s="20"/>
    </row>
    <row r="34" spans="4:14">
      <c r="D34" s="4"/>
      <c r="G34" s="18"/>
      <c r="M34" s="20"/>
      <c r="N34" s="20"/>
    </row>
    <row r="35" spans="4:14">
      <c r="D35" s="4"/>
      <c r="G35" s="18"/>
      <c r="M35" s="20"/>
      <c r="N35" s="20"/>
    </row>
    <row r="36" spans="4:14">
      <c r="D36" s="4"/>
      <c r="G36" s="18"/>
      <c r="M36" s="20"/>
      <c r="N36" s="20"/>
    </row>
    <row r="37" spans="4:14">
      <c r="D37" s="4"/>
      <c r="G37" s="18"/>
      <c r="M37" s="20"/>
      <c r="N37" s="20"/>
    </row>
    <row r="38" spans="4:14">
      <c r="D38" s="4"/>
      <c r="G38" s="18"/>
      <c r="M38" s="20"/>
      <c r="N38" s="20"/>
    </row>
    <row r="39" spans="4:14">
      <c r="D39" s="4"/>
      <c r="G39" s="18"/>
      <c r="M39" s="20"/>
      <c r="N39" s="20"/>
    </row>
    <row r="40" spans="4:14">
      <c r="D40" s="4"/>
      <c r="G40" s="18"/>
      <c r="M40" s="20"/>
      <c r="N40" s="20"/>
    </row>
    <row r="41" spans="4:14">
      <c r="D41" s="4"/>
      <c r="G41" s="18"/>
    </row>
    <row r="42" spans="4:14">
      <c r="G42" s="18"/>
    </row>
    <row r="43" spans="4:14">
      <c r="G43" s="18"/>
    </row>
    <row r="44" spans="4:14">
      <c r="G44" s="18"/>
    </row>
  </sheetData>
  <mergeCells count="2">
    <mergeCell ref="G1:J1"/>
    <mergeCell ref="K1:N1"/>
  </mergeCells>
  <pageMargins left="0.7" right="0.7" top="0.75" bottom="0.75" header="0.3" footer="0.3"/>
  <pageSetup paperSize="0"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34"/>
  <sheetViews>
    <sheetView workbookViewId="0">
      <selection activeCell="K28" sqref="K28"/>
    </sheetView>
  </sheetViews>
  <sheetFormatPr defaultRowHeight="14.25"/>
  <cols>
    <col min="2" max="2" width="29.875" bestFit="1" customWidth="1"/>
    <col min="3" max="3" width="9.375" customWidth="1"/>
    <col min="4" max="5" width="1.875" customWidth="1"/>
    <col min="6" max="6" width="7.5" bestFit="1" customWidth="1"/>
    <col min="7" max="7" width="4.75" bestFit="1" customWidth="1"/>
    <col min="8" max="8" width="4.375" bestFit="1" customWidth="1"/>
    <col min="9" max="9" width="5.5" bestFit="1" customWidth="1"/>
    <col min="10" max="10" width="1.625" customWidth="1"/>
    <col min="11" max="11" width="6.125" bestFit="1" customWidth="1"/>
    <col min="12" max="12" width="4.75" bestFit="1" customWidth="1"/>
    <col min="13" max="13" width="4.375" bestFit="1" customWidth="1"/>
    <col min="14" max="14" width="5.5" bestFit="1" customWidth="1"/>
    <col min="15" max="15" width="1.5" customWidth="1"/>
    <col min="16" max="16" width="6.125" bestFit="1" customWidth="1"/>
    <col min="17" max="17" width="4.75" bestFit="1" customWidth="1"/>
    <col min="18" max="18" width="4.375" bestFit="1" customWidth="1"/>
    <col min="19" max="19" width="5.5" bestFit="1" customWidth="1"/>
    <col min="20" max="20" width="1.625" customWidth="1"/>
    <col min="21" max="21" width="6.125" customWidth="1"/>
    <col min="22" max="22" width="4.75" bestFit="1" customWidth="1"/>
    <col min="23" max="23" width="4.375" bestFit="1" customWidth="1"/>
    <col min="24" max="24" width="5.5" bestFit="1" customWidth="1"/>
    <col min="25" max="25" width="2.375" customWidth="1"/>
  </cols>
  <sheetData>
    <row r="3" spans="1:24">
      <c r="F3" s="36" t="s">
        <v>5</v>
      </c>
      <c r="G3" s="36"/>
      <c r="H3" s="36"/>
      <c r="I3" s="36"/>
      <c r="K3" s="36" t="s">
        <v>6</v>
      </c>
      <c r="L3" s="36"/>
      <c r="M3" s="36"/>
      <c r="N3" s="36"/>
      <c r="P3" s="36" t="s">
        <v>7</v>
      </c>
      <c r="Q3" s="36"/>
      <c r="R3" s="36"/>
      <c r="S3" s="36"/>
      <c r="U3" s="36" t="s">
        <v>8</v>
      </c>
      <c r="V3" s="36"/>
      <c r="W3" s="36"/>
      <c r="X3" s="36"/>
    </row>
    <row r="4" spans="1:24">
      <c r="F4" t="s">
        <v>1</v>
      </c>
      <c r="G4" t="s">
        <v>2</v>
      </c>
      <c r="H4" t="s">
        <v>3</v>
      </c>
      <c r="I4" t="s">
        <v>4</v>
      </c>
      <c r="K4" t="s">
        <v>1</v>
      </c>
      <c r="L4" t="s">
        <v>2</v>
      </c>
      <c r="M4" t="s">
        <v>3</v>
      </c>
      <c r="N4" t="s">
        <v>4</v>
      </c>
      <c r="P4" t="s">
        <v>1</v>
      </c>
      <c r="Q4" t="s">
        <v>2</v>
      </c>
      <c r="R4" t="s">
        <v>3</v>
      </c>
      <c r="S4" t="s">
        <v>4</v>
      </c>
      <c r="U4" t="s">
        <v>1</v>
      </c>
      <c r="V4" t="s">
        <v>2</v>
      </c>
      <c r="W4" t="s">
        <v>3</v>
      </c>
      <c r="X4" t="s">
        <v>4</v>
      </c>
    </row>
    <row r="6" spans="1:24" ht="15">
      <c r="A6" s="35" t="s">
        <v>0</v>
      </c>
      <c r="B6" s="35"/>
      <c r="C6" s="2" t="s">
        <v>109</v>
      </c>
    </row>
    <row r="7" spans="1:24">
      <c r="B7" t="s">
        <v>36</v>
      </c>
      <c r="C7" t="s">
        <v>66</v>
      </c>
      <c r="F7">
        <v>0</v>
      </c>
      <c r="G7">
        <v>0</v>
      </c>
      <c r="H7" s="22">
        <f>Constants!$H$12</f>
        <v>363</v>
      </c>
      <c r="I7" t="s">
        <v>110</v>
      </c>
      <c r="K7">
        <f>L7*Constants!$D$4*(M7-N7)</f>
        <v>317.52000000000004</v>
      </c>
      <c r="L7">
        <v>4.2</v>
      </c>
      <c r="M7">
        <v>393</v>
      </c>
      <c r="N7">
        <v>323</v>
      </c>
      <c r="P7">
        <v>0</v>
      </c>
      <c r="Q7">
        <v>0</v>
      </c>
      <c r="R7" s="22">
        <f>Constants!$H$12</f>
        <v>363</v>
      </c>
      <c r="S7" t="s">
        <v>110</v>
      </c>
      <c r="U7">
        <f>V7*Constants!$D$4*(W7-X7)</f>
        <v>317.52000000000004</v>
      </c>
      <c r="V7">
        <v>4.2</v>
      </c>
      <c r="W7">
        <v>393</v>
      </c>
      <c r="X7">
        <v>323</v>
      </c>
    </row>
    <row r="8" spans="1:24">
      <c r="B8" t="s">
        <v>37</v>
      </c>
      <c r="C8" t="s">
        <v>66</v>
      </c>
      <c r="F8">
        <v>0</v>
      </c>
      <c r="G8">
        <v>0</v>
      </c>
      <c r="H8" s="22">
        <f>Constants!$H$12</f>
        <v>363</v>
      </c>
      <c r="I8" t="s">
        <v>110</v>
      </c>
      <c r="K8">
        <f>L8*Constants!$D$4*(M8-N8)</f>
        <v>317.52000000000004</v>
      </c>
      <c r="L8">
        <f>L7</f>
        <v>4.2</v>
      </c>
      <c r="M8">
        <f>M7</f>
        <v>393</v>
      </c>
      <c r="N8">
        <f>N7</f>
        <v>323</v>
      </c>
      <c r="P8">
        <v>0</v>
      </c>
      <c r="Q8">
        <v>0</v>
      </c>
      <c r="R8" s="22">
        <f>Constants!$H$12</f>
        <v>363</v>
      </c>
      <c r="S8" t="s">
        <v>110</v>
      </c>
      <c r="U8">
        <f>V8*Constants!$D$4*(W8-X8)</f>
        <v>317.52000000000004</v>
      </c>
      <c r="V8">
        <f>V7</f>
        <v>4.2</v>
      </c>
      <c r="W8">
        <f>W7</f>
        <v>393</v>
      </c>
      <c r="X8">
        <f>X7</f>
        <v>323</v>
      </c>
    </row>
    <row r="9" spans="1:24">
      <c r="B9" t="s">
        <v>39</v>
      </c>
      <c r="C9" t="s">
        <v>66</v>
      </c>
      <c r="F9">
        <f>G9*Constants!$D$4*(H9-I9)</f>
        <v>374.86799999999999</v>
      </c>
      <c r="G9">
        <v>3.9</v>
      </c>
      <c r="H9">
        <v>412</v>
      </c>
      <c r="I9">
        <f>$N$7</f>
        <v>323</v>
      </c>
      <c r="K9">
        <f>L9*Constants!$D$4*(M9-N9)</f>
        <v>99.792000000000016</v>
      </c>
      <c r="L9">
        <v>2.1</v>
      </c>
      <c r="M9">
        <v>367</v>
      </c>
      <c r="N9">
        <f>$N$7</f>
        <v>323</v>
      </c>
      <c r="P9">
        <f>Q9*Constants!$D$4*(R9-S9)</f>
        <v>374.86799999999999</v>
      </c>
      <c r="Q9">
        <v>3.9</v>
      </c>
      <c r="R9">
        <v>412</v>
      </c>
      <c r="S9">
        <f>$N$7</f>
        <v>323</v>
      </c>
      <c r="U9">
        <f>V9*Constants!$D$4*(W9-X9)</f>
        <v>99.792000000000016</v>
      </c>
      <c r="V9">
        <v>2.1</v>
      </c>
      <c r="W9">
        <v>367</v>
      </c>
      <c r="X9">
        <f>$N$7</f>
        <v>323</v>
      </c>
    </row>
    <row r="10" spans="1:24">
      <c r="B10" t="s">
        <v>38</v>
      </c>
      <c r="C10" t="s">
        <v>66</v>
      </c>
      <c r="F10">
        <f>G10*Constants!$D$4*(H10-I10)</f>
        <v>374.86799999999999</v>
      </c>
      <c r="G10">
        <v>3.9</v>
      </c>
      <c r="H10">
        <f>H9</f>
        <v>412</v>
      </c>
      <c r="I10">
        <f>I9</f>
        <v>323</v>
      </c>
      <c r="K10">
        <f>L10*Constants!$D$4*(M10-N10)</f>
        <v>99.792000000000016</v>
      </c>
      <c r="L10">
        <v>2.1</v>
      </c>
      <c r="M10">
        <f>M9</f>
        <v>367</v>
      </c>
      <c r="N10">
        <f>N9</f>
        <v>323</v>
      </c>
      <c r="P10">
        <f>Q10*Constants!$D$4*(R10-S10)</f>
        <v>374.86799999999999</v>
      </c>
      <c r="Q10">
        <v>3.9</v>
      </c>
      <c r="R10">
        <f>R9</f>
        <v>412</v>
      </c>
      <c r="S10">
        <f>S9</f>
        <v>323</v>
      </c>
      <c r="U10">
        <f>V10*Constants!$D$4*(W10-X10)</f>
        <v>99.792000000000016</v>
      </c>
      <c r="V10">
        <v>2.1</v>
      </c>
      <c r="W10">
        <f>W9</f>
        <v>367</v>
      </c>
      <c r="X10">
        <f>X9</f>
        <v>323</v>
      </c>
    </row>
    <row r="11" spans="1:24">
      <c r="B11" t="s">
        <v>40</v>
      </c>
      <c r="C11" t="s">
        <v>110</v>
      </c>
      <c r="F11">
        <v>0</v>
      </c>
      <c r="G11" t="s">
        <v>110</v>
      </c>
      <c r="H11">
        <f>Constants!$H$2</f>
        <v>393</v>
      </c>
      <c r="I11">
        <f>Constants!$H$2</f>
        <v>393</v>
      </c>
      <c r="K11">
        <f>'Heat exchangers'!$D$6*Cases!$H$8</f>
        <v>252</v>
      </c>
      <c r="L11" t="s">
        <v>110</v>
      </c>
      <c r="M11">
        <f>Constants!$H$2</f>
        <v>393</v>
      </c>
      <c r="N11">
        <f>Constants!$H$2</f>
        <v>393</v>
      </c>
      <c r="P11">
        <v>0</v>
      </c>
      <c r="Q11" t="s">
        <v>110</v>
      </c>
      <c r="R11">
        <f>Constants!$H$2</f>
        <v>393</v>
      </c>
      <c r="S11">
        <f>Constants!$H$2</f>
        <v>393</v>
      </c>
      <c r="U11">
        <f>'Heat exchangers'!$D$6*Cases!$H$8</f>
        <v>252</v>
      </c>
      <c r="W11">
        <f>Constants!$H$2</f>
        <v>393</v>
      </c>
      <c r="X11">
        <f>Constants!$H$2</f>
        <v>393</v>
      </c>
    </row>
    <row r="12" spans="1:24">
      <c r="B12" t="s">
        <v>42</v>
      </c>
      <c r="C12" t="s">
        <v>110</v>
      </c>
      <c r="F12">
        <v>0</v>
      </c>
      <c r="G12" t="s">
        <v>110</v>
      </c>
      <c r="H12">
        <f>Constants!$H$2</f>
        <v>393</v>
      </c>
      <c r="I12">
        <f>Constants!$H$2</f>
        <v>393</v>
      </c>
      <c r="K12">
        <f>'Heat exchangers'!$D$6*Cases!$H$8</f>
        <v>252</v>
      </c>
      <c r="L12" t="s">
        <v>110</v>
      </c>
      <c r="M12">
        <f>Constants!$H$2</f>
        <v>393</v>
      </c>
      <c r="N12">
        <f>Constants!$H$2</f>
        <v>393</v>
      </c>
      <c r="P12">
        <v>0</v>
      </c>
      <c r="Q12" t="s">
        <v>110</v>
      </c>
      <c r="R12">
        <f>Constants!$H$2</f>
        <v>393</v>
      </c>
      <c r="S12">
        <f>Constants!$H$2</f>
        <v>393</v>
      </c>
      <c r="U12">
        <f>'Heat exchangers'!$D$6*Cases!$H$8</f>
        <v>252</v>
      </c>
      <c r="W12">
        <f>Constants!$H$2</f>
        <v>393</v>
      </c>
      <c r="X12">
        <f>Constants!$H$2</f>
        <v>393</v>
      </c>
    </row>
    <row r="13" spans="1:24">
      <c r="B13" t="s">
        <v>43</v>
      </c>
      <c r="C13" t="s">
        <v>110</v>
      </c>
      <c r="F13">
        <f>'Heat exchangers'!$D$10*Cases!$C$10</f>
        <v>292.8</v>
      </c>
      <c r="G13" t="s">
        <v>110</v>
      </c>
      <c r="H13">
        <f>Constants!$H$2</f>
        <v>393</v>
      </c>
      <c r="I13">
        <f>Constants!$H$2</f>
        <v>393</v>
      </c>
      <c r="K13">
        <f>'Heat exchangers'!$D$10*Cases!$H$10</f>
        <v>170.79999999999998</v>
      </c>
      <c r="L13" t="s">
        <v>110</v>
      </c>
      <c r="M13">
        <f>Constants!$H$2</f>
        <v>393</v>
      </c>
      <c r="N13">
        <f>Constants!$H$2</f>
        <v>393</v>
      </c>
      <c r="P13">
        <f>'Heat exchangers'!$D$10*Cases!$M$10</f>
        <v>292.8</v>
      </c>
      <c r="Q13" t="s">
        <v>110</v>
      </c>
      <c r="R13">
        <f>Constants!$H$2</f>
        <v>393</v>
      </c>
      <c r="S13">
        <f>Constants!$H$2</f>
        <v>393</v>
      </c>
      <c r="U13">
        <f>'Heat exchangers'!$D$10*Cases!$R$10</f>
        <v>170.79999999999998</v>
      </c>
      <c r="V13" t="s">
        <v>110</v>
      </c>
      <c r="W13">
        <f>Constants!$H$2</f>
        <v>393</v>
      </c>
      <c r="X13">
        <f>Constants!$H$2</f>
        <v>393</v>
      </c>
    </row>
    <row r="14" spans="1:24">
      <c r="B14" t="s">
        <v>44</v>
      </c>
      <c r="C14" t="s">
        <v>110</v>
      </c>
      <c r="F14">
        <f>'Heat exchangers'!$D$10*Cases!$C$10</f>
        <v>292.8</v>
      </c>
      <c r="G14" t="s">
        <v>110</v>
      </c>
      <c r="H14">
        <f>Constants!$H$2</f>
        <v>393</v>
      </c>
      <c r="I14">
        <f>Constants!$H$2</f>
        <v>393</v>
      </c>
      <c r="K14">
        <f>'Heat exchangers'!$D$10*Cases!$H$10</f>
        <v>170.79999999999998</v>
      </c>
      <c r="L14" t="s">
        <v>110</v>
      </c>
      <c r="M14">
        <f>Constants!$H$2</f>
        <v>393</v>
      </c>
      <c r="N14">
        <f>Constants!$H$2</f>
        <v>393</v>
      </c>
      <c r="P14">
        <f>'Heat exchangers'!$D$10*Cases!$M$10</f>
        <v>292.8</v>
      </c>
      <c r="Q14" t="s">
        <v>110</v>
      </c>
      <c r="R14">
        <f>Constants!$H$2</f>
        <v>393</v>
      </c>
      <c r="S14">
        <f>Constants!$H$2</f>
        <v>393</v>
      </c>
      <c r="U14">
        <f>'Heat exchangers'!$D$10*Cases!$R$10</f>
        <v>170.79999999999998</v>
      </c>
      <c r="V14" t="s">
        <v>110</v>
      </c>
      <c r="W14">
        <f>Constants!$H$2</f>
        <v>393</v>
      </c>
      <c r="X14">
        <f>Constants!$H$2</f>
        <v>393</v>
      </c>
    </row>
    <row r="15" spans="1:24">
      <c r="B15" t="s">
        <v>41</v>
      </c>
      <c r="C15" t="s">
        <v>73</v>
      </c>
      <c r="F15">
        <v>0</v>
      </c>
      <c r="G15">
        <v>0</v>
      </c>
      <c r="H15" t="s">
        <v>110</v>
      </c>
      <c r="I15" t="s">
        <v>110</v>
      </c>
      <c r="K15">
        <f>'Heat exchangers'!$D$7*Cases!$H$8</f>
        <v>308</v>
      </c>
      <c r="L15" s="7">
        <f>Constants!$H$4/3600*Constants!$D$6</f>
        <v>28.333333333333332</v>
      </c>
      <c r="M15">
        <f>Constants!$H$10</f>
        <v>333</v>
      </c>
      <c r="N15" s="4">
        <f>M15+K15/L15/Constants!$D$5</f>
        <v>338.43529411764706</v>
      </c>
      <c r="P15">
        <v>0</v>
      </c>
      <c r="Q15">
        <v>0</v>
      </c>
      <c r="R15" t="s">
        <v>110</v>
      </c>
      <c r="S15" t="s">
        <v>110</v>
      </c>
      <c r="U15">
        <f>'Heat exchangers'!$D$7*Cases!$H$8</f>
        <v>308</v>
      </c>
      <c r="V15" s="7">
        <f>Constants!$H$4/3600*Constants!$D$6</f>
        <v>28.333333333333332</v>
      </c>
      <c r="W15">
        <f>Constants!$H$10</f>
        <v>333</v>
      </c>
      <c r="X15" s="4">
        <f>W15+U15/V15/Constants!$D$5</f>
        <v>338.43529411764706</v>
      </c>
    </row>
    <row r="16" spans="1:24">
      <c r="B16" t="s">
        <v>45</v>
      </c>
      <c r="C16" t="s">
        <v>73</v>
      </c>
      <c r="F16">
        <v>0</v>
      </c>
      <c r="G16">
        <v>0</v>
      </c>
      <c r="H16" t="s">
        <v>110</v>
      </c>
      <c r="I16" t="s">
        <v>110</v>
      </c>
      <c r="K16">
        <f>'Heat exchangers'!$D$7*Cases!$H$8</f>
        <v>308</v>
      </c>
      <c r="L16" s="7">
        <f>Constants!$H$4/3600*Constants!$D$6</f>
        <v>28.333333333333332</v>
      </c>
      <c r="M16">
        <f>Constants!$H$10</f>
        <v>333</v>
      </c>
      <c r="N16" s="4">
        <f>M16+K16/L16/Constants!$D$5</f>
        <v>338.43529411764706</v>
      </c>
      <c r="P16">
        <v>0</v>
      </c>
      <c r="Q16">
        <v>0</v>
      </c>
      <c r="R16" t="s">
        <v>110</v>
      </c>
      <c r="S16" t="s">
        <v>110</v>
      </c>
      <c r="U16">
        <f>'Heat exchangers'!$D$7*Cases!$H$8</f>
        <v>308</v>
      </c>
      <c r="V16" s="7">
        <f>Constants!$H$4/3600*Constants!$D$6</f>
        <v>28.333333333333332</v>
      </c>
      <c r="W16">
        <f>Constants!$H$10</f>
        <v>333</v>
      </c>
      <c r="X16" s="4">
        <f>W16+U16/V16/Constants!$D$5</f>
        <v>338.43529411764706</v>
      </c>
    </row>
    <row r="17" spans="1:26">
      <c r="B17" t="s">
        <v>46</v>
      </c>
      <c r="C17" t="s">
        <v>73</v>
      </c>
      <c r="F17">
        <f>'Heat exchangers'!$D$11*Cases!$C$10</f>
        <v>216.6</v>
      </c>
      <c r="G17" s="7">
        <f>Constants!$H$7/3600*Constants!$D$6</f>
        <v>14.166666666666666</v>
      </c>
      <c r="H17">
        <f>Constants!$H$10</f>
        <v>333</v>
      </c>
      <c r="I17" s="4">
        <f>H17+F17/G17/Constants!$D$5</f>
        <v>340.64470588235292</v>
      </c>
      <c r="K17">
        <f>'Heat exchangers'!$D$11*Cases!$H$10</f>
        <v>126.35</v>
      </c>
      <c r="L17" s="7">
        <f>Constants!$H$7/3600*Constants!$D$6</f>
        <v>14.166666666666666</v>
      </c>
      <c r="M17">
        <f>Constants!$H$10</f>
        <v>333</v>
      </c>
      <c r="N17" s="4">
        <f>M17+K17/L17/Constants!$D$5</f>
        <v>337.45941176470586</v>
      </c>
      <c r="P17">
        <f>'Heat exchangers'!$D$11*Cases!$M$10</f>
        <v>216.6</v>
      </c>
      <c r="Q17" s="7">
        <f>Constants!$H$7/3600*Constants!$D$6</f>
        <v>14.166666666666666</v>
      </c>
      <c r="R17">
        <f>Constants!$H$10</f>
        <v>333</v>
      </c>
      <c r="S17" s="4">
        <f>R17+P17/Q17/Constants!$D$5</f>
        <v>340.64470588235292</v>
      </c>
      <c r="U17">
        <f>'Heat exchangers'!$D$11*Cases!$R$10</f>
        <v>126.35</v>
      </c>
      <c r="V17" s="7">
        <f>Constants!$H$7/3600*Constants!$D$6</f>
        <v>14.166666666666666</v>
      </c>
      <c r="W17">
        <f>Constants!$H$10</f>
        <v>333</v>
      </c>
      <c r="X17" s="4">
        <f>W17+U17/V17/Constants!$D$5</f>
        <v>337.45941176470586</v>
      </c>
    </row>
    <row r="18" spans="1:26">
      <c r="B18" t="s">
        <v>47</v>
      </c>
      <c r="C18" t="s">
        <v>73</v>
      </c>
      <c r="F18">
        <f>'Heat exchangers'!$D$11*Cases!$C$10</f>
        <v>216.6</v>
      </c>
      <c r="G18" s="7">
        <f>Constants!$H$7/3600*Constants!$D$6</f>
        <v>14.166666666666666</v>
      </c>
      <c r="H18">
        <f>Constants!$H$10</f>
        <v>333</v>
      </c>
      <c r="I18" s="4">
        <f>H18+F18/G18/Constants!$D$5</f>
        <v>340.64470588235292</v>
      </c>
      <c r="K18">
        <f>'Heat exchangers'!$D$11*Cases!$H$10</f>
        <v>126.35</v>
      </c>
      <c r="L18" s="7">
        <f>Constants!$H$7/3600*Constants!$D$6</f>
        <v>14.166666666666666</v>
      </c>
      <c r="M18">
        <f>Constants!$H$10</f>
        <v>333</v>
      </c>
      <c r="N18" s="4">
        <f>M18+K18/L18/Constants!$D$5</f>
        <v>337.45941176470586</v>
      </c>
      <c r="P18">
        <f>'Heat exchangers'!$D$11*Cases!$M$10</f>
        <v>216.6</v>
      </c>
      <c r="Q18" s="7">
        <f>Constants!$H$7/3600*Constants!$D$6</f>
        <v>14.166666666666666</v>
      </c>
      <c r="R18">
        <f>Constants!$H$10</f>
        <v>333</v>
      </c>
      <c r="S18" s="4">
        <f>R18+P18/Q18/Constants!$D$5</f>
        <v>340.64470588235292</v>
      </c>
      <c r="U18">
        <f>'Heat exchangers'!$D$11*Cases!$R$10</f>
        <v>126.35</v>
      </c>
      <c r="V18" s="7">
        <f>Constants!$H$7/3600*Constants!$D$6</f>
        <v>14.166666666666666</v>
      </c>
      <c r="W18">
        <f>Constants!$H$10</f>
        <v>333</v>
      </c>
      <c r="X18" s="4">
        <f>W18+U18/V18/Constants!$D$5</f>
        <v>337.45941176470586</v>
      </c>
    </row>
    <row r="19" spans="1:26">
      <c r="B19" t="s">
        <v>48</v>
      </c>
      <c r="C19" t="s">
        <v>83</v>
      </c>
      <c r="F19">
        <v>0</v>
      </c>
      <c r="G19">
        <v>0</v>
      </c>
      <c r="H19" t="s">
        <v>110</v>
      </c>
      <c r="I19" t="s">
        <v>110</v>
      </c>
      <c r="K19">
        <f>L19*Constants!$D$4*(M19-N19)</f>
        <v>1166.0760000000002</v>
      </c>
      <c r="L19">
        <v>5.9</v>
      </c>
      <c r="M19">
        <v>616</v>
      </c>
      <c r="N19">
        <f>Constants!$H$3</f>
        <v>433</v>
      </c>
      <c r="P19">
        <v>0</v>
      </c>
      <c r="Q19">
        <v>0</v>
      </c>
      <c r="R19" t="s">
        <v>110</v>
      </c>
      <c r="S19" t="s">
        <v>110</v>
      </c>
      <c r="U19">
        <f>V19*Constants!$D$4*(W19-X19)</f>
        <v>1166.0760000000002</v>
      </c>
      <c r="V19">
        <v>5.9</v>
      </c>
      <c r="W19">
        <v>616</v>
      </c>
      <c r="X19">
        <f>Constants!$H$3</f>
        <v>433</v>
      </c>
      <c r="Z19" t="s">
        <v>112</v>
      </c>
    </row>
    <row r="20" spans="1:26">
      <c r="B20" t="s">
        <v>49</v>
      </c>
      <c r="C20" t="s">
        <v>83</v>
      </c>
      <c r="F20">
        <v>0</v>
      </c>
      <c r="G20">
        <v>0</v>
      </c>
      <c r="H20" t="s">
        <v>110</v>
      </c>
      <c r="I20" t="s">
        <v>110</v>
      </c>
      <c r="K20">
        <f>L20*Constants!$D$4*(M20-N20)</f>
        <v>1166.0760000000002</v>
      </c>
      <c r="L20">
        <f>L19</f>
        <v>5.9</v>
      </c>
      <c r="M20">
        <f>M19</f>
        <v>616</v>
      </c>
      <c r="N20">
        <f>Constants!$H$3</f>
        <v>433</v>
      </c>
      <c r="P20">
        <v>0</v>
      </c>
      <c r="Q20">
        <v>0</v>
      </c>
      <c r="R20" t="s">
        <v>110</v>
      </c>
      <c r="S20" t="s">
        <v>110</v>
      </c>
      <c r="U20">
        <f>V20*Constants!$D$4*(W20-X20)</f>
        <v>1166.0760000000002</v>
      </c>
      <c r="V20">
        <f>V19</f>
        <v>5.9</v>
      </c>
      <c r="W20">
        <f>W19</f>
        <v>616</v>
      </c>
      <c r="X20">
        <f>Constants!$H$3</f>
        <v>433</v>
      </c>
      <c r="Z20" t="s">
        <v>112</v>
      </c>
    </row>
    <row r="21" spans="1:26">
      <c r="B21" t="s">
        <v>50</v>
      </c>
      <c r="C21" t="s">
        <v>83</v>
      </c>
      <c r="F21">
        <f>G21*Constants!$D$4*(H21-I21)</f>
        <v>1028.1600000000001</v>
      </c>
      <c r="G21">
        <v>4</v>
      </c>
      <c r="H21">
        <v>671</v>
      </c>
      <c r="I21">
        <f>$N$19</f>
        <v>433</v>
      </c>
      <c r="K21">
        <f>L21*Constants!$D$4*(M21-N21)</f>
        <v>608.25600000000009</v>
      </c>
      <c r="L21">
        <v>2.2000000000000002</v>
      </c>
      <c r="M21">
        <v>689</v>
      </c>
      <c r="N21">
        <f>$N$19</f>
        <v>433</v>
      </c>
      <c r="P21">
        <f>Q21*Constants!$D$4*(R21-S21)</f>
        <v>1028.1600000000001</v>
      </c>
      <c r="Q21">
        <v>4</v>
      </c>
      <c r="R21">
        <v>671</v>
      </c>
      <c r="S21">
        <f>$N$19</f>
        <v>433</v>
      </c>
      <c r="U21">
        <f>V21*Constants!$D$4*(W21-X21)</f>
        <v>608.25600000000009</v>
      </c>
      <c r="V21">
        <v>2.2000000000000002</v>
      </c>
      <c r="W21">
        <v>689</v>
      </c>
      <c r="X21">
        <f>$N$19</f>
        <v>433</v>
      </c>
      <c r="Z21" t="s">
        <v>112</v>
      </c>
    </row>
    <row r="22" spans="1:26">
      <c r="B22" t="s">
        <v>51</v>
      </c>
      <c r="C22" t="s">
        <v>83</v>
      </c>
      <c r="F22">
        <f>G22*Constants!$D$4*(H22-I22)</f>
        <v>1028.1600000000001</v>
      </c>
      <c r="G22">
        <v>4</v>
      </c>
      <c r="H22">
        <f>H21</f>
        <v>671</v>
      </c>
      <c r="I22">
        <f>I21</f>
        <v>433</v>
      </c>
      <c r="K22">
        <f>L22*Constants!$D$4*(M22-N22)</f>
        <v>608.25600000000009</v>
      </c>
      <c r="L22">
        <v>2.2000000000000002</v>
      </c>
      <c r="M22">
        <f>M21</f>
        <v>689</v>
      </c>
      <c r="N22">
        <f>N21</f>
        <v>433</v>
      </c>
      <c r="P22">
        <f>Q22*Constants!$D$4*(R22-S22)</f>
        <v>1028.1600000000001</v>
      </c>
      <c r="Q22">
        <v>4</v>
      </c>
      <c r="R22">
        <f>R21</f>
        <v>671</v>
      </c>
      <c r="S22">
        <f>S21</f>
        <v>433</v>
      </c>
      <c r="U22">
        <f>V22*Constants!$D$4*(W22-X22)</f>
        <v>608.25600000000009</v>
      </c>
      <c r="V22">
        <v>2.2000000000000002</v>
      </c>
      <c r="W22">
        <f>W21</f>
        <v>689</v>
      </c>
      <c r="X22">
        <f>X21</f>
        <v>433</v>
      </c>
      <c r="Z22" t="s">
        <v>112</v>
      </c>
    </row>
    <row r="23" spans="1:26">
      <c r="B23" t="s">
        <v>150</v>
      </c>
      <c r="Z23" t="s">
        <v>151</v>
      </c>
    </row>
    <row r="25" spans="1:26" ht="15">
      <c r="A25" s="35" t="s">
        <v>13</v>
      </c>
      <c r="B25" s="35"/>
      <c r="C25" s="2"/>
    </row>
    <row r="26" spans="1:26">
      <c r="B26" t="s">
        <v>14</v>
      </c>
      <c r="C26" t="s">
        <v>67</v>
      </c>
      <c r="F26">
        <f>'Heat exchangers'!$D$17*(0.8-0.04*(Cases!C13-273))-(Cases!C11+Cases!C13)*0.26</f>
        <v>1754.7200000000005</v>
      </c>
      <c r="G26">
        <f>'Heat exchangers'!$K$17</f>
        <v>30.960026183336428</v>
      </c>
      <c r="H26">
        <f>I26-F26/G26/Constants!$D$2</f>
        <v>309.46358857142855</v>
      </c>
      <c r="I26">
        <f>'Heat exchangers'!$N$17</f>
        <v>323</v>
      </c>
      <c r="K26">
        <f>'Heat exchangers'!$D$17*(0.8-0.04*(Cases!H13-273))-(Cases!H11+Cases!H13)*0.26</f>
        <v>1754.7200000000005</v>
      </c>
      <c r="L26">
        <f>'Heat exchangers'!$K$17</f>
        <v>30.960026183336428</v>
      </c>
      <c r="M26">
        <f>N26-K26/L26/Constants!$D$2</f>
        <v>309.46358857142855</v>
      </c>
      <c r="N26">
        <f>'Heat exchangers'!$N$17</f>
        <v>323</v>
      </c>
      <c r="P26">
        <f>'Heat exchangers'!$D$17*(0.8-0.04*(Cases!M13-273))-(Cases!M11+Cases!M13)*0.26</f>
        <v>694.9000000000002</v>
      </c>
      <c r="Q26">
        <f>'Heat exchangers'!$K$17</f>
        <v>30.960026183336428</v>
      </c>
      <c r="R26">
        <f>S26-P26/Q26/Constants!$D$2</f>
        <v>317.63934285714288</v>
      </c>
      <c r="S26">
        <f>'Heat exchangers'!$N$17</f>
        <v>323</v>
      </c>
      <c r="U26">
        <f>'Heat exchangers'!$D$17*(0.8-0.04*(Cases!R13-273))-(Cases!R11+Cases!R13)*0.26</f>
        <v>694.9000000000002</v>
      </c>
      <c r="V26">
        <f>'Heat exchangers'!$K$17</f>
        <v>30.960026183336428</v>
      </c>
      <c r="W26">
        <f>X26-U26/V26/Constants!$D$2</f>
        <v>317.63934285714288</v>
      </c>
      <c r="X26">
        <f>'Heat exchangers'!$N$17</f>
        <v>323</v>
      </c>
    </row>
    <row r="27" spans="1:26">
      <c r="B27" t="s">
        <v>15</v>
      </c>
      <c r="C27" t="s">
        <v>67</v>
      </c>
      <c r="F27">
        <f>'Heat exchangers'!$D$16*(0.8-0.04*(Cases!C13-273))</f>
        <v>1068.0000000000002</v>
      </c>
      <c r="G27">
        <f>'Heat exchangers'!$K$16</f>
        <v>21.256269405302124</v>
      </c>
      <c r="H27">
        <f>I27-F27/G27/Constants!$D$2</f>
        <v>341</v>
      </c>
      <c r="I27">
        <f>'Heat exchangers'!$N$16</f>
        <v>353</v>
      </c>
      <c r="K27">
        <f>'Heat exchangers'!$D$16*(0.8-0.04*(Cases!H13-273))</f>
        <v>1068.0000000000002</v>
      </c>
      <c r="L27">
        <f>'Heat exchangers'!$K$16</f>
        <v>21.256269405302124</v>
      </c>
      <c r="M27">
        <f>N27-K27/L27/Constants!$D$2</f>
        <v>341</v>
      </c>
      <c r="N27">
        <f>'Heat exchangers'!$N$16</f>
        <v>353</v>
      </c>
      <c r="P27">
        <f>'Heat exchangers'!$D$16*(0.8-0.04*(Cases!M13-273))</f>
        <v>569.60000000000014</v>
      </c>
      <c r="Q27">
        <f>'Heat exchangers'!$K$16</f>
        <v>21.256269405302124</v>
      </c>
      <c r="R27">
        <f>S27-P27/Q27/Constants!$D$2</f>
        <v>346.6</v>
      </c>
      <c r="S27">
        <f>'Heat exchangers'!$N$16</f>
        <v>353</v>
      </c>
      <c r="U27">
        <f>'Heat exchangers'!$D$16*(0.8-0.04*(Cases!R13-273))</f>
        <v>569.60000000000014</v>
      </c>
      <c r="V27">
        <f>'Heat exchangers'!$K$16</f>
        <v>21.256269405302124</v>
      </c>
      <c r="W27">
        <f>X27-U27/V27/Constants!$D$2</f>
        <v>346.6</v>
      </c>
      <c r="X27">
        <f>'Heat exchangers'!$N$16</f>
        <v>353</v>
      </c>
    </row>
    <row r="28" spans="1:26">
      <c r="B28" t="s">
        <v>16</v>
      </c>
      <c r="C28" t="s">
        <v>67</v>
      </c>
      <c r="F28" s="7">
        <f>'Heat exchangers'!$D$15*(Cases!C11+Cases!C12)/Constants!$H$17*Cases!C15</f>
        <v>72.585365853658544</v>
      </c>
      <c r="G28" t="s">
        <v>110</v>
      </c>
      <c r="H28">
        <f>Constants!$H$16</f>
        <v>343</v>
      </c>
      <c r="I28">
        <f>Constants!$H$16</f>
        <v>343</v>
      </c>
      <c r="K28" s="7">
        <f>'Heat exchangers'!$D$15*(Cases!H11+Cases!H12)/Constants!$H$17*Cases!H15</f>
        <v>544.39024390243901</v>
      </c>
      <c r="L28" t="s">
        <v>110</v>
      </c>
      <c r="M28">
        <f>Constants!$H$16</f>
        <v>343</v>
      </c>
      <c r="N28">
        <f>Constants!$H$16</f>
        <v>343</v>
      </c>
      <c r="P28" s="7">
        <f>'Heat exchangers'!$D$15*(Cases!M11+Cases!M12)/Constants!$H$17*Cases!M15</f>
        <v>90.146341463414643</v>
      </c>
      <c r="Q28" t="s">
        <v>110</v>
      </c>
      <c r="R28">
        <f>Constants!$H$16</f>
        <v>343</v>
      </c>
      <c r="S28">
        <f>Constants!$H$16</f>
        <v>343</v>
      </c>
      <c r="U28" s="7">
        <f>'Heat exchangers'!$D$15*(Cases!R11+Cases!R12)/Constants!$H$17*Cases!R15</f>
        <v>676.09756097560978</v>
      </c>
      <c r="V28" t="s">
        <v>110</v>
      </c>
      <c r="W28">
        <f>Constants!$H$16</f>
        <v>343</v>
      </c>
      <c r="X28">
        <f>Constants!$H$16</f>
        <v>343</v>
      </c>
    </row>
    <row r="29" spans="1:26">
      <c r="B29" t="s">
        <v>141</v>
      </c>
      <c r="C29" t="s">
        <v>67</v>
      </c>
      <c r="F29" s="7">
        <f>'Heat exchangers'!$D$26*(Cases!C11+Cases!C12)/Constants!$H$17*Cases!C15</f>
        <v>22.138536585365856</v>
      </c>
      <c r="G29" t="s">
        <v>110</v>
      </c>
      <c r="H29">
        <f>Constants!$H$16</f>
        <v>343</v>
      </c>
      <c r="I29">
        <f>Constants!$H$16</f>
        <v>343</v>
      </c>
      <c r="K29" s="7">
        <f>'Heat exchangers'!$D$26*(Cases!H11+Cases!H12)/Constants!$H$17*Cases!H15</f>
        <v>166.0390243902439</v>
      </c>
      <c r="L29" t="s">
        <v>110</v>
      </c>
      <c r="M29">
        <f>Constants!$H$16</f>
        <v>343</v>
      </c>
      <c r="N29">
        <f>Constants!$H$16</f>
        <v>343</v>
      </c>
      <c r="P29" s="7">
        <f>'Heat exchangers'!$D$26*(Cases!M11+Cases!M12)/Constants!$H$17*Cases!M15</f>
        <v>27.494634146341465</v>
      </c>
      <c r="Q29" t="s">
        <v>110</v>
      </c>
      <c r="R29">
        <f>Constants!$H$16</f>
        <v>343</v>
      </c>
      <c r="S29">
        <f>Constants!$H$16</f>
        <v>343</v>
      </c>
      <c r="U29" s="7">
        <f>'Heat exchangers'!$D$26*(Cases!R11+Cases!R12)/Constants!$H$17*Cases!R15</f>
        <v>206.20975609756096</v>
      </c>
      <c r="V29" t="s">
        <v>110</v>
      </c>
      <c r="W29">
        <f>Constants!$H$16</f>
        <v>343</v>
      </c>
      <c r="X29">
        <f>Constants!$H$16</f>
        <v>343</v>
      </c>
    </row>
    <row r="30" spans="1:26">
      <c r="B30" t="s">
        <v>135</v>
      </c>
      <c r="C30" t="s">
        <v>138</v>
      </c>
      <c r="H30">
        <f>Constants!$H$14</f>
        <v>343</v>
      </c>
      <c r="I30">
        <f>Constants!$H$14</f>
        <v>343</v>
      </c>
      <c r="M30">
        <f>Constants!$H$14</f>
        <v>343</v>
      </c>
      <c r="N30">
        <f>Constants!$H$14</f>
        <v>343</v>
      </c>
      <c r="R30">
        <f>Constants!$H$14</f>
        <v>343</v>
      </c>
      <c r="S30">
        <f>Constants!$H$14</f>
        <v>343</v>
      </c>
      <c r="W30">
        <f>Constants!$H$14</f>
        <v>343</v>
      </c>
      <c r="X30">
        <f>Constants!$H$14</f>
        <v>343</v>
      </c>
    </row>
    <row r="31" spans="1:26">
      <c r="B31" t="s">
        <v>136</v>
      </c>
      <c r="C31" t="s">
        <v>138</v>
      </c>
      <c r="H31">
        <f>Constants!$H$15</f>
        <v>323</v>
      </c>
      <c r="I31">
        <f>Constants!$H$15</f>
        <v>323</v>
      </c>
      <c r="M31">
        <f>Constants!$H$15</f>
        <v>323</v>
      </c>
      <c r="N31">
        <f>Constants!$H$15</f>
        <v>323</v>
      </c>
      <c r="R31">
        <f>Constants!$H$15</f>
        <v>323</v>
      </c>
      <c r="S31">
        <f>Constants!$H$15</f>
        <v>323</v>
      </c>
      <c r="W31">
        <f>Constants!$H$15</f>
        <v>323</v>
      </c>
      <c r="X31">
        <f>Constants!$H$15</f>
        <v>323</v>
      </c>
    </row>
    <row r="32" spans="1:26">
      <c r="B32" t="s">
        <v>134</v>
      </c>
      <c r="C32" t="s">
        <v>72</v>
      </c>
      <c r="F32">
        <f>'Heat exchangers'!$D$23*Cases!C14*(Cases!C11+Cases!C12)/Constants!$H$17</f>
        <v>36.413658536585366</v>
      </c>
      <c r="G32">
        <f>F32/Constants!$D$7</f>
        <v>1.7339837398373983E-2</v>
      </c>
      <c r="H32" s="5">
        <f>Constants!$D$8</f>
        <v>433</v>
      </c>
      <c r="I32" s="5">
        <f>Constants!$D$8</f>
        <v>433</v>
      </c>
      <c r="K32">
        <f>'Heat exchangers'!$D$23*Cases!H14*(Cases!H11+Cases!H12)/Constants!$H$17</f>
        <v>273.10243902439026</v>
      </c>
      <c r="L32">
        <f>K32/Constants!$D$7</f>
        <v>0.13004878048780488</v>
      </c>
      <c r="M32" s="5">
        <f>Constants!$D$8</f>
        <v>433</v>
      </c>
      <c r="N32" s="5">
        <f>Constants!$D$8</f>
        <v>433</v>
      </c>
      <c r="P32">
        <f>'Heat exchangers'!$D$23*Cases!M14*(Cases!M11+Cases!M12)/Constants!$H$17</f>
        <v>45.223414634146344</v>
      </c>
      <c r="Q32">
        <f>P32/Constants!$D$7</f>
        <v>2.1534959349593496E-2</v>
      </c>
      <c r="R32" s="5">
        <f>Constants!$D$8</f>
        <v>433</v>
      </c>
      <c r="S32" s="5">
        <f>Constants!$D$8</f>
        <v>433</v>
      </c>
      <c r="U32">
        <f>'Heat exchangers'!$D$23*Cases!R14*(Cases!R11+Cases!R12)/Constants!$H$17</f>
        <v>339.17560975609757</v>
      </c>
      <c r="V32">
        <f>U32/Constants!$D$7</f>
        <v>0.16151219512195122</v>
      </c>
      <c r="W32" s="5">
        <f>Constants!$D$8</f>
        <v>433</v>
      </c>
      <c r="X32" s="5">
        <f>Constants!$D$8</f>
        <v>433</v>
      </c>
      <c r="Z32" t="s">
        <v>145</v>
      </c>
    </row>
    <row r="33" spans="2:26">
      <c r="B33" t="s">
        <v>137</v>
      </c>
      <c r="C33" t="s">
        <v>72</v>
      </c>
      <c r="F33">
        <f>'Heat exchangers'!$D$27*Cases!C17</f>
        <v>189.60000000000002</v>
      </c>
      <c r="G33">
        <f>F33/Constants!$D$7</f>
        <v>9.0285714285714302E-2</v>
      </c>
      <c r="H33" s="5">
        <f>Constants!$D$8</f>
        <v>433</v>
      </c>
      <c r="I33" s="5">
        <f>Constants!$D$8</f>
        <v>433</v>
      </c>
      <c r="K33">
        <f>'Heat exchangers'!$D$27*Cases!H17</f>
        <v>331.79999999999995</v>
      </c>
      <c r="L33">
        <f>K33/Constants!$D$7</f>
        <v>0.15799999999999997</v>
      </c>
      <c r="M33" s="5">
        <f>Constants!$D$8</f>
        <v>433</v>
      </c>
      <c r="N33" s="5">
        <f>Constants!$D$8</f>
        <v>433</v>
      </c>
      <c r="P33">
        <f>'Heat exchangers'!$D$27*Cases!M17</f>
        <v>189.60000000000002</v>
      </c>
      <c r="Q33">
        <f>P33/Constants!$D$7</f>
        <v>9.0285714285714302E-2</v>
      </c>
      <c r="R33" s="5">
        <f>Constants!$D$8</f>
        <v>433</v>
      </c>
      <c r="S33" s="5">
        <f>Constants!$D$8</f>
        <v>433</v>
      </c>
      <c r="U33">
        <f>'Heat exchangers'!$D$27*Cases!R17</f>
        <v>331.79999999999995</v>
      </c>
      <c r="V33">
        <f>U33/Constants!$D$7</f>
        <v>0.15799999999999997</v>
      </c>
      <c r="W33" s="5">
        <f>Constants!$D$8</f>
        <v>433</v>
      </c>
      <c r="X33" s="5">
        <f>Constants!$D$8</f>
        <v>433</v>
      </c>
      <c r="Z33" t="s">
        <v>145</v>
      </c>
    </row>
    <row r="34" spans="2:26">
      <c r="B34" t="s">
        <v>148</v>
      </c>
      <c r="C34" t="s">
        <v>67</v>
      </c>
      <c r="Z34" t="s">
        <v>149</v>
      </c>
    </row>
  </sheetData>
  <mergeCells count="6">
    <mergeCell ref="A25:B25"/>
    <mergeCell ref="F3:I3"/>
    <mergeCell ref="K3:N3"/>
    <mergeCell ref="P3:S3"/>
    <mergeCell ref="U3:X3"/>
    <mergeCell ref="A6: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20"/>
  <sheetViews>
    <sheetView tabSelected="1" workbookViewId="0">
      <selection activeCell="A16" sqref="A16:XFD16"/>
    </sheetView>
  </sheetViews>
  <sheetFormatPr defaultRowHeight="14.25"/>
  <cols>
    <col min="2" max="2" width="29.875" bestFit="1" customWidth="1"/>
    <col min="3" max="3" width="6" bestFit="1" customWidth="1"/>
    <col min="4" max="4" width="2.625" customWidth="1"/>
    <col min="5" max="5" width="2" customWidth="1"/>
    <col min="6" max="6" width="8.25" bestFit="1" customWidth="1"/>
    <col min="7" max="7" width="4.75" bestFit="1" customWidth="1"/>
    <col min="8" max="8" width="4.375" bestFit="1" customWidth="1"/>
    <col min="9" max="9" width="5.5" bestFit="1" customWidth="1"/>
    <col min="10" max="10" width="1.625" customWidth="1"/>
    <col min="11" max="11" width="6.125" bestFit="1" customWidth="1"/>
    <col min="12" max="12" width="4.75" bestFit="1" customWidth="1"/>
    <col min="13" max="13" width="4.375" bestFit="1" customWidth="1"/>
    <col min="14" max="14" width="5.5" bestFit="1" customWidth="1"/>
    <col min="15" max="15" width="1.5" customWidth="1"/>
    <col min="16" max="16" width="6.125" bestFit="1" customWidth="1"/>
    <col min="17" max="17" width="4.75" bestFit="1" customWidth="1"/>
    <col min="18" max="18" width="4.375" bestFit="1" customWidth="1"/>
    <col min="19" max="19" width="5.5" bestFit="1" customWidth="1"/>
    <col min="20" max="20" width="1.625" customWidth="1"/>
    <col min="21" max="21" width="6.125" customWidth="1"/>
    <col min="22" max="22" width="4.75" bestFit="1" customWidth="1"/>
    <col min="23" max="23" width="4.375" bestFit="1" customWidth="1"/>
    <col min="24" max="24" width="5.5" bestFit="1" customWidth="1"/>
    <col min="25" max="25" width="2.375" customWidth="1"/>
  </cols>
  <sheetData>
    <row r="3" spans="1:26" s="1" customFormat="1" ht="15">
      <c r="F3" s="35" t="s">
        <v>5</v>
      </c>
      <c r="G3" s="35"/>
      <c r="H3" s="35"/>
      <c r="I3" s="35"/>
      <c r="K3" s="35" t="s">
        <v>6</v>
      </c>
      <c r="L3" s="35"/>
      <c r="M3" s="35"/>
      <c r="N3" s="35"/>
      <c r="P3" s="35" t="s">
        <v>7</v>
      </c>
      <c r="Q3" s="35"/>
      <c r="R3" s="35"/>
      <c r="S3" s="35"/>
      <c r="U3" s="35" t="s">
        <v>8</v>
      </c>
      <c r="V3" s="35"/>
      <c r="W3" s="35"/>
      <c r="X3" s="35"/>
    </row>
    <row r="4" spans="1:26">
      <c r="F4" t="s">
        <v>1</v>
      </c>
      <c r="G4" t="s">
        <v>2</v>
      </c>
      <c r="H4" t="s">
        <v>3</v>
      </c>
      <c r="I4" t="s">
        <v>4</v>
      </c>
      <c r="K4" t="s">
        <v>1</v>
      </c>
      <c r="L4" t="s">
        <v>2</v>
      </c>
      <c r="M4" t="s">
        <v>3</v>
      </c>
      <c r="N4" t="s">
        <v>4</v>
      </c>
      <c r="P4" t="s">
        <v>1</v>
      </c>
      <c r="Q4" t="s">
        <v>2</v>
      </c>
      <c r="R4" t="s">
        <v>3</v>
      </c>
      <c r="S4" t="s">
        <v>4</v>
      </c>
      <c r="U4" t="s">
        <v>1</v>
      </c>
      <c r="V4" t="s">
        <v>2</v>
      </c>
      <c r="W4" t="s">
        <v>3</v>
      </c>
      <c r="X4" t="s">
        <v>4</v>
      </c>
    </row>
    <row r="6" spans="1:26" ht="15">
      <c r="A6" s="35" t="s">
        <v>0</v>
      </c>
      <c r="B6" s="35"/>
    </row>
    <row r="7" spans="1:26">
      <c r="B7" t="s">
        <v>9</v>
      </c>
      <c r="C7" t="s">
        <v>67</v>
      </c>
      <c r="F7">
        <f>'Complex HEN'!G7*('Complex HEN'!H7-Constants!$H$12)*Constants!$D$3*Constants!$H$11+'Complex HEN'!G8*('Complex HEN'!H8-Constants!$H$12)*Constants!$D$3*Constants!$H$11+'Complex HEN'!G9*('Complex HEN'!H9-Constants!$H$12)*Constants!$D$3*Constants!$H$11+'Complex HEN'!G10*('Complex HEN'!H10-Constants!$H$12)*Constants!$D$3*Constants!$H$11+'Complex HEN'!F11+'Complex HEN'!F12+'Complex HEN'!F13+'Complex HEN'!F14</f>
        <v>923.46479999999997</v>
      </c>
      <c r="G7">
        <f>Constants!$H$5/3.6*Cases!C7+Constants!$H$8/3.6*Cases!C9</f>
        <v>16.666666666666668</v>
      </c>
      <c r="H7">
        <f>I7-F7/G7/Constants!$D$2</f>
        <v>349.76668545497972</v>
      </c>
      <c r="I7">
        <f>Constants!$H$12</f>
        <v>363</v>
      </c>
      <c r="K7">
        <f>'Complex HEN'!L7*('Complex HEN'!M7-Constants!$H$12)*Constants!$D$3*Constants!$H$11+'Complex HEN'!L8*('Complex HEN'!M8-Constants!$H$12)*Constants!$D$3*Constants!$H$11+'Complex HEN'!L9*('Complex HEN'!M9-Constants!$H$12)*Constants!$D$3*Constants!$H$11+'Complex HEN'!L10*('Complex HEN'!M10-Constants!$H$12)*Constants!$D$3*Constants!$H$11+'Complex HEN'!K11+'Complex HEN'!K12+'Complex HEN'!K13+'Complex HEN'!K14</f>
        <v>1083.2192</v>
      </c>
      <c r="L7">
        <f>Constants!$H$5/3.6*Cases!H7+Constants!$H$8/3.6*Cases!H9</f>
        <v>100</v>
      </c>
      <c r="M7">
        <f>N7-K7/L7/Constants!$D$2</f>
        <v>360.41289897301169</v>
      </c>
      <c r="N7">
        <f>Constants!$H$12</f>
        <v>363</v>
      </c>
      <c r="P7">
        <f>'Complex HEN'!Q7*('Complex HEN'!R7-Constants!$H$12)*Constants!$D$3*Constants!$H$11+'Complex HEN'!Q8*('Complex HEN'!R8-Constants!$H$12)*Constants!$D$3*Constants!$H$11+'Complex HEN'!Q9*('Complex HEN'!R9-Constants!$H$12)*Constants!$D$3*Constants!$H$11+'Complex HEN'!Q10*('Complex HEN'!R10-Constants!$H$12)*Constants!$D$3*Constants!$H$11+'Complex HEN'!P11+'Complex HEN'!P12+'Complex HEN'!P13+'Complex HEN'!P14</f>
        <v>923.46479999999997</v>
      </c>
      <c r="Q7">
        <f>Constants!$H$5/3.6*Cases!M7+Constants!$H$8/3.6*Cases!M9</f>
        <v>16.666666666666668</v>
      </c>
      <c r="R7">
        <f>S7-P7/Q7/Constants!$D$2</f>
        <v>349.76668545497972</v>
      </c>
      <c r="S7">
        <f>Constants!$H$12</f>
        <v>363</v>
      </c>
      <c r="U7">
        <f>'Complex HEN'!V7*('Complex HEN'!W7-Constants!$H$12)*Constants!$D$3*Constants!$H$11+'Complex HEN'!V8*('Complex HEN'!W8-Constants!$H$12)*Constants!$D$3*Constants!$H$11+'Complex HEN'!V9*('Complex HEN'!W9-Constants!$H$12)*Constants!$D$3*Constants!$H$11+'Complex HEN'!V10*('Complex HEN'!W10-Constants!$H$12)*Constants!$D$3*Constants!$H$11+'Complex HEN'!U11+'Complex HEN'!U12+'Complex HEN'!U13+'Complex HEN'!U14</f>
        <v>1083.2192</v>
      </c>
      <c r="V7">
        <f>Constants!$H$5/3.6*Cases!R7+Constants!$H$8/3.6*Cases!R9</f>
        <v>100</v>
      </c>
      <c r="W7">
        <f>X7-U7/V7/Constants!$D$2</f>
        <v>360.41289897301169</v>
      </c>
      <c r="X7">
        <f>Constants!$H$12</f>
        <v>363</v>
      </c>
    </row>
    <row r="8" spans="1:26">
      <c r="B8" t="s">
        <v>10</v>
      </c>
      <c r="C8" t="s">
        <v>67</v>
      </c>
      <c r="F8">
        <f>SUM('Complex HEN'!F7:F18)-F7</f>
        <v>845.07119999999986</v>
      </c>
      <c r="G8">
        <f>Constants!$H$6/3.6*Cases!C7+Constants!$H$9/3.6*Cases!C9</f>
        <v>16.666666666666668</v>
      </c>
      <c r="H8">
        <f>Constants!$H$13</f>
        <v>309</v>
      </c>
      <c r="I8">
        <f>H8+F8/G8/Constants!$D$2</f>
        <v>321.10992882732268</v>
      </c>
      <c r="K8">
        <f>SUM('Complex HEN'!K7:K18)-K7</f>
        <v>1465.7048</v>
      </c>
      <c r="L8">
        <f>Constants!$H$6/3.6*Cases!H7+Constants!$H$9/3.6*Cases!H9</f>
        <v>100</v>
      </c>
      <c r="M8">
        <f>Constants!$H$13</f>
        <v>309</v>
      </c>
      <c r="N8">
        <f>M8+K8/L8/Constants!$D$2</f>
        <v>312.50060855027465</v>
      </c>
      <c r="P8">
        <f>SUM('Complex HEN'!P7:P18)-P7</f>
        <v>845.07119999999986</v>
      </c>
      <c r="Q8">
        <f>Constants!$H$6/3.6*Cases!M7+Constants!$H$9/3.6*Cases!M9</f>
        <v>16.666666666666668</v>
      </c>
      <c r="R8">
        <f>Constants!$H$13</f>
        <v>309</v>
      </c>
      <c r="S8">
        <f>R8+P8/Q8/Constants!$D$2</f>
        <v>321.10992882732268</v>
      </c>
      <c r="U8">
        <f>SUM('Complex HEN'!U7:U18)-U7</f>
        <v>1465.7048</v>
      </c>
      <c r="V8">
        <f>Constants!$H$6/3.6*Cases!R7+Constants!$H$9/3.6*Cases!R9</f>
        <v>100</v>
      </c>
      <c r="W8">
        <f>Constants!$H$13</f>
        <v>309</v>
      </c>
      <c r="X8">
        <f>W8+U8/V8/Constants!$D$2</f>
        <v>312.50060855027465</v>
      </c>
    </row>
    <row r="9" spans="1:26">
      <c r="B9" t="s">
        <v>11</v>
      </c>
      <c r="C9" t="s">
        <v>72</v>
      </c>
      <c r="F9">
        <f>SUM('Complex HEN'!F19:F22)</f>
        <v>2056.3200000000002</v>
      </c>
      <c r="G9">
        <f>F9/Constants!$D$7</f>
        <v>0.97920000000000007</v>
      </c>
      <c r="H9">
        <f>Constants!$D$8</f>
        <v>433</v>
      </c>
      <c r="I9">
        <f>Constants!$D$8</f>
        <v>433</v>
      </c>
      <c r="K9">
        <f>SUM('Complex HEN'!K19:K22)</f>
        <v>3548.6640000000007</v>
      </c>
      <c r="L9">
        <f>K9/Constants!$D$7</f>
        <v>1.6898400000000002</v>
      </c>
      <c r="M9">
        <f>Constants!$D$8</f>
        <v>433</v>
      </c>
      <c r="N9">
        <f>Constants!$D$8</f>
        <v>433</v>
      </c>
      <c r="P9">
        <f>SUM('Complex HEN'!P19:P22)</f>
        <v>2056.3200000000002</v>
      </c>
      <c r="Q9">
        <f>P9/Constants!$D$7</f>
        <v>0.97920000000000007</v>
      </c>
      <c r="R9">
        <f>Constants!$D$8</f>
        <v>433</v>
      </c>
      <c r="S9">
        <f>Constants!$D$8</f>
        <v>433</v>
      </c>
      <c r="U9">
        <f>SUM('Complex HEN'!U19:U22)</f>
        <v>3548.6640000000007</v>
      </c>
      <c r="V9">
        <f>U9/Constants!$D$7</f>
        <v>1.6898400000000002</v>
      </c>
      <c r="W9">
        <f>Constants!$D$8</f>
        <v>433</v>
      </c>
      <c r="X9">
        <f>Constants!$D$8</f>
        <v>433</v>
      </c>
      <c r="Z9" t="s">
        <v>128</v>
      </c>
    </row>
    <row r="10" spans="1:26">
      <c r="B10" t="s">
        <v>12</v>
      </c>
      <c r="C10" t="s">
        <v>72</v>
      </c>
    </row>
    <row r="12" spans="1:26" ht="15">
      <c r="A12" s="35" t="s">
        <v>13</v>
      </c>
      <c r="B12" s="35"/>
    </row>
    <row r="13" spans="1:26">
      <c r="B13" t="str">
        <f>'Complex HEN'!B26</f>
        <v>AC preheater</v>
      </c>
      <c r="C13" t="str">
        <f>'Complex HEN'!C26</f>
        <v>water</v>
      </c>
      <c r="F13">
        <f>'Complex HEN'!F26</f>
        <v>1754.7200000000005</v>
      </c>
      <c r="G13">
        <f>'Complex HEN'!G26</f>
        <v>30.960026183336428</v>
      </c>
      <c r="H13">
        <f>'Complex HEN'!H26</f>
        <v>309.46358857142855</v>
      </c>
      <c r="I13">
        <f>'Complex HEN'!I26</f>
        <v>323</v>
      </c>
      <c r="K13">
        <f>'Complex HEN'!K26</f>
        <v>1754.7200000000005</v>
      </c>
      <c r="L13">
        <f>'Complex HEN'!L26</f>
        <v>30.960026183336428</v>
      </c>
      <c r="M13">
        <f>'Complex HEN'!M26</f>
        <v>309.46358857142855</v>
      </c>
      <c r="N13">
        <f>'Complex HEN'!N26</f>
        <v>323</v>
      </c>
      <c r="O13">
        <f>'Complex HEN'!O26</f>
        <v>0</v>
      </c>
      <c r="P13">
        <f>'Complex HEN'!P26</f>
        <v>694.9000000000002</v>
      </c>
      <c r="Q13">
        <f>'Complex HEN'!Q26</f>
        <v>30.960026183336428</v>
      </c>
      <c r="R13">
        <f>'Complex HEN'!R26</f>
        <v>317.63934285714288</v>
      </c>
      <c r="S13">
        <f>'Complex HEN'!S26</f>
        <v>323</v>
      </c>
      <c r="U13">
        <f>'Complex HEN'!U26</f>
        <v>694.9000000000002</v>
      </c>
      <c r="V13">
        <f>'Complex HEN'!V26</f>
        <v>30.960026183336428</v>
      </c>
      <c r="W13">
        <f>'Complex HEN'!W26</f>
        <v>317.63934285714288</v>
      </c>
      <c r="X13">
        <f>'Complex HEN'!X26</f>
        <v>323</v>
      </c>
    </row>
    <row r="14" spans="1:26">
      <c r="B14" t="str">
        <f>'Complex HEN'!B27</f>
        <v>AC reheater</v>
      </c>
      <c r="C14" t="str">
        <f>'Complex HEN'!C27</f>
        <v>water</v>
      </c>
      <c r="F14">
        <f>'Complex HEN'!F27</f>
        <v>1068.0000000000002</v>
      </c>
      <c r="G14">
        <f>'Complex HEN'!G27</f>
        <v>21.256269405302124</v>
      </c>
      <c r="H14">
        <f>'Complex HEN'!H27</f>
        <v>341</v>
      </c>
      <c r="I14">
        <f>'Complex HEN'!I27</f>
        <v>353</v>
      </c>
      <c r="K14">
        <f>'Complex HEN'!K27</f>
        <v>1068.0000000000002</v>
      </c>
      <c r="L14">
        <f>'Complex HEN'!L27</f>
        <v>21.256269405302124</v>
      </c>
      <c r="M14">
        <f>'Complex HEN'!M27</f>
        <v>341</v>
      </c>
      <c r="N14">
        <f>'Complex HEN'!N27</f>
        <v>353</v>
      </c>
      <c r="O14">
        <f>'Complex HEN'!O27</f>
        <v>0</v>
      </c>
      <c r="P14">
        <f>'Complex HEN'!P27</f>
        <v>569.60000000000014</v>
      </c>
      <c r="Q14">
        <f>'Complex HEN'!Q27</f>
        <v>21.256269405302124</v>
      </c>
      <c r="R14">
        <f>'Complex HEN'!R27</f>
        <v>346.6</v>
      </c>
      <c r="S14">
        <f>'Complex HEN'!S27</f>
        <v>353</v>
      </c>
      <c r="U14">
        <f>'Complex HEN'!U27</f>
        <v>569.60000000000014</v>
      </c>
      <c r="V14">
        <f>'Complex HEN'!V27</f>
        <v>21.256269405302124</v>
      </c>
      <c r="W14">
        <f>'Complex HEN'!W27</f>
        <v>346.6</v>
      </c>
      <c r="X14">
        <f>'Complex HEN'!X27</f>
        <v>353</v>
      </c>
    </row>
    <row r="15" spans="1:26">
      <c r="B15" t="str">
        <f>'Complex HEN'!B28</f>
        <v>Hot water heater</v>
      </c>
      <c r="C15" t="str">
        <f>'Complex HEN'!C28</f>
        <v>water</v>
      </c>
      <c r="F15">
        <f>'Complex HEN'!F28</f>
        <v>72.585365853658544</v>
      </c>
      <c r="G15" t="str">
        <f>'Complex HEN'!G28</f>
        <v>-</v>
      </c>
      <c r="H15">
        <f>'Complex HEN'!H28</f>
        <v>343</v>
      </c>
      <c r="I15">
        <f>'Complex HEN'!I28</f>
        <v>343</v>
      </c>
      <c r="K15">
        <f>'Complex HEN'!K28</f>
        <v>544.39024390243901</v>
      </c>
      <c r="L15" t="str">
        <f>'Complex HEN'!L28</f>
        <v>-</v>
      </c>
      <c r="M15">
        <f>'Complex HEN'!M28</f>
        <v>343</v>
      </c>
      <c r="N15">
        <f>'Complex HEN'!N28</f>
        <v>343</v>
      </c>
      <c r="O15">
        <f>'Complex HEN'!O28</f>
        <v>0</v>
      </c>
      <c r="P15">
        <f>'Complex HEN'!P28</f>
        <v>90.146341463414643</v>
      </c>
      <c r="Q15" t="str">
        <f>'Complex HEN'!Q28</f>
        <v>-</v>
      </c>
      <c r="R15">
        <f>'Complex HEN'!R28</f>
        <v>343</v>
      </c>
      <c r="S15">
        <f>'Complex HEN'!S28</f>
        <v>343</v>
      </c>
      <c r="U15">
        <f>'Complex HEN'!U28</f>
        <v>676.09756097560978</v>
      </c>
      <c r="V15" t="str">
        <f>'Complex HEN'!V28</f>
        <v>-</v>
      </c>
      <c r="W15">
        <f>'Complex HEN'!W28</f>
        <v>343</v>
      </c>
      <c r="X15">
        <f>'Complex HEN'!X28</f>
        <v>343</v>
      </c>
    </row>
    <row r="16" spans="1:26">
      <c r="B16" t="str">
        <f>'Complex HEN'!B29</f>
        <v>Hot water steam heater</v>
      </c>
      <c r="C16" t="str">
        <f>'Complex HEN'!C29</f>
        <v>water</v>
      </c>
      <c r="F16">
        <f>'Complex HEN'!F29</f>
        <v>22.138536585365856</v>
      </c>
      <c r="G16" t="str">
        <f>'Complex HEN'!G29</f>
        <v>-</v>
      </c>
      <c r="H16">
        <f>'Complex HEN'!H29</f>
        <v>343</v>
      </c>
      <c r="I16">
        <f>'Complex HEN'!I29</f>
        <v>343</v>
      </c>
      <c r="K16">
        <f>'Complex HEN'!K29</f>
        <v>166.0390243902439</v>
      </c>
      <c r="L16" t="str">
        <f>'Complex HEN'!L29</f>
        <v>-</v>
      </c>
      <c r="M16">
        <f>'Complex HEN'!M29</f>
        <v>343</v>
      </c>
      <c r="N16">
        <f>'Complex HEN'!N29</f>
        <v>343</v>
      </c>
      <c r="O16">
        <f>'Complex HEN'!O29</f>
        <v>0</v>
      </c>
      <c r="P16">
        <f>'Complex HEN'!P29</f>
        <v>27.494634146341465</v>
      </c>
      <c r="Q16" t="str">
        <f>'Complex HEN'!Q29</f>
        <v>-</v>
      </c>
      <c r="R16">
        <f>'Complex HEN'!R29</f>
        <v>343</v>
      </c>
      <c r="S16">
        <f>'Complex HEN'!S29</f>
        <v>343</v>
      </c>
      <c r="U16">
        <f>'Complex HEN'!U29</f>
        <v>206.20975609756096</v>
      </c>
      <c r="V16" t="str">
        <f>'Complex HEN'!V29</f>
        <v>-</v>
      </c>
      <c r="W16">
        <f>'Complex HEN'!W29</f>
        <v>343</v>
      </c>
      <c r="X16">
        <f>'Complex HEN'!X29</f>
        <v>343</v>
      </c>
    </row>
    <row r="17" spans="2:24">
      <c r="B17" t="str">
        <f>'Complex HEN'!B30</f>
        <v>Tank heating (HT)</v>
      </c>
      <c r="C17" t="str">
        <f>'Complex HEN'!C30</f>
        <v>fuel oil</v>
      </c>
      <c r="F17">
        <f>'Complex HEN'!F30</f>
        <v>0</v>
      </c>
      <c r="G17">
        <f>'Complex HEN'!G30</f>
        <v>0</v>
      </c>
      <c r="H17">
        <f>'Complex HEN'!H30</f>
        <v>343</v>
      </c>
      <c r="I17">
        <f>'Complex HEN'!I30</f>
        <v>343</v>
      </c>
      <c r="K17">
        <f>'Complex HEN'!K30</f>
        <v>0</v>
      </c>
      <c r="L17">
        <f>'Complex HEN'!L30</f>
        <v>0</v>
      </c>
      <c r="M17">
        <f>'Complex HEN'!M30</f>
        <v>343</v>
      </c>
      <c r="N17">
        <f>'Complex HEN'!N30</f>
        <v>343</v>
      </c>
      <c r="O17">
        <f>'Complex HEN'!O30</f>
        <v>0</v>
      </c>
      <c r="P17">
        <f>'Complex HEN'!P30</f>
        <v>0</v>
      </c>
      <c r="Q17">
        <f>'Complex HEN'!Q30</f>
        <v>0</v>
      </c>
      <c r="R17">
        <f>'Complex HEN'!R30</f>
        <v>343</v>
      </c>
      <c r="S17">
        <f>'Complex HEN'!S30</f>
        <v>343</v>
      </c>
      <c r="U17">
        <f>'Complex HEN'!U30</f>
        <v>0</v>
      </c>
      <c r="V17">
        <f>'Complex HEN'!V30</f>
        <v>0</v>
      </c>
      <c r="W17">
        <f>'Complex HEN'!W30</f>
        <v>343</v>
      </c>
      <c r="X17">
        <f>'Complex HEN'!X30</f>
        <v>343</v>
      </c>
    </row>
    <row r="18" spans="2:24">
      <c r="B18" t="str">
        <f>'Complex HEN'!B31</f>
        <v>Tank heating (LT)</v>
      </c>
      <c r="C18" t="str">
        <f>'Complex HEN'!C31</f>
        <v>fuel oil</v>
      </c>
      <c r="F18">
        <f>'Complex HEN'!F31</f>
        <v>0</v>
      </c>
      <c r="G18">
        <f>'Complex HEN'!G31</f>
        <v>0</v>
      </c>
      <c r="H18">
        <f>'Complex HEN'!H31</f>
        <v>323</v>
      </c>
      <c r="I18">
        <f>'Complex HEN'!I31</f>
        <v>323</v>
      </c>
      <c r="K18">
        <f>'Complex HEN'!K31</f>
        <v>0</v>
      </c>
      <c r="L18">
        <f>'Complex HEN'!L31</f>
        <v>0</v>
      </c>
      <c r="M18">
        <f>'Complex HEN'!M31</f>
        <v>323</v>
      </c>
      <c r="N18">
        <f>'Complex HEN'!N31</f>
        <v>323</v>
      </c>
      <c r="O18">
        <f>'Complex HEN'!O31</f>
        <v>0</v>
      </c>
      <c r="P18">
        <f>'Complex HEN'!P31</f>
        <v>0</v>
      </c>
      <c r="Q18">
        <f>'Complex HEN'!Q31</f>
        <v>0</v>
      </c>
      <c r="R18">
        <f>'Complex HEN'!R31</f>
        <v>323</v>
      </c>
      <c r="S18">
        <f>'Complex HEN'!S31</f>
        <v>323</v>
      </c>
      <c r="U18">
        <f>'Complex HEN'!U31</f>
        <v>0</v>
      </c>
      <c r="V18">
        <f>'Complex HEN'!V31</f>
        <v>0</v>
      </c>
      <c r="W18">
        <f>'Complex HEN'!W31</f>
        <v>323</v>
      </c>
      <c r="X18">
        <f>'Complex HEN'!X31</f>
        <v>323</v>
      </c>
    </row>
    <row r="19" spans="2:24">
      <c r="B19" t="str">
        <f>'Complex HEN'!B32</f>
        <v>Galley</v>
      </c>
      <c r="C19" t="str">
        <f>'Complex HEN'!C32</f>
        <v>steam</v>
      </c>
      <c r="F19">
        <f>'Complex HEN'!F32</f>
        <v>36.413658536585366</v>
      </c>
      <c r="G19">
        <f>'Complex HEN'!G32</f>
        <v>1.7339837398373983E-2</v>
      </c>
      <c r="H19">
        <f>'Complex HEN'!H32</f>
        <v>433</v>
      </c>
      <c r="I19">
        <f>'Complex HEN'!I32</f>
        <v>433</v>
      </c>
      <c r="K19">
        <f>'Complex HEN'!K32</f>
        <v>273.10243902439026</v>
      </c>
      <c r="L19">
        <f>'Complex HEN'!L32</f>
        <v>0.13004878048780488</v>
      </c>
      <c r="M19">
        <f>'Complex HEN'!M32</f>
        <v>433</v>
      </c>
      <c r="N19">
        <f>'Complex HEN'!N32</f>
        <v>433</v>
      </c>
      <c r="O19">
        <f>'Complex HEN'!O32</f>
        <v>0</v>
      </c>
      <c r="P19">
        <f>'Complex HEN'!P32</f>
        <v>45.223414634146344</v>
      </c>
      <c r="Q19">
        <f>'Complex HEN'!Q32</f>
        <v>2.1534959349593496E-2</v>
      </c>
      <c r="R19">
        <f>'Complex HEN'!R32</f>
        <v>433</v>
      </c>
      <c r="S19">
        <f>'Complex HEN'!S32</f>
        <v>433</v>
      </c>
      <c r="U19">
        <f>'Complex HEN'!U32</f>
        <v>339.17560975609757</v>
      </c>
      <c r="V19">
        <f>'Complex HEN'!V32</f>
        <v>0.16151219512195122</v>
      </c>
      <c r="W19">
        <f>'Complex HEN'!W32</f>
        <v>433</v>
      </c>
      <c r="X19">
        <f>'Complex HEN'!X32</f>
        <v>433</v>
      </c>
    </row>
    <row r="20" spans="2:24">
      <c r="B20" t="str">
        <f>'Complex HEN'!B33</f>
        <v>Others</v>
      </c>
      <c r="C20" t="str">
        <f>'Complex HEN'!C33</f>
        <v>steam</v>
      </c>
      <c r="F20">
        <f>'Complex HEN'!F33</f>
        <v>189.60000000000002</v>
      </c>
      <c r="G20">
        <f>'Complex HEN'!G33</f>
        <v>9.0285714285714302E-2</v>
      </c>
      <c r="H20">
        <f>'Complex HEN'!H33</f>
        <v>433</v>
      </c>
      <c r="I20">
        <f>'Complex HEN'!I33</f>
        <v>433</v>
      </c>
      <c r="K20">
        <f>'Complex HEN'!K33</f>
        <v>331.79999999999995</v>
      </c>
      <c r="L20">
        <f>'Complex HEN'!L33</f>
        <v>0.15799999999999997</v>
      </c>
      <c r="M20">
        <f>'Complex HEN'!M33</f>
        <v>433</v>
      </c>
      <c r="N20">
        <f>'Complex HEN'!N33</f>
        <v>433</v>
      </c>
      <c r="O20">
        <f>'Complex HEN'!O33</f>
        <v>0</v>
      </c>
      <c r="P20">
        <f>'Complex HEN'!P33</f>
        <v>189.60000000000002</v>
      </c>
      <c r="Q20">
        <f>'Complex HEN'!Q33</f>
        <v>9.0285714285714302E-2</v>
      </c>
      <c r="R20">
        <f>'Complex HEN'!R33</f>
        <v>433</v>
      </c>
      <c r="S20">
        <f>'Complex HEN'!S33</f>
        <v>433</v>
      </c>
      <c r="U20">
        <f>'Complex HEN'!U33</f>
        <v>331.79999999999995</v>
      </c>
      <c r="V20">
        <f>'Complex HEN'!V33</f>
        <v>0.15799999999999997</v>
      </c>
      <c r="W20">
        <f>'Complex HEN'!W33</f>
        <v>433</v>
      </c>
      <c r="X20">
        <f>'Complex HEN'!X33</f>
        <v>433</v>
      </c>
    </row>
  </sheetData>
  <mergeCells count="6">
    <mergeCell ref="A12:B12"/>
    <mergeCell ref="F3:I3"/>
    <mergeCell ref="K3:N3"/>
    <mergeCell ref="P3:S3"/>
    <mergeCell ref="U3:X3"/>
    <mergeCell ref="A6:B6"/>
  </mergeCells>
  <pageMargins left="0.7" right="0.7" top="0.75" bottom="0.75" header="0.3" footer="0.3"/>
  <pageSetup paperSize="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7"/>
  <sheetViews>
    <sheetView workbookViewId="0">
      <selection activeCell="D11" sqref="D11"/>
    </sheetView>
  </sheetViews>
  <sheetFormatPr defaultRowHeight="14.25"/>
  <cols>
    <col min="2" max="2" width="13.375" bestFit="1" customWidth="1"/>
    <col min="3" max="3" width="6.25" bestFit="1" customWidth="1"/>
    <col min="6" max="6" width="18.75" customWidth="1"/>
    <col min="7" max="7" width="5.75" customWidth="1"/>
  </cols>
  <sheetData>
    <row r="1" spans="2:8">
      <c r="B1" s="36" t="s">
        <v>114</v>
      </c>
      <c r="C1" s="36"/>
      <c r="D1" s="36"/>
      <c r="F1" s="36" t="s">
        <v>115</v>
      </c>
      <c r="G1" s="36"/>
      <c r="H1" s="36"/>
    </row>
    <row r="2" spans="2:8">
      <c r="B2" t="s">
        <v>63</v>
      </c>
      <c r="C2" t="s">
        <v>54</v>
      </c>
      <c r="D2">
        <v>4.1870000000000003</v>
      </c>
      <c r="F2" t="s">
        <v>111</v>
      </c>
      <c r="G2" t="s">
        <v>32</v>
      </c>
      <c r="H2">
        <f>120+273</f>
        <v>393</v>
      </c>
    </row>
    <row r="3" spans="2:8">
      <c r="B3" t="s">
        <v>64</v>
      </c>
      <c r="C3" t="s">
        <v>54</v>
      </c>
      <c r="D3">
        <v>1.04</v>
      </c>
      <c r="F3" t="s">
        <v>113</v>
      </c>
      <c r="G3" t="s">
        <v>32</v>
      </c>
      <c r="H3">
        <f>160+273</f>
        <v>433</v>
      </c>
    </row>
    <row r="4" spans="2:8">
      <c r="B4" t="s">
        <v>82</v>
      </c>
      <c r="C4" t="s">
        <v>54</v>
      </c>
      <c r="D4">
        <v>1.08</v>
      </c>
      <c r="F4" t="s">
        <v>117</v>
      </c>
      <c r="G4" t="s">
        <v>116</v>
      </c>
      <c r="H4">
        <v>120</v>
      </c>
    </row>
    <row r="5" spans="2:8">
      <c r="B5" t="s">
        <v>124</v>
      </c>
      <c r="C5" t="s">
        <v>54</v>
      </c>
      <c r="D5">
        <v>2</v>
      </c>
      <c r="F5" t="s">
        <v>118</v>
      </c>
      <c r="G5" t="s">
        <v>116</v>
      </c>
      <c r="H5">
        <v>120</v>
      </c>
    </row>
    <row r="6" spans="2:8">
      <c r="B6" t="s">
        <v>74</v>
      </c>
      <c r="C6" t="s">
        <v>75</v>
      </c>
      <c r="D6">
        <v>850</v>
      </c>
      <c r="F6" t="s">
        <v>119</v>
      </c>
      <c r="G6" t="s">
        <v>116</v>
      </c>
      <c r="H6">
        <v>120</v>
      </c>
    </row>
    <row r="7" spans="2:8">
      <c r="B7" t="s">
        <v>84</v>
      </c>
      <c r="C7" t="s">
        <v>85</v>
      </c>
      <c r="D7">
        <v>2100</v>
      </c>
      <c r="F7" t="s">
        <v>120</v>
      </c>
      <c r="G7" t="s">
        <v>116</v>
      </c>
      <c r="H7">
        <v>60</v>
      </c>
    </row>
    <row r="8" spans="2:8">
      <c r="B8" t="s">
        <v>87</v>
      </c>
      <c r="C8" t="s">
        <v>32</v>
      </c>
      <c r="D8">
        <f>160+273</f>
        <v>433</v>
      </c>
      <c r="F8" t="s">
        <v>121</v>
      </c>
      <c r="G8" t="s">
        <v>116</v>
      </c>
      <c r="H8">
        <v>60</v>
      </c>
    </row>
    <row r="9" spans="2:8">
      <c r="B9" t="s">
        <v>168</v>
      </c>
      <c r="D9">
        <v>0.92</v>
      </c>
      <c r="F9" t="s">
        <v>122</v>
      </c>
      <c r="G9" t="s">
        <v>116</v>
      </c>
      <c r="H9">
        <v>60</v>
      </c>
    </row>
    <row r="10" spans="2:8">
      <c r="B10" t="s">
        <v>169</v>
      </c>
      <c r="C10" t="s">
        <v>85</v>
      </c>
      <c r="D10">
        <v>41000</v>
      </c>
      <c r="F10" t="s">
        <v>123</v>
      </c>
      <c r="G10" t="s">
        <v>32</v>
      </c>
      <c r="H10">
        <f>60+273</f>
        <v>333</v>
      </c>
    </row>
    <row r="11" spans="2:8">
      <c r="F11" t="s">
        <v>125</v>
      </c>
      <c r="H11">
        <v>0.85</v>
      </c>
    </row>
    <row r="12" spans="2:8">
      <c r="F12" t="s">
        <v>126</v>
      </c>
      <c r="G12" t="s">
        <v>32</v>
      </c>
      <c r="H12">
        <f>90+273</f>
        <v>363</v>
      </c>
    </row>
    <row r="13" spans="2:8">
      <c r="F13" t="s">
        <v>127</v>
      </c>
      <c r="G13" t="s">
        <v>32</v>
      </c>
      <c r="H13">
        <f>36+273</f>
        <v>309</v>
      </c>
    </row>
    <row r="14" spans="2:8">
      <c r="F14" t="s">
        <v>139</v>
      </c>
      <c r="G14" t="s">
        <v>32</v>
      </c>
      <c r="H14">
        <f>70+273</f>
        <v>343</v>
      </c>
    </row>
    <row r="15" spans="2:8">
      <c r="F15" t="s">
        <v>140</v>
      </c>
      <c r="G15" t="s">
        <v>32</v>
      </c>
      <c r="H15">
        <f>50+273</f>
        <v>323</v>
      </c>
    </row>
    <row r="16" spans="2:8">
      <c r="F16" t="s">
        <v>142</v>
      </c>
      <c r="G16" t="s">
        <v>32</v>
      </c>
      <c r="H16">
        <f>70+273</f>
        <v>343</v>
      </c>
    </row>
    <row r="17" spans="6:8">
      <c r="F17" t="s">
        <v>146</v>
      </c>
      <c r="G17" t="s">
        <v>30</v>
      </c>
      <c r="H17">
        <f>1800+250</f>
        <v>2050</v>
      </c>
    </row>
  </sheetData>
  <mergeCells count="2">
    <mergeCell ref="B1:D1"/>
    <mergeCell ref="F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32"/>
  <sheetViews>
    <sheetView workbookViewId="0">
      <selection activeCell="D28" sqref="D28"/>
    </sheetView>
  </sheetViews>
  <sheetFormatPr defaultRowHeight="14.25"/>
  <cols>
    <col min="1" max="1" width="2.75" customWidth="1"/>
    <col min="2" max="2" width="34.75" customWidth="1"/>
    <col min="3" max="3" width="8.125" customWidth="1"/>
    <col min="7" max="7" width="2.875" customWidth="1"/>
    <col min="11" max="11" width="3.5" customWidth="1"/>
    <col min="14" max="14" width="9" customWidth="1"/>
    <col min="15" max="15" width="1.875" customWidth="1"/>
  </cols>
  <sheetData>
    <row r="4" spans="2:18">
      <c r="D4" s="36" t="s">
        <v>5</v>
      </c>
      <c r="E4" s="36"/>
      <c r="F4" s="36"/>
      <c r="H4" s="36" t="s">
        <v>6</v>
      </c>
      <c r="I4" s="36"/>
      <c r="J4" s="36"/>
      <c r="L4" s="36" t="s">
        <v>7</v>
      </c>
      <c r="M4" s="36"/>
      <c r="N4" s="36"/>
      <c r="P4" s="36" t="s">
        <v>8</v>
      </c>
      <c r="Q4" s="36"/>
      <c r="R4" s="36"/>
    </row>
    <row r="5" spans="2:18">
      <c r="D5" t="s">
        <v>158</v>
      </c>
      <c r="E5" t="s">
        <v>159</v>
      </c>
      <c r="F5" t="s">
        <v>160</v>
      </c>
      <c r="H5" t="s">
        <v>158</v>
      </c>
      <c r="I5" t="s">
        <v>159</v>
      </c>
      <c r="J5" t="s">
        <v>160</v>
      </c>
      <c r="L5" t="s">
        <v>158</v>
      </c>
      <c r="M5" t="s">
        <v>159</v>
      </c>
      <c r="N5" t="s">
        <v>160</v>
      </c>
      <c r="P5" t="s">
        <v>158</v>
      </c>
      <c r="Q5" t="s">
        <v>159</v>
      </c>
      <c r="R5" t="s">
        <v>160</v>
      </c>
    </row>
    <row r="6" spans="2:18">
      <c r="B6" t="s">
        <v>161</v>
      </c>
      <c r="D6" s="36">
        <v>3140</v>
      </c>
      <c r="E6" s="36"/>
      <c r="F6" s="36"/>
      <c r="H6" s="36">
        <v>4140</v>
      </c>
      <c r="I6" s="36"/>
      <c r="J6" s="36"/>
      <c r="L6" s="36">
        <v>1620</v>
      </c>
      <c r="M6" s="36"/>
      <c r="N6" s="36"/>
      <c r="P6" s="36">
        <v>2820</v>
      </c>
      <c r="Q6" s="36"/>
      <c r="R6" s="36"/>
    </row>
    <row r="7" spans="2:18">
      <c r="B7" t="s">
        <v>162</v>
      </c>
      <c r="D7">
        <v>0</v>
      </c>
      <c r="E7">
        <v>1170</v>
      </c>
      <c r="F7">
        <v>1760</v>
      </c>
      <c r="H7">
        <v>0</v>
      </c>
      <c r="I7">
        <v>1085</v>
      </c>
      <c r="J7">
        <v>2550</v>
      </c>
      <c r="L7">
        <v>0</v>
      </c>
      <c r="M7">
        <v>925</v>
      </c>
      <c r="N7">
        <v>1385</v>
      </c>
      <c r="P7">
        <v>0</v>
      </c>
      <c r="Q7">
        <v>1085</v>
      </c>
      <c r="R7">
        <v>1670</v>
      </c>
    </row>
    <row r="8" spans="2:18">
      <c r="B8" t="s">
        <v>163</v>
      </c>
      <c r="D8">
        <f>D6-D7</f>
        <v>3140</v>
      </c>
      <c r="E8">
        <f>D6-E7</f>
        <v>1970</v>
      </c>
      <c r="F8">
        <f>D6-F7</f>
        <v>1380</v>
      </c>
      <c r="H8">
        <f>H6-H7</f>
        <v>4140</v>
      </c>
      <c r="I8">
        <f>H6-I7</f>
        <v>3055</v>
      </c>
      <c r="J8">
        <f>H6-J7</f>
        <v>1590</v>
      </c>
      <c r="L8">
        <f>L6-L7</f>
        <v>1620</v>
      </c>
      <c r="M8">
        <f>L6-M7</f>
        <v>695</v>
      </c>
      <c r="N8">
        <f>L6-N7</f>
        <v>235</v>
      </c>
      <c r="P8">
        <f>P6-P7</f>
        <v>2820</v>
      </c>
      <c r="Q8">
        <f>P6-Q7</f>
        <v>1735</v>
      </c>
      <c r="R8">
        <f>P6-R7</f>
        <v>1150</v>
      </c>
    </row>
    <row r="9" spans="2:18">
      <c r="B9" t="s">
        <v>164</v>
      </c>
      <c r="D9" s="37">
        <f>'Simplifed HEN'!F9</f>
        <v>2056.3200000000002</v>
      </c>
      <c r="E9" s="37"/>
      <c r="F9" s="37"/>
      <c r="H9" s="37">
        <f>'Simplifed HEN'!K9</f>
        <v>3548.6640000000007</v>
      </c>
      <c r="I9" s="37"/>
      <c r="J9" s="37"/>
      <c r="L9" s="37">
        <f>D9</f>
        <v>2056.3200000000002</v>
      </c>
      <c r="M9" s="36"/>
      <c r="N9" s="36"/>
      <c r="P9" s="37">
        <f>H9</f>
        <v>3548.6640000000007</v>
      </c>
      <c r="Q9" s="36"/>
      <c r="R9" s="36"/>
    </row>
    <row r="10" spans="2:18">
      <c r="B10" t="s">
        <v>165</v>
      </c>
      <c r="D10" s="4">
        <f>MAX(D9-D8,0)</f>
        <v>0</v>
      </c>
      <c r="E10" s="4">
        <f>MAX(D9-E8,0)</f>
        <v>86.320000000000164</v>
      </c>
      <c r="F10" s="4">
        <f>MAX(D9-F8,0)</f>
        <v>676.32000000000016</v>
      </c>
      <c r="H10" s="4">
        <f>MAX(H9-H8,0)</f>
        <v>0</v>
      </c>
      <c r="I10" s="4">
        <f>MAX(H9-I8,0)</f>
        <v>493.66400000000067</v>
      </c>
      <c r="J10" s="4">
        <f>MAX(H9-J8,0)</f>
        <v>1958.6640000000007</v>
      </c>
      <c r="L10" s="4">
        <f>MAX(L9-L8,0)</f>
        <v>436.32000000000016</v>
      </c>
      <c r="M10" s="4">
        <f>MAX(L9-M8,0)</f>
        <v>1361.3200000000002</v>
      </c>
      <c r="N10" s="4">
        <f>MAX(L9-N8,0)</f>
        <v>1821.3200000000002</v>
      </c>
      <c r="P10" s="4">
        <f>MAX(P9-P8,0)</f>
        <v>728.66400000000067</v>
      </c>
      <c r="Q10" s="4">
        <f>MAX(P9-Q8,0)</f>
        <v>1813.6640000000007</v>
      </c>
      <c r="R10" s="4">
        <f>MAX(P9-R8,0)</f>
        <v>2398.6640000000007</v>
      </c>
    </row>
    <row r="11" spans="2:18">
      <c r="B11" t="s">
        <v>166</v>
      </c>
      <c r="D11" s="4">
        <f>MAX(D8-D9,0)</f>
        <v>1083.6799999999998</v>
      </c>
      <c r="E11" s="4">
        <f>MAX(E8-D9,0)</f>
        <v>0</v>
      </c>
      <c r="F11" s="4">
        <f>MAX(F8-D9,0)</f>
        <v>0</v>
      </c>
      <c r="H11" s="4">
        <f>MAX(H8-H9,0)</f>
        <v>591.33599999999933</v>
      </c>
      <c r="I11" s="4">
        <f>MAX(I8-H9,0)</f>
        <v>0</v>
      </c>
      <c r="J11" s="4">
        <f>MAX(J8-H9,0)</f>
        <v>0</v>
      </c>
      <c r="L11" s="4">
        <f>MAX(L8-L9,0)</f>
        <v>0</v>
      </c>
      <c r="M11" s="4">
        <f>MAX(M8-L9,0)</f>
        <v>0</v>
      </c>
      <c r="N11" s="4">
        <f>MAX(N8-L9,0)</f>
        <v>0</v>
      </c>
      <c r="P11" s="4">
        <f>MAX(P8-P9,0)</f>
        <v>0</v>
      </c>
      <c r="Q11" s="4">
        <f>MAX(Q8-P9,0)</f>
        <v>0</v>
      </c>
      <c r="R11" s="4">
        <f>MAX(R8-P9,0)</f>
        <v>0</v>
      </c>
    </row>
    <row r="12" spans="2:18">
      <c r="B12" t="s">
        <v>167</v>
      </c>
      <c r="D12">
        <v>0</v>
      </c>
      <c r="E12" s="25">
        <f>D11/Constants!$D$10/Constants!$D$9</f>
        <v>2.8729586426299039E-2</v>
      </c>
      <c r="F12" s="25">
        <f>D11/Constants!$D$10/Constants!$D$9</f>
        <v>2.8729586426299039E-2</v>
      </c>
      <c r="H12">
        <v>0</v>
      </c>
      <c r="I12" s="25">
        <f>H11/Constants!$D$10/Constants!$D$9</f>
        <v>1.5676988335100724E-2</v>
      </c>
      <c r="J12" s="25">
        <f>H11/Constants!$D$10/Constants!$D$9</f>
        <v>1.5676988335100724E-2</v>
      </c>
      <c r="L12">
        <v>0</v>
      </c>
      <c r="M12">
        <v>0</v>
      </c>
      <c r="N12">
        <v>0</v>
      </c>
      <c r="P12">
        <v>0</v>
      </c>
      <c r="Q12">
        <v>0</v>
      </c>
      <c r="R12">
        <v>0</v>
      </c>
    </row>
    <row r="22" spans="2:6" ht="15.75">
      <c r="B22" s="26" t="s">
        <v>170</v>
      </c>
      <c r="C22" s="27">
        <v>3140</v>
      </c>
      <c r="D22" s="27">
        <v>4140</v>
      </c>
      <c r="E22" s="27">
        <v>1620</v>
      </c>
      <c r="F22" s="27">
        <v>2820</v>
      </c>
    </row>
    <row r="23" spans="2:6" ht="15.75">
      <c r="B23" s="26" t="s">
        <v>171</v>
      </c>
      <c r="C23" s="27">
        <v>1760</v>
      </c>
      <c r="D23" s="27">
        <v>2550</v>
      </c>
      <c r="E23" s="27">
        <v>1770</v>
      </c>
      <c r="F23" s="27">
        <v>2550</v>
      </c>
    </row>
    <row r="24" spans="2:6" ht="15.75">
      <c r="B24" s="26" t="s">
        <v>172</v>
      </c>
      <c r="C24" s="28"/>
      <c r="D24" s="28"/>
      <c r="E24" s="28"/>
      <c r="F24" s="28"/>
    </row>
    <row r="25" spans="2:6" ht="15.75">
      <c r="B25" s="29" t="s">
        <v>173</v>
      </c>
      <c r="C25" s="27">
        <v>1970</v>
      </c>
      <c r="D25" s="27">
        <v>3055</v>
      </c>
      <c r="E25" s="27">
        <v>695</v>
      </c>
      <c r="F25" s="27">
        <v>1735</v>
      </c>
    </row>
    <row r="26" spans="2:6" ht="15.75">
      <c r="B26" s="29" t="s">
        <v>174</v>
      </c>
      <c r="C26" s="27">
        <v>1380</v>
      </c>
      <c r="D26" s="27">
        <v>1590</v>
      </c>
      <c r="E26" s="27">
        <v>235</v>
      </c>
      <c r="F26" s="27">
        <v>880</v>
      </c>
    </row>
    <row r="27" spans="2:6" ht="15.75">
      <c r="B27" s="26" t="s">
        <v>175</v>
      </c>
      <c r="C27" s="28"/>
      <c r="D27" s="28"/>
      <c r="E27" s="28"/>
      <c r="F27" s="28"/>
    </row>
    <row r="28" spans="2:6" ht="15.75">
      <c r="B28" s="29" t="s">
        <v>173</v>
      </c>
      <c r="C28" s="27">
        <v>590</v>
      </c>
      <c r="D28" s="27">
        <v>1465</v>
      </c>
      <c r="E28" s="27">
        <v>845</v>
      </c>
      <c r="F28" s="27">
        <v>1465</v>
      </c>
    </row>
    <row r="29" spans="2:6" ht="15.75">
      <c r="B29" s="29" t="s">
        <v>174</v>
      </c>
      <c r="C29" s="27">
        <v>0</v>
      </c>
      <c r="D29" s="27">
        <v>0</v>
      </c>
      <c r="E29" s="27">
        <v>385</v>
      </c>
      <c r="F29" s="27">
        <v>610</v>
      </c>
    </row>
    <row r="30" spans="2:6" ht="15.75">
      <c r="B30" s="26" t="s">
        <v>176</v>
      </c>
      <c r="C30" s="27"/>
      <c r="D30" s="27"/>
      <c r="E30" s="27"/>
      <c r="F30" s="27"/>
    </row>
    <row r="31" spans="2:6" ht="15.75">
      <c r="B31" s="29" t="s">
        <v>173</v>
      </c>
      <c r="C31" s="27">
        <v>1170</v>
      </c>
      <c r="D31" s="27">
        <v>1085</v>
      </c>
      <c r="E31" s="27">
        <v>925</v>
      </c>
      <c r="F31" s="27">
        <v>1085</v>
      </c>
    </row>
    <row r="32" spans="2:6" ht="16.5" thickBot="1">
      <c r="B32" s="30" t="s">
        <v>174</v>
      </c>
      <c r="C32" s="31">
        <v>1760</v>
      </c>
      <c r="D32" s="31">
        <v>2550</v>
      </c>
      <c r="E32" s="31">
        <v>1385</v>
      </c>
      <c r="F32" s="31">
        <v>1670</v>
      </c>
    </row>
  </sheetData>
  <mergeCells count="12">
    <mergeCell ref="D9:F9"/>
    <mergeCell ref="H9:J9"/>
    <mergeCell ref="L9:N9"/>
    <mergeCell ref="P9:R9"/>
    <mergeCell ref="D4:F4"/>
    <mergeCell ref="H4:J4"/>
    <mergeCell ref="L4:N4"/>
    <mergeCell ref="P4:R4"/>
    <mergeCell ref="D6:F6"/>
    <mergeCell ref="H6:J6"/>
    <mergeCell ref="L6:N6"/>
    <mergeCell ref="P6:R6"/>
  </mergeCells>
  <pageMargins left="0.7" right="0.7" top="0.75" bottom="0.75" header="0.3" footer="0.3"/>
  <pageSetup paperSize="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Cases</vt:lpstr>
      <vt:lpstr>Heat exchangers</vt:lpstr>
      <vt:lpstr>Complex HEN</vt:lpstr>
      <vt:lpstr>Simplifed HEN</vt:lpstr>
      <vt:lpstr>Constants</vt:lpstr>
      <vt:lpstr>Results</vt:lpstr>
    </vt:vector>
  </TitlesOfParts>
  <Company>Chalmers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Francesco Baldi</dc:creator>
  <cp:lastModifiedBy>Reviewer</cp:lastModifiedBy>
  <dcterms:created xsi:type="dcterms:W3CDTF">2016-01-16T16:06:39Z</dcterms:created>
  <dcterms:modified xsi:type="dcterms:W3CDTF">2016-02-11T11:54:48Z</dcterms:modified>
</cp:coreProperties>
</file>