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toit-my.sharepoint.com/personal/s331702_studenti_polito_it/Documents/Costruzione Motori/"/>
    </mc:Choice>
  </mc:AlternateContent>
  <xr:revisionPtr revIDLastSave="47" documentId="13_ncr:1_{3A53C144-AC1A-43B7-B04C-223E8ED08AA5}" xr6:coauthVersionLast="47" xr6:coauthVersionMax="47" xr10:uidLastSave="{55846613-F929-4DFE-82AC-F4002F3A4D7D}"/>
  <bookViews>
    <workbookView xWindow="-120" yWindow="-120" windowWidth="38640" windowHeight="21120" xr2:uid="{77D01D3A-3408-4A1A-9C90-374544D5A56D}"/>
  </bookViews>
  <sheets>
    <sheet name="Grammel" sheetId="7" r:id="rId1"/>
    <sheet name="pale" sheetId="12" r:id="rId2"/>
    <sheet name="disco" sheetId="13" r:id="rId3"/>
    <sheet name="temperatura" sheetId="14" r:id="rId4"/>
    <sheet name="grafici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7" l="1"/>
  <c r="J57" i="7"/>
  <c r="J50" i="7"/>
  <c r="D54" i="14"/>
  <c r="L54" i="14" s="1"/>
  <c r="C54" i="14"/>
  <c r="D49" i="14"/>
  <c r="L49" i="14" s="1"/>
  <c r="C49" i="14"/>
  <c r="G49" i="14" s="1"/>
  <c r="S47" i="14" a="1"/>
  <c r="S47" i="14" s="1"/>
  <c r="P43" i="14"/>
  <c r="V14" i="14" a="1"/>
  <c r="V14" i="14" s="1"/>
  <c r="C11" i="14"/>
  <c r="C10" i="14"/>
  <c r="Q9" i="14"/>
  <c r="J9" i="14"/>
  <c r="L9" i="14" s="1"/>
  <c r="H9" i="14"/>
  <c r="Q8" i="14"/>
  <c r="C52" i="14" s="1"/>
  <c r="J8" i="14"/>
  <c r="H8" i="14"/>
  <c r="Q7" i="14"/>
  <c r="J7" i="14"/>
  <c r="L7" i="14" s="1"/>
  <c r="H7" i="14"/>
  <c r="Q6" i="14"/>
  <c r="C50" i="14" s="1"/>
  <c r="J6" i="14"/>
  <c r="H6" i="14"/>
  <c r="M5" i="14"/>
  <c r="L5" i="14"/>
  <c r="H5" i="14"/>
  <c r="G5" i="14"/>
  <c r="W4" i="14"/>
  <c r="V15" i="14" s="1" a="1"/>
  <c r="D54" i="13"/>
  <c r="C54" i="13"/>
  <c r="D49" i="13"/>
  <c r="E49" i="13" s="1"/>
  <c r="C49" i="13"/>
  <c r="G49" i="13" s="1"/>
  <c r="S47" i="13" a="1"/>
  <c r="S47" i="13" s="1"/>
  <c r="P43" i="13"/>
  <c r="V14" i="13" a="1"/>
  <c r="V14" i="13" s="1"/>
  <c r="C11" i="13"/>
  <c r="C10" i="13"/>
  <c r="Q9" i="13"/>
  <c r="C53" i="13" s="1"/>
  <c r="J9" i="13"/>
  <c r="H9" i="13"/>
  <c r="G34" i="13" s="1"/>
  <c r="P44" i="13" s="1"/>
  <c r="Q8" i="13"/>
  <c r="C52" i="13" s="1"/>
  <c r="J8" i="13"/>
  <c r="H8" i="13"/>
  <c r="Q7" i="13"/>
  <c r="C51" i="13" s="1"/>
  <c r="J7" i="13"/>
  <c r="H7" i="13"/>
  <c r="Q6" i="13"/>
  <c r="C50" i="13" s="1"/>
  <c r="J6" i="13"/>
  <c r="H6" i="13"/>
  <c r="G7" i="13" s="1"/>
  <c r="I7" i="13" s="1"/>
  <c r="M5" i="13"/>
  <c r="L5" i="13"/>
  <c r="H5" i="13"/>
  <c r="G5" i="13"/>
  <c r="W4" i="13"/>
  <c r="V15" i="13" s="1" a="1"/>
  <c r="D54" i="12"/>
  <c r="C54" i="12"/>
  <c r="D49" i="12"/>
  <c r="C49" i="12"/>
  <c r="G49" i="12" s="1"/>
  <c r="S47" i="12" a="1"/>
  <c r="S47" i="12" s="1"/>
  <c r="P43" i="12"/>
  <c r="V14" i="12" a="1"/>
  <c r="V14" i="12" s="1"/>
  <c r="C11" i="12"/>
  <c r="C10" i="12"/>
  <c r="Q9" i="12"/>
  <c r="J9" i="12"/>
  <c r="H9" i="12"/>
  <c r="Q8" i="12"/>
  <c r="J8" i="12"/>
  <c r="M8" i="12" s="1"/>
  <c r="N8" i="12" s="1"/>
  <c r="H8" i="12"/>
  <c r="Q7" i="12"/>
  <c r="J7" i="12"/>
  <c r="H7" i="12"/>
  <c r="Q6" i="12"/>
  <c r="C50" i="12" s="1"/>
  <c r="J6" i="12"/>
  <c r="M6" i="12" s="1"/>
  <c r="H6" i="12"/>
  <c r="M5" i="12"/>
  <c r="S5" i="12" s="1"/>
  <c r="L5" i="12"/>
  <c r="H5" i="12"/>
  <c r="G5" i="12"/>
  <c r="I5" i="12" s="1"/>
  <c r="W4" i="12"/>
  <c r="V15" i="12" s="1" a="1"/>
  <c r="C48" i="11"/>
  <c r="C49" i="11"/>
  <c r="C50" i="11"/>
  <c r="C51" i="11"/>
  <c r="C52" i="11"/>
  <c r="C53" i="11"/>
  <c r="C54" i="11"/>
  <c r="C55" i="11"/>
  <c r="C56" i="11"/>
  <c r="C47" i="11"/>
  <c r="D48" i="11"/>
  <c r="D49" i="11"/>
  <c r="D50" i="11"/>
  <c r="D51" i="11"/>
  <c r="D52" i="11"/>
  <c r="D53" i="11"/>
  <c r="D54" i="11"/>
  <c r="D55" i="11"/>
  <c r="D56" i="11"/>
  <c r="D47" i="11"/>
  <c r="D54" i="7"/>
  <c r="D49" i="7"/>
  <c r="S47" i="7" a="1"/>
  <c r="S47" i="7" s="1"/>
  <c r="C54" i="7"/>
  <c r="C49" i="7"/>
  <c r="G49" i="7" s="1"/>
  <c r="P43" i="7"/>
  <c r="C11" i="7"/>
  <c r="C10" i="7"/>
  <c r="V14" i="7" a="1"/>
  <c r="V14" i="7" s="1"/>
  <c r="W4" i="7"/>
  <c r="V15" i="7" s="1" a="1"/>
  <c r="V15" i="7" s="1"/>
  <c r="H9" i="7"/>
  <c r="B54" i="7" s="1"/>
  <c r="H8" i="7"/>
  <c r="G9" i="7" s="1"/>
  <c r="H7" i="7"/>
  <c r="G8" i="7" s="1"/>
  <c r="H6" i="7"/>
  <c r="G7" i="7" s="1"/>
  <c r="H5" i="7"/>
  <c r="G6" i="7" s="1"/>
  <c r="G5" i="7"/>
  <c r="J7" i="7"/>
  <c r="M7" i="7" s="1"/>
  <c r="J8" i="7"/>
  <c r="L8" i="7" s="1"/>
  <c r="J9" i="7"/>
  <c r="L9" i="7" s="1"/>
  <c r="J6" i="7"/>
  <c r="M6" i="7" s="1"/>
  <c r="Q7" i="7"/>
  <c r="C51" i="7" s="1"/>
  <c r="Q8" i="7"/>
  <c r="C52" i="7" s="1"/>
  <c r="Q9" i="7"/>
  <c r="C53" i="7" s="1"/>
  <c r="Q6" i="7"/>
  <c r="C50" i="7" s="1"/>
  <c r="M5" i="7"/>
  <c r="L5" i="7"/>
  <c r="S5" i="7" l="1"/>
  <c r="N5" i="7"/>
  <c r="S6" i="7"/>
  <c r="N6" i="7"/>
  <c r="S7" i="7"/>
  <c r="N7" i="7"/>
  <c r="N13" i="7"/>
  <c r="N14" i="7"/>
  <c r="N12" i="7"/>
  <c r="L49" i="7"/>
  <c r="E49" i="7"/>
  <c r="L54" i="7"/>
  <c r="E54" i="7"/>
  <c r="N6" i="12"/>
  <c r="S6" i="12"/>
  <c r="D51" i="12"/>
  <c r="M7" i="12"/>
  <c r="L7" i="12"/>
  <c r="D53" i="12"/>
  <c r="M9" i="12"/>
  <c r="S9" i="12" s="1"/>
  <c r="L9" i="12"/>
  <c r="C13" i="12"/>
  <c r="L54" i="12"/>
  <c r="E54" i="12"/>
  <c r="I5" i="13"/>
  <c r="G6" i="13"/>
  <c r="S5" i="13"/>
  <c r="N5" i="13"/>
  <c r="D50" i="13"/>
  <c r="M6" i="13"/>
  <c r="G8" i="13"/>
  <c r="I8" i="13" s="1"/>
  <c r="D51" i="13"/>
  <c r="M7" i="13"/>
  <c r="N7" i="13" s="1"/>
  <c r="D23" i="13" s="1"/>
  <c r="G9" i="13"/>
  <c r="D52" i="13"/>
  <c r="M8" i="13"/>
  <c r="D53" i="13"/>
  <c r="M9" i="13"/>
  <c r="N9" i="13" s="1"/>
  <c r="C13" i="13"/>
  <c r="P36" i="13"/>
  <c r="N5" i="14"/>
  <c r="S5" i="14"/>
  <c r="D50" i="14"/>
  <c r="L50" i="14" s="1"/>
  <c r="M6" i="14"/>
  <c r="L6" i="14"/>
  <c r="D52" i="14"/>
  <c r="L52" i="14" s="1"/>
  <c r="M8" i="14"/>
  <c r="L8" i="14"/>
  <c r="P36" i="14"/>
  <c r="N15" i="14"/>
  <c r="C51" i="14"/>
  <c r="C53" i="14"/>
  <c r="E54" i="14"/>
  <c r="C13" i="14"/>
  <c r="G6" i="14"/>
  <c r="G8" i="14"/>
  <c r="D51" i="14"/>
  <c r="D53" i="14"/>
  <c r="I6" i="14"/>
  <c r="M7" i="14"/>
  <c r="M9" i="14"/>
  <c r="N12" i="14"/>
  <c r="O12" i="14" s="1"/>
  <c r="V15" i="14"/>
  <c r="F49" i="14" s="1" a="1"/>
  <c r="F49" i="14" s="1"/>
  <c r="E49" i="14"/>
  <c r="G7" i="14"/>
  <c r="I7" i="14" s="1"/>
  <c r="G9" i="14"/>
  <c r="N16" i="14"/>
  <c r="G21" i="14"/>
  <c r="B54" i="14"/>
  <c r="H21" i="14"/>
  <c r="G34" i="14"/>
  <c r="P44" i="14" s="1"/>
  <c r="I5" i="14"/>
  <c r="N13" i="14"/>
  <c r="E50" i="14"/>
  <c r="E52" i="14"/>
  <c r="V15" i="13"/>
  <c r="E50" i="13"/>
  <c r="E51" i="13"/>
  <c r="N16" i="13"/>
  <c r="O16" i="13" s="1"/>
  <c r="N12" i="13"/>
  <c r="O12" i="13" s="1"/>
  <c r="N14" i="13"/>
  <c r="O14" i="13" s="1"/>
  <c r="N13" i="13"/>
  <c r="N15" i="13"/>
  <c r="H23" i="13"/>
  <c r="E23" i="13"/>
  <c r="M24" i="13" s="1"/>
  <c r="E53" i="13"/>
  <c r="E52" i="13"/>
  <c r="G25" i="13"/>
  <c r="F23" i="13"/>
  <c r="S7" i="13"/>
  <c r="S9" i="13"/>
  <c r="C21" i="13"/>
  <c r="D21" i="13"/>
  <c r="H25" i="13"/>
  <c r="E54" i="13"/>
  <c r="L7" i="13"/>
  <c r="L9" i="13"/>
  <c r="E21" i="13"/>
  <c r="M20" i="13" s="1"/>
  <c r="G23" i="13"/>
  <c r="G21" i="13"/>
  <c r="C23" i="13"/>
  <c r="B54" i="13"/>
  <c r="L6" i="13"/>
  <c r="L8" i="13"/>
  <c r="G9" i="12"/>
  <c r="N15" i="12"/>
  <c r="O15" i="12" s="1"/>
  <c r="N13" i="12"/>
  <c r="O13" i="12" s="1"/>
  <c r="N12" i="12"/>
  <c r="N16" i="12"/>
  <c r="N5" i="12"/>
  <c r="S7" i="12"/>
  <c r="N7" i="12"/>
  <c r="N14" i="12"/>
  <c r="V15" i="12"/>
  <c r="G7" i="12"/>
  <c r="C52" i="12"/>
  <c r="I9" i="12"/>
  <c r="S8" i="12"/>
  <c r="P36" i="12"/>
  <c r="L49" i="12"/>
  <c r="E49" i="12"/>
  <c r="L53" i="12"/>
  <c r="E53" i="12"/>
  <c r="L51" i="12"/>
  <c r="E51" i="12"/>
  <c r="G6" i="12"/>
  <c r="G8" i="12"/>
  <c r="D21" i="12"/>
  <c r="C51" i="12"/>
  <c r="C53" i="12"/>
  <c r="B54" i="12"/>
  <c r="L6" i="12"/>
  <c r="N9" i="12"/>
  <c r="H25" i="12" s="1"/>
  <c r="L8" i="12"/>
  <c r="G34" i="12"/>
  <c r="P44" i="12" s="1"/>
  <c r="D50" i="12"/>
  <c r="D52" i="12"/>
  <c r="O14" i="7"/>
  <c r="O12" i="7"/>
  <c r="D50" i="7"/>
  <c r="D53" i="7"/>
  <c r="E53" i="7" s="1"/>
  <c r="D52" i="7"/>
  <c r="D51" i="7"/>
  <c r="E51" i="7" s="1"/>
  <c r="B49" i="7" a="1"/>
  <c r="P36" i="7"/>
  <c r="C13" i="7"/>
  <c r="G34" i="7"/>
  <c r="P44" i="7" s="1"/>
  <c r="I8" i="7"/>
  <c r="I5" i="7"/>
  <c r="I9" i="7"/>
  <c r="I6" i="7"/>
  <c r="I7" i="7"/>
  <c r="M9" i="7"/>
  <c r="M8" i="7"/>
  <c r="L6" i="7"/>
  <c r="L7" i="7"/>
  <c r="N8" i="7" l="1"/>
  <c r="N15" i="7"/>
  <c r="O15" i="7" s="1"/>
  <c r="S9" i="7"/>
  <c r="N9" i="7"/>
  <c r="N16" i="7"/>
  <c r="O16" i="7" s="1"/>
  <c r="K51" i="7"/>
  <c r="K52" i="7"/>
  <c r="K53" i="7"/>
  <c r="K54" i="7"/>
  <c r="L52" i="7"/>
  <c r="E52" i="7"/>
  <c r="L50" i="7"/>
  <c r="E50" i="7"/>
  <c r="H22" i="12"/>
  <c r="G22" i="12"/>
  <c r="I6" i="12"/>
  <c r="J58" i="12"/>
  <c r="F21" i="14"/>
  <c r="C21" i="14"/>
  <c r="E21" i="14"/>
  <c r="M20" i="14" s="1"/>
  <c r="D21" i="14"/>
  <c r="S8" i="14"/>
  <c r="N8" i="14"/>
  <c r="S6" i="14"/>
  <c r="N6" i="14"/>
  <c r="N8" i="13"/>
  <c r="S8" i="13"/>
  <c r="I9" i="13"/>
  <c r="N6" i="13"/>
  <c r="S6" i="13"/>
  <c r="J58" i="13" s="1"/>
  <c r="F21" i="13"/>
  <c r="H21" i="13"/>
  <c r="I6" i="13"/>
  <c r="B49" i="13" a="1"/>
  <c r="O13" i="7"/>
  <c r="S7" i="14"/>
  <c r="N7" i="14"/>
  <c r="O5" i="14" a="1"/>
  <c r="N14" i="14"/>
  <c r="L53" i="14"/>
  <c r="E53" i="14"/>
  <c r="B49" i="14" a="1"/>
  <c r="E22" i="14"/>
  <c r="M22" i="14" s="1"/>
  <c r="C22" i="14"/>
  <c r="M21" i="14" s="1"/>
  <c r="F22" i="14"/>
  <c r="H22" i="14"/>
  <c r="L51" i="14"/>
  <c r="E51" i="14"/>
  <c r="M19" i="14"/>
  <c r="S9" i="14"/>
  <c r="N9" i="14"/>
  <c r="E23" i="14"/>
  <c r="M24" i="14" s="1"/>
  <c r="N19" i="14"/>
  <c r="I8" i="14"/>
  <c r="H24" i="14"/>
  <c r="I9" i="14"/>
  <c r="K54" i="13"/>
  <c r="M23" i="13"/>
  <c r="N19" i="13"/>
  <c r="N23" i="13"/>
  <c r="M19" i="13"/>
  <c r="N24" i="13"/>
  <c r="N20" i="13"/>
  <c r="H23" i="12"/>
  <c r="G23" i="12"/>
  <c r="L52" i="12"/>
  <c r="E52" i="12"/>
  <c r="D25" i="12"/>
  <c r="C25" i="12"/>
  <c r="J22" i="12"/>
  <c r="J23" i="12"/>
  <c r="I22" i="12"/>
  <c r="I23" i="12"/>
  <c r="J25" i="12"/>
  <c r="I24" i="12"/>
  <c r="J24" i="12"/>
  <c r="I25" i="12"/>
  <c r="L50" i="12"/>
  <c r="E50" i="12"/>
  <c r="G24" i="12"/>
  <c r="B49" i="12" a="1"/>
  <c r="E22" i="12"/>
  <c r="M22" i="12" s="1"/>
  <c r="F22" i="12"/>
  <c r="N22" i="12" s="1"/>
  <c r="C22" i="12"/>
  <c r="O14" i="12"/>
  <c r="G21" i="12"/>
  <c r="F21" i="12"/>
  <c r="E21" i="12"/>
  <c r="M20" i="12" s="1"/>
  <c r="C21" i="12"/>
  <c r="D22" i="12"/>
  <c r="I7" i="12"/>
  <c r="O16" i="12"/>
  <c r="F25" i="12"/>
  <c r="E25" i="12"/>
  <c r="M28" i="12" s="1"/>
  <c r="H21" i="12"/>
  <c r="H24" i="12"/>
  <c r="I8" i="12"/>
  <c r="D24" i="12" s="1"/>
  <c r="G25" i="12"/>
  <c r="O12" i="12"/>
  <c r="F49" i="7" a="1"/>
  <c r="F49" i="7" s="1"/>
  <c r="L51" i="7"/>
  <c r="S8" i="7"/>
  <c r="J58" i="7" s="1"/>
  <c r="L53" i="7"/>
  <c r="B49" i="7"/>
  <c r="G21" i="7"/>
  <c r="O5" i="7" a="1"/>
  <c r="J25" i="7" s="1"/>
  <c r="K50" i="7" l="1"/>
  <c r="K56" i="7" s="1"/>
  <c r="N28" i="12"/>
  <c r="E23" i="12"/>
  <c r="M24" i="12" s="1"/>
  <c r="C23" i="12"/>
  <c r="F23" i="12"/>
  <c r="D23" i="12"/>
  <c r="Q22" i="12"/>
  <c r="M27" i="12"/>
  <c r="E25" i="14"/>
  <c r="M28" i="14" s="1"/>
  <c r="F25" i="14"/>
  <c r="D24" i="14"/>
  <c r="F24" i="14"/>
  <c r="K52" i="13"/>
  <c r="K53" i="13"/>
  <c r="K51" i="13"/>
  <c r="B49" i="13"/>
  <c r="K50" i="13" s="1"/>
  <c r="K56" i="13" s="1"/>
  <c r="G22" i="13"/>
  <c r="D22" i="13"/>
  <c r="F22" i="13"/>
  <c r="C22" i="13"/>
  <c r="E22" i="13"/>
  <c r="M22" i="13" s="1"/>
  <c r="H22" i="13"/>
  <c r="O13" i="13"/>
  <c r="D25" i="13"/>
  <c r="C25" i="13"/>
  <c r="E25" i="13"/>
  <c r="M28" i="13" s="1"/>
  <c r="F25" i="13"/>
  <c r="N28" i="13" s="1"/>
  <c r="D24" i="13"/>
  <c r="C24" i="13"/>
  <c r="F24" i="13"/>
  <c r="E24" i="13"/>
  <c r="M26" i="13" s="1"/>
  <c r="G24" i="13"/>
  <c r="H24" i="13"/>
  <c r="O15" i="13"/>
  <c r="G22" i="14"/>
  <c r="O13" i="14"/>
  <c r="D22" i="14"/>
  <c r="G24" i="14"/>
  <c r="O15" i="14"/>
  <c r="N20" i="14"/>
  <c r="B49" i="14"/>
  <c r="K52" i="14"/>
  <c r="K50" i="14"/>
  <c r="K53" i="14"/>
  <c r="K51" i="14"/>
  <c r="N28" i="14"/>
  <c r="K54" i="14"/>
  <c r="H25" i="14"/>
  <c r="G25" i="14"/>
  <c r="C25" i="14"/>
  <c r="M27" i="14" s="1"/>
  <c r="D25" i="14"/>
  <c r="N27" i="14" s="1"/>
  <c r="J58" i="14"/>
  <c r="C24" i="14"/>
  <c r="J22" i="14"/>
  <c r="O5" i="14"/>
  <c r="J24" i="14"/>
  <c r="I23" i="14"/>
  <c r="J23" i="14"/>
  <c r="J25" i="14"/>
  <c r="I24" i="14"/>
  <c r="I25" i="14"/>
  <c r="I22" i="14"/>
  <c r="Q22" i="14" s="1"/>
  <c r="G23" i="14"/>
  <c r="H23" i="14"/>
  <c r="C23" i="14"/>
  <c r="M23" i="14" s="1"/>
  <c r="D23" i="14"/>
  <c r="E24" i="14"/>
  <c r="M26" i="14" s="1"/>
  <c r="F23" i="14"/>
  <c r="N24" i="14" s="1"/>
  <c r="O16" i="14"/>
  <c r="N22" i="14"/>
  <c r="O14" i="14"/>
  <c r="N21" i="14"/>
  <c r="J23" i="13"/>
  <c r="I22" i="13"/>
  <c r="Q22" i="13" s="1"/>
  <c r="J25" i="13"/>
  <c r="J24" i="13"/>
  <c r="I23" i="13"/>
  <c r="Q24" i="13" s="1"/>
  <c r="I24" i="13"/>
  <c r="Q26" i="13" s="1"/>
  <c r="I25" i="13"/>
  <c r="Q28" i="13" s="1"/>
  <c r="J22" i="13"/>
  <c r="Q21" i="13" s="1"/>
  <c r="Q28" i="12"/>
  <c r="Q21" i="12"/>
  <c r="Q27" i="12"/>
  <c r="M19" i="12"/>
  <c r="B49" i="12"/>
  <c r="K50" i="12" s="1"/>
  <c r="K52" i="12"/>
  <c r="K51" i="12"/>
  <c r="K53" i="12"/>
  <c r="F24" i="12"/>
  <c r="C24" i="12"/>
  <c r="N19" i="12"/>
  <c r="Q24" i="12"/>
  <c r="N20" i="12"/>
  <c r="N27" i="12"/>
  <c r="M23" i="12"/>
  <c r="N21" i="12"/>
  <c r="K54" i="12"/>
  <c r="E24" i="12"/>
  <c r="M26" i="12" s="1"/>
  <c r="I21" i="12"/>
  <c r="Q20" i="12" s="1"/>
  <c r="J21" i="12"/>
  <c r="N23" i="12"/>
  <c r="Q23" i="12"/>
  <c r="N24" i="12"/>
  <c r="M21" i="12"/>
  <c r="G23" i="7"/>
  <c r="D23" i="7"/>
  <c r="H22" i="7"/>
  <c r="G24" i="7"/>
  <c r="E25" i="7"/>
  <c r="M28" i="7" s="1"/>
  <c r="F23" i="7"/>
  <c r="C24" i="7"/>
  <c r="D25" i="7"/>
  <c r="H25" i="7"/>
  <c r="F21" i="7"/>
  <c r="G22" i="7"/>
  <c r="E21" i="7"/>
  <c r="M20" i="7" s="1"/>
  <c r="C21" i="7"/>
  <c r="H23" i="7"/>
  <c r="E22" i="7"/>
  <c r="M22" i="7" s="1"/>
  <c r="E24" i="7"/>
  <c r="M26" i="7" s="1"/>
  <c r="C25" i="7"/>
  <c r="D22" i="7"/>
  <c r="H21" i="7"/>
  <c r="H24" i="7"/>
  <c r="D21" i="7"/>
  <c r="F24" i="7"/>
  <c r="E23" i="7"/>
  <c r="M24" i="7" s="1"/>
  <c r="C23" i="7"/>
  <c r="G25" i="7"/>
  <c r="F22" i="7"/>
  <c r="F25" i="7"/>
  <c r="C22" i="7"/>
  <c r="M21" i="7" s="1"/>
  <c r="D24" i="7"/>
  <c r="J22" i="7"/>
  <c r="I22" i="7"/>
  <c r="O5" i="7"/>
  <c r="J21" i="7" s="1"/>
  <c r="I24" i="7"/>
  <c r="I25" i="7"/>
  <c r="J24" i="7"/>
  <c r="I23" i="7"/>
  <c r="J23" i="7"/>
  <c r="M25" i="12" l="1"/>
  <c r="K56" i="12"/>
  <c r="Q25" i="13"/>
  <c r="Q27" i="13"/>
  <c r="Q23" i="13"/>
  <c r="Q25" i="14"/>
  <c r="M25" i="14"/>
  <c r="K56" i="14"/>
  <c r="N26" i="13"/>
  <c r="M25" i="13"/>
  <c r="N25" i="13"/>
  <c r="M27" i="13"/>
  <c r="N27" i="13"/>
  <c r="M21" i="13"/>
  <c r="N22" i="13"/>
  <c r="N21" i="13"/>
  <c r="Q24" i="14"/>
  <c r="I21" i="14"/>
  <c r="Q20" i="14" s="1"/>
  <c r="J21" i="14"/>
  <c r="Q19" i="14" s="1"/>
  <c r="N23" i="14"/>
  <c r="Q28" i="14"/>
  <c r="Q21" i="14"/>
  <c r="Q26" i="14"/>
  <c r="Q23" i="14"/>
  <c r="N26" i="14"/>
  <c r="Q27" i="14"/>
  <c r="N25" i="14"/>
  <c r="I21" i="13"/>
  <c r="Q20" i="13" s="1"/>
  <c r="J21" i="13"/>
  <c r="Q19" i="13" s="1"/>
  <c r="Q19" i="12"/>
  <c r="E34" i="12" s="1"/>
  <c r="C36" i="12" s="1"/>
  <c r="I35" i="12"/>
  <c r="G37" i="12" s="1"/>
  <c r="Q25" i="12"/>
  <c r="N26" i="12"/>
  <c r="E35" i="12"/>
  <c r="C37" i="12" s="1"/>
  <c r="N25" i="12"/>
  <c r="Q26" i="12"/>
  <c r="I34" i="12"/>
  <c r="G36" i="12" s="1"/>
  <c r="I36" i="12" s="1"/>
  <c r="G38" i="12" s="1"/>
  <c r="M19" i="7"/>
  <c r="N28" i="7"/>
  <c r="N27" i="7"/>
  <c r="N22" i="7"/>
  <c r="N23" i="7"/>
  <c r="N21" i="7"/>
  <c r="Q22" i="7"/>
  <c r="N20" i="7"/>
  <c r="N19" i="7"/>
  <c r="I21" i="7"/>
  <c r="Q20" i="7" s="1"/>
  <c r="Q23" i="7"/>
  <c r="M23" i="7"/>
  <c r="N25" i="7"/>
  <c r="Q24" i="7"/>
  <c r="Q25" i="7"/>
  <c r="Q21" i="7"/>
  <c r="N24" i="7"/>
  <c r="N26" i="7"/>
  <c r="M27" i="7"/>
  <c r="M25" i="7"/>
  <c r="Q28" i="7"/>
  <c r="Q26" i="7"/>
  <c r="Q27" i="7"/>
  <c r="I34" i="14" l="1"/>
  <c r="G36" i="14" s="1"/>
  <c r="E34" i="14"/>
  <c r="C36" i="14" s="1"/>
  <c r="E35" i="14"/>
  <c r="C37" i="14" s="1"/>
  <c r="I35" i="14"/>
  <c r="G37" i="14" s="1"/>
  <c r="I34" i="13"/>
  <c r="G36" i="13" s="1"/>
  <c r="E34" i="13"/>
  <c r="C36" i="13" s="1"/>
  <c r="E35" i="13"/>
  <c r="C37" i="13" s="1"/>
  <c r="I35" i="13"/>
  <c r="G37" i="13" s="1"/>
  <c r="E37" i="12"/>
  <c r="C39" i="12" s="1"/>
  <c r="I37" i="12"/>
  <c r="G39" i="12" s="1"/>
  <c r="I38" i="12" s="1"/>
  <c r="G40" i="12" s="1"/>
  <c r="E36" i="12"/>
  <c r="C38" i="12" s="1"/>
  <c r="E35" i="7"/>
  <c r="C37" i="7" s="1"/>
  <c r="Q19" i="7"/>
  <c r="E34" i="7" s="1"/>
  <c r="C36" i="7" s="1"/>
  <c r="I35" i="7"/>
  <c r="G37" i="7" s="1"/>
  <c r="I36" i="14" l="1"/>
  <c r="G38" i="14" s="1"/>
  <c r="I37" i="14"/>
  <c r="G39" i="14" s="1"/>
  <c r="E36" i="14"/>
  <c r="C38" i="14" s="1"/>
  <c r="E37" i="14"/>
  <c r="C39" i="14" s="1"/>
  <c r="E37" i="13"/>
  <c r="C39" i="13" s="1"/>
  <c r="E36" i="13"/>
  <c r="C38" i="13" s="1"/>
  <c r="I36" i="13"/>
  <c r="G38" i="13" s="1"/>
  <c r="I37" i="13"/>
  <c r="G39" i="13" s="1"/>
  <c r="I39" i="12"/>
  <c r="G41" i="12" s="1"/>
  <c r="I41" i="12" s="1"/>
  <c r="G43" i="12" s="1"/>
  <c r="E39" i="12"/>
  <c r="C41" i="12" s="1"/>
  <c r="E38" i="12"/>
  <c r="C40" i="12" s="1"/>
  <c r="E37" i="7"/>
  <c r="C39" i="7" s="1"/>
  <c r="E36" i="7"/>
  <c r="C38" i="7" s="1"/>
  <c r="I34" i="7"/>
  <c r="G36" i="7" s="1"/>
  <c r="I36" i="7" s="1"/>
  <c r="G38" i="7" s="1"/>
  <c r="E39" i="14" l="1"/>
  <c r="C41" i="14" s="1"/>
  <c r="E38" i="14"/>
  <c r="C40" i="14" s="1"/>
  <c r="I39" i="14"/>
  <c r="G41" i="14" s="1"/>
  <c r="I38" i="14"/>
  <c r="G40" i="14" s="1"/>
  <c r="I39" i="13"/>
  <c r="G41" i="13" s="1"/>
  <c r="I38" i="13"/>
  <c r="G40" i="13" s="1"/>
  <c r="E39" i="13"/>
  <c r="C41" i="13" s="1"/>
  <c r="E38" i="13"/>
  <c r="C40" i="13" s="1"/>
  <c r="I40" i="12"/>
  <c r="G42" i="12" s="1"/>
  <c r="I43" i="12" s="1"/>
  <c r="O44" i="12" s="1"/>
  <c r="E40" i="12"/>
  <c r="C42" i="12" s="1"/>
  <c r="E41" i="12"/>
  <c r="C43" i="12" s="1"/>
  <c r="E39" i="7"/>
  <c r="C41" i="7" s="1"/>
  <c r="E38" i="7"/>
  <c r="C40" i="7" s="1"/>
  <c r="I37" i="7"/>
  <c r="G39" i="7" s="1"/>
  <c r="I38" i="7" s="1"/>
  <c r="G40" i="7" s="1"/>
  <c r="I41" i="14" l="1"/>
  <c r="G43" i="14" s="1"/>
  <c r="I40" i="14"/>
  <c r="G42" i="14" s="1"/>
  <c r="E41" i="14"/>
  <c r="C43" i="14" s="1"/>
  <c r="E40" i="14"/>
  <c r="C42" i="14" s="1"/>
  <c r="E41" i="13"/>
  <c r="C43" i="13" s="1"/>
  <c r="E40" i="13"/>
  <c r="C42" i="13" s="1"/>
  <c r="I41" i="13"/>
  <c r="G43" i="13" s="1"/>
  <c r="I40" i="13"/>
  <c r="G42" i="13" s="1"/>
  <c r="I42" i="12"/>
  <c r="E42" i="12"/>
  <c r="E43" i="12"/>
  <c r="O43" i="12" s="1"/>
  <c r="O45" i="12" s="1" a="1"/>
  <c r="E41" i="7"/>
  <c r="C43" i="7" s="1"/>
  <c r="E40" i="7"/>
  <c r="C42" i="7" s="1"/>
  <c r="I39" i="7"/>
  <c r="G41" i="7" s="1"/>
  <c r="I40" i="7" s="1"/>
  <c r="G42" i="7" s="1"/>
  <c r="E43" i="14" l="1"/>
  <c r="O43" i="14" s="1"/>
  <c r="E42" i="14"/>
  <c r="I43" i="14"/>
  <c r="O44" i="14" s="1"/>
  <c r="I42" i="14"/>
  <c r="I43" i="13"/>
  <c r="O44" i="13" s="1"/>
  <c r="I42" i="13"/>
  <c r="E43" i="13"/>
  <c r="O43" i="13" s="1"/>
  <c r="O45" i="13" s="1" a="1"/>
  <c r="E42" i="13"/>
  <c r="O45" i="12"/>
  <c r="S48" i="12" s="1" a="1"/>
  <c r="S48" i="12" s="1"/>
  <c r="E42" i="7"/>
  <c r="E43" i="7"/>
  <c r="O43" i="7" s="1"/>
  <c r="I41" i="7"/>
  <c r="G43" i="7" s="1"/>
  <c r="I42" i="7" s="1"/>
  <c r="O45" i="14" l="1" a="1"/>
  <c r="O45" i="14"/>
  <c r="O45" i="13"/>
  <c r="S48" i="13" s="1" a="1"/>
  <c r="S48" i="13" s="1"/>
  <c r="K34" i="12"/>
  <c r="I43" i="7"/>
  <c r="O44" i="7" s="1"/>
  <c r="O45" i="7" s="1" a="1"/>
  <c r="O45" i="7" l="1"/>
  <c r="S48" i="7" s="1" a="1"/>
  <c r="S48" i="7" s="1"/>
  <c r="K34" i="7"/>
  <c r="M68" i="7" s="1"/>
  <c r="H49" i="12"/>
  <c r="I49" i="12" s="1"/>
  <c r="E97" i="12"/>
  <c r="K34" i="13"/>
  <c r="M35" i="12"/>
  <c r="K37" i="12" s="1"/>
  <c r="G50" i="12" s="1"/>
  <c r="M34" i="12"/>
  <c r="K36" i="12" s="1"/>
  <c r="E98" i="12" s="1"/>
  <c r="H49" i="7"/>
  <c r="I49" i="7" s="1"/>
  <c r="H49" i="13" l="1"/>
  <c r="I49" i="13" s="1"/>
  <c r="M69" i="13"/>
  <c r="M34" i="13"/>
  <c r="K36" i="13" s="1"/>
  <c r="M70" i="13" s="1"/>
  <c r="M35" i="13"/>
  <c r="K37" i="13" s="1"/>
  <c r="G50" i="13" s="1"/>
  <c r="H50" i="12"/>
  <c r="J50" i="12" s="1"/>
  <c r="M36" i="12"/>
  <c r="K38" i="12" s="1"/>
  <c r="E99" i="12" s="1"/>
  <c r="M37" i="12"/>
  <c r="K39" i="12" s="1"/>
  <c r="G51" i="12" s="1"/>
  <c r="M34" i="7"/>
  <c r="M35" i="7"/>
  <c r="K37" i="7" s="1"/>
  <c r="G50" i="7" s="1"/>
  <c r="K36" i="7" l="1"/>
  <c r="M69" i="7"/>
  <c r="M37" i="13"/>
  <c r="K39" i="13" s="1"/>
  <c r="G51" i="13" s="1"/>
  <c r="M36" i="13"/>
  <c r="K38" i="13" s="1"/>
  <c r="M71" i="13" s="1"/>
  <c r="H50" i="13"/>
  <c r="I50" i="13" s="1"/>
  <c r="J50" i="13"/>
  <c r="I50" i="12"/>
  <c r="H51" i="12"/>
  <c r="M38" i="12"/>
  <c r="K40" i="12" s="1"/>
  <c r="E100" i="12" s="1"/>
  <c r="M39" i="12"/>
  <c r="K41" i="12" s="1"/>
  <c r="G52" i="12" s="1"/>
  <c r="I51" i="12"/>
  <c r="J51" i="12"/>
  <c r="M37" i="7"/>
  <c r="K39" i="7" s="1"/>
  <c r="G51" i="7" s="1"/>
  <c r="M36" i="7"/>
  <c r="H50" i="7"/>
  <c r="K38" i="7" l="1"/>
  <c r="M70" i="7"/>
  <c r="M39" i="13"/>
  <c r="K41" i="13" s="1"/>
  <c r="G52" i="13" s="1"/>
  <c r="M38" i="13"/>
  <c r="K40" i="13" s="1"/>
  <c r="H51" i="13"/>
  <c r="I51" i="13" s="1"/>
  <c r="H52" i="12"/>
  <c r="J52" i="12" s="1"/>
  <c r="M40" i="12"/>
  <c r="K42" i="12" s="1"/>
  <c r="E101" i="12" s="1"/>
  <c r="M41" i="12"/>
  <c r="K43" i="12" s="1"/>
  <c r="G53" i="12" s="1"/>
  <c r="M43" i="12"/>
  <c r="G54" i="12" s="1"/>
  <c r="M42" i="12"/>
  <c r="H51" i="7"/>
  <c r="J51" i="7" s="1"/>
  <c r="I50" i="7"/>
  <c r="M38" i="7"/>
  <c r="M39" i="7"/>
  <c r="K41" i="7" s="1"/>
  <c r="G52" i="7" s="1"/>
  <c r="K40" i="7" l="1"/>
  <c r="M71" i="7"/>
  <c r="M41" i="13"/>
  <c r="K43" i="13" s="1"/>
  <c r="G53" i="13" s="1"/>
  <c r="M72" i="13"/>
  <c r="J51" i="13"/>
  <c r="H52" i="13"/>
  <c r="I52" i="13" s="1"/>
  <c r="M40" i="13"/>
  <c r="K42" i="13" s="1"/>
  <c r="H53" i="12"/>
  <c r="I52" i="12"/>
  <c r="H54" i="12"/>
  <c r="I53" i="12"/>
  <c r="J53" i="12"/>
  <c r="I51" i="7"/>
  <c r="H52" i="7"/>
  <c r="I52" i="7" s="1"/>
  <c r="M40" i="7"/>
  <c r="M41" i="7"/>
  <c r="K43" i="7" s="1"/>
  <c r="G53" i="7" s="1"/>
  <c r="K42" i="7" l="1"/>
  <c r="M72" i="7"/>
  <c r="M43" i="13"/>
  <c r="G54" i="13" s="1"/>
  <c r="M73" i="13"/>
  <c r="J52" i="13"/>
  <c r="M42" i="13"/>
  <c r="H53" i="13"/>
  <c r="H54" i="13"/>
  <c r="I54" i="13" s="1"/>
  <c r="I53" i="13"/>
  <c r="J53" i="13"/>
  <c r="I54" i="12"/>
  <c r="J54" i="12"/>
  <c r="J56" i="12" s="1"/>
  <c r="J57" i="12" s="1"/>
  <c r="J59" i="12" s="1"/>
  <c r="J52" i="7"/>
  <c r="M42" i="7"/>
  <c r="H53" i="7"/>
  <c r="J53" i="7" s="1"/>
  <c r="M43" i="7"/>
  <c r="G54" i="7" s="1"/>
  <c r="J54" i="13" l="1"/>
  <c r="J56" i="13" s="1"/>
  <c r="J57" i="13" s="1"/>
  <c r="J59" i="13" s="1"/>
  <c r="I53" i="7"/>
  <c r="H54" i="7"/>
  <c r="J54" i="7" s="1"/>
  <c r="J59" i="7" l="1"/>
  <c r="I54" i="7"/>
  <c r="S48" i="14" l="1" a="1"/>
  <c r="K34" i="14"/>
  <c r="M35" i="14" l="1"/>
  <c r="K37" i="14" s="1"/>
  <c r="G50" i="14" s="1"/>
  <c r="L68" i="14"/>
  <c r="M34" i="14"/>
  <c r="K36" i="14" s="1"/>
  <c r="H49" i="14"/>
  <c r="I49" i="14" s="1"/>
  <c r="S48" i="14"/>
  <c r="H50" i="14" l="1"/>
  <c r="L69" i="14"/>
  <c r="M37" i="14"/>
  <c r="K39" i="14" s="1"/>
  <c r="G51" i="14" s="1"/>
  <c r="M36" i="14"/>
  <c r="K38" i="14" s="1"/>
  <c r="L70" i="14" l="1"/>
  <c r="M39" i="14"/>
  <c r="K41" i="14" s="1"/>
  <c r="G52" i="14" s="1"/>
  <c r="M38" i="14"/>
  <c r="K40" i="14" s="1"/>
  <c r="H51" i="14"/>
  <c r="I50" i="14"/>
  <c r="J50" i="14"/>
  <c r="J51" i="14" l="1"/>
  <c r="I51" i="14"/>
  <c r="L71" i="14"/>
  <c r="H52" i="14"/>
  <c r="M41" i="14"/>
  <c r="K43" i="14" s="1"/>
  <c r="G53" i="14" s="1"/>
  <c r="M40" i="14"/>
  <c r="K42" i="14" s="1"/>
  <c r="J52" i="14" l="1"/>
  <c r="I52" i="14"/>
  <c r="H53" i="14"/>
  <c r="L72" i="14"/>
  <c r="M43" i="14"/>
  <c r="G54" i="14" s="1"/>
  <c r="M42" i="14"/>
  <c r="H54" i="14" s="1"/>
  <c r="I54" i="14" l="1"/>
  <c r="J54" i="14"/>
  <c r="I53" i="14"/>
  <c r="J53" i="14"/>
  <c r="J56" i="14" l="1"/>
  <c r="J57" i="14" s="1"/>
  <c r="J5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<sst xmlns="http://schemas.openxmlformats.org/spreadsheetml/2006/main" count="714" uniqueCount="100">
  <si>
    <t>Condizioni al contorno</t>
  </si>
  <si>
    <t>Geometria, gradienti termici e proprietà dei materiali dei settori</t>
  </si>
  <si>
    <t>massa pale</t>
  </si>
  <si>
    <t>kg</t>
  </si>
  <si>
    <t>Blocco</t>
  </si>
  <si>
    <t>Di</t>
  </si>
  <si>
    <t>De</t>
  </si>
  <si>
    <t>b equival</t>
  </si>
  <si>
    <t>Ti</t>
  </si>
  <si>
    <t>Te</t>
  </si>
  <si>
    <r>
      <t>D</t>
    </r>
    <r>
      <rPr>
        <b/>
        <sz val="11"/>
        <rFont val="Arial"/>
        <family val="2"/>
      </rPr>
      <t>Tr</t>
    </r>
  </si>
  <si>
    <t>Tm</t>
  </si>
  <si>
    <t>E</t>
  </si>
  <si>
    <t>α*</t>
  </si>
  <si>
    <t>r</t>
  </si>
  <si>
    <t>bi</t>
  </si>
  <si>
    <t>be</t>
  </si>
  <si>
    <t>Rm</t>
  </si>
  <si>
    <t>T</t>
  </si>
  <si>
    <t>alpha</t>
  </si>
  <si>
    <t>Rp02</t>
  </si>
  <si>
    <t>raggio pale</t>
  </si>
  <si>
    <t>m</t>
  </si>
  <si>
    <t>°C</t>
  </si>
  <si>
    <t>Pa</t>
  </si>
  <si>
    <t>1/°C</t>
  </si>
  <si>
    <t>kg/m^3</t>
  </si>
  <si>
    <t>MPa</t>
  </si>
  <si>
    <t>massa slot</t>
  </si>
  <si>
    <t>raggio slot</t>
  </si>
  <si>
    <t>numero pale</t>
  </si>
  <si>
    <t>Velocità rotazione</t>
  </si>
  <si>
    <t>rpm</t>
  </si>
  <si>
    <t>tiro pale</t>
  </si>
  <si>
    <t>N</t>
  </si>
  <si>
    <t>valore medio</t>
  </si>
  <si>
    <t>tiro slot</t>
  </si>
  <si>
    <t>E lineare</t>
  </si>
  <si>
    <t>delta E polinomiale</t>
  </si>
  <si>
    <t>pe</t>
  </si>
  <si>
    <t>pi</t>
  </si>
  <si>
    <t>REG.LIN E</t>
  </si>
  <si>
    <t>REG LIN ALPHA</t>
  </si>
  <si>
    <t>deformabilità per carico radiale interno e esterno, centrifugo e gradiente termico</t>
  </si>
  <si>
    <t>T1</t>
  </si>
  <si>
    <t>V1</t>
  </si>
  <si>
    <t>S'</t>
  </si>
  <si>
    <t>P'</t>
  </si>
  <si>
    <t>Q'</t>
  </si>
  <si>
    <t>R'</t>
  </si>
  <si>
    <t>ui_ω</t>
  </si>
  <si>
    <t>ue_ω</t>
  </si>
  <si>
    <t>ui_T</t>
  </si>
  <si>
    <t>ue_T</t>
  </si>
  <si>
    <t>T2</t>
  </si>
  <si>
    <t>V2</t>
  </si>
  <si>
    <t>T3</t>
  </si>
  <si>
    <t>V3</t>
  </si>
  <si>
    <t>T4</t>
  </si>
  <si>
    <t>V4</t>
  </si>
  <si>
    <t>T5</t>
  </si>
  <si>
    <t>V5</t>
  </si>
  <si>
    <t xml:space="preserve">Primo calcolo di tentativo </t>
  </si>
  <si>
    <t>Combinazione lineare</t>
  </si>
  <si>
    <r>
      <t xml:space="preserve">pi, </t>
    </r>
    <r>
      <rPr>
        <b/>
        <sz val="11"/>
        <rFont val="Symbol"/>
        <family val="1"/>
        <charset val="2"/>
      </rPr>
      <t>w</t>
    </r>
    <r>
      <rPr>
        <b/>
        <sz val="11"/>
        <rFont val="Arial"/>
        <family val="2"/>
      </rPr>
      <t xml:space="preserve">, </t>
    </r>
    <r>
      <rPr>
        <b/>
        <sz val="11"/>
        <rFont val="Symbol"/>
        <family val="1"/>
        <charset val="2"/>
      </rPr>
      <t>D</t>
    </r>
    <r>
      <rPr>
        <b/>
        <sz val="11"/>
        <rFont val="Arial"/>
        <family val="2"/>
      </rPr>
      <t>T + ui=0</t>
    </r>
  </si>
  <si>
    <r>
      <t xml:space="preserve">pi, </t>
    </r>
    <r>
      <rPr>
        <b/>
        <sz val="11"/>
        <rFont val="Symbol"/>
        <family val="1"/>
        <charset val="2"/>
      </rPr>
      <t>w</t>
    </r>
    <r>
      <rPr>
        <b/>
        <sz val="11"/>
        <rFont val="Arial"/>
        <family val="2"/>
      </rPr>
      <t xml:space="preserve">, </t>
    </r>
    <r>
      <rPr>
        <b/>
        <sz val="11"/>
        <rFont val="Symbol"/>
        <family val="1"/>
        <charset val="2"/>
      </rPr>
      <t>D</t>
    </r>
    <r>
      <rPr>
        <b/>
        <sz val="11"/>
        <rFont val="Arial"/>
        <family val="2"/>
      </rPr>
      <t>T + ui=tentativo</t>
    </r>
  </si>
  <si>
    <t>Rispetto alle c.c. al bordo esterno</t>
  </si>
  <si>
    <t>ui1</t>
  </si>
  <si>
    <t>ue1</t>
  </si>
  <si>
    <t>ni1</t>
  </si>
  <si>
    <t>ne1</t>
  </si>
  <si>
    <t>ui2</t>
  </si>
  <si>
    <t>ue2</t>
  </si>
  <si>
    <t>ne5</t>
  </si>
  <si>
    <t>ni2</t>
  </si>
  <si>
    <t>ne2</t>
  </si>
  <si>
    <t>ui3</t>
  </si>
  <si>
    <t>ue3</t>
  </si>
  <si>
    <t>ni3</t>
  </si>
  <si>
    <t>ne3</t>
  </si>
  <si>
    <t>ui4</t>
  </si>
  <si>
    <t>ue4</t>
  </si>
  <si>
    <t>ni4</t>
  </si>
  <si>
    <t>ne4</t>
  </si>
  <si>
    <t>ui5</t>
  </si>
  <si>
    <t>ue5</t>
  </si>
  <si>
    <t>ni5</t>
  </si>
  <si>
    <t>Stato di tensione alle interfacce</t>
  </si>
  <si>
    <t>b</t>
  </si>
  <si>
    <t>σ_r</t>
  </si>
  <si>
    <t>σ_c</t>
  </si>
  <si>
    <t>σ_VM</t>
  </si>
  <si>
    <t>Fc</t>
  </si>
  <si>
    <t>A</t>
  </si>
  <si>
    <t>m^2</t>
  </si>
  <si>
    <t>* per ogni interfaccia usare lo spessore b vero</t>
  </si>
  <si>
    <t>Σ</t>
  </si>
  <si>
    <r>
      <t>s</t>
    </r>
    <r>
      <rPr>
        <sz val="11"/>
        <rFont val="Arial"/>
        <family val="2"/>
      </rPr>
      <t>c,m</t>
    </r>
  </si>
  <si>
    <r>
      <t>n</t>
    </r>
    <r>
      <rPr>
        <vertAlign val="subscript"/>
        <sz val="11"/>
        <rFont val="Arial"/>
        <family val="2"/>
      </rPr>
      <t>BURST</t>
    </r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</si>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</sst>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.000E+00"/>
    <numFmt numFmtId="167" formatCode="0.0000E+00"/>
  </numFmts>
  <fonts count="10" x14ac:knownFonts="1">
    <font>
      <sz val="10"/>
      <name val="Arial"/>
    </font>
    <font>
      <b/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Symbol"/>
      <family val="1"/>
      <charset val="2"/>
    </font>
    <font>
      <b/>
      <sz val="11"/>
      <name val="Garamond"/>
      <family val="1"/>
    </font>
    <font>
      <sz val="11"/>
      <name val="Symbol"/>
      <family val="1"/>
      <charset val="2"/>
    </font>
    <font>
      <b/>
      <sz val="11"/>
      <color indexed="10"/>
      <name val="Arial"/>
      <family val="2"/>
    </font>
    <font>
      <vertAlign val="subscript"/>
      <sz val="11"/>
      <name val="Arial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2" borderId="2" xfId="0" applyNumberFormat="1" applyFont="1" applyFill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11" fontId="2" fillId="0" borderId="4" xfId="0" applyNumberFormat="1" applyFont="1" applyBorder="1" applyAlignment="1">
      <alignment vertical="center"/>
    </xf>
    <xf numFmtId="11" fontId="2" fillId="0" borderId="5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1" fontId="3" fillId="0" borderId="5" xfId="0" applyNumberFormat="1" applyFon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1" fontId="2" fillId="0" borderId="6" xfId="0" applyNumberFormat="1" applyFont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165" fontId="3" fillId="5" borderId="0" xfId="0" applyNumberFormat="1" applyFont="1" applyFill="1" applyAlignment="1">
      <alignment vertical="center"/>
    </xf>
    <xf numFmtId="11" fontId="3" fillId="5" borderId="4" xfId="0" applyNumberFormat="1" applyFont="1" applyFill="1" applyBorder="1" applyAlignment="1">
      <alignment vertical="center"/>
    </xf>
    <xf numFmtId="11" fontId="2" fillId="5" borderId="0" xfId="0" applyNumberFormat="1" applyFont="1" applyFill="1" applyAlignment="1">
      <alignment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1" fontId="2" fillId="5" borderId="4" xfId="0" applyNumberFormat="1" applyFont="1" applyFill="1" applyBorder="1" applyAlignment="1">
      <alignment horizontal="center" vertical="center"/>
    </xf>
    <xf numFmtId="1" fontId="7" fillId="5" borderId="0" xfId="0" applyNumberFormat="1" applyFont="1" applyFill="1"/>
    <xf numFmtId="11" fontId="2" fillId="5" borderId="0" xfId="0" applyNumberFormat="1" applyFont="1" applyFill="1" applyAlignment="1">
      <alignment horizontal="center" vertical="center"/>
    </xf>
    <xf numFmtId="11" fontId="2" fillId="5" borderId="2" xfId="0" applyNumberFormat="1" applyFont="1" applyFill="1" applyBorder="1" applyAlignment="1">
      <alignment horizontal="center" vertical="center"/>
    </xf>
    <xf numFmtId="11" fontId="2" fillId="5" borderId="4" xfId="0" applyNumberFormat="1" applyFont="1" applyFill="1" applyBorder="1" applyAlignment="1">
      <alignment horizontal="center" vertical="center"/>
    </xf>
    <xf numFmtId="11" fontId="2" fillId="5" borderId="5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vertical="center"/>
    </xf>
    <xf numFmtId="166" fontId="2" fillId="2" borderId="2" xfId="0" applyNumberFormat="1" applyFont="1" applyFill="1" applyBorder="1" applyAlignment="1">
      <alignment vertical="center"/>
    </xf>
    <xf numFmtId="166" fontId="2" fillId="0" borderId="0" xfId="0" applyNumberFormat="1" applyFont="1" applyAlignment="1">
      <alignment vertical="center"/>
    </xf>
    <xf numFmtId="166" fontId="2" fillId="2" borderId="4" xfId="0" applyNumberFormat="1" applyFont="1" applyFill="1" applyBorder="1" applyAlignment="1">
      <alignment vertical="center"/>
    </xf>
    <xf numFmtId="11" fontId="2" fillId="0" borderId="0" xfId="0" applyNumberFormat="1" applyFont="1"/>
    <xf numFmtId="11" fontId="2" fillId="0" borderId="0" xfId="0" applyNumberFormat="1" applyFont="1" applyAlignment="1">
      <alignment vertical="center" wrapText="1"/>
    </xf>
    <xf numFmtId="2" fontId="2" fillId="2" borderId="0" xfId="0" applyNumberFormat="1" applyFont="1" applyFill="1" applyAlignment="1">
      <alignment vertical="center"/>
    </xf>
    <xf numFmtId="2" fontId="2" fillId="2" borderId="4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67" fontId="2" fillId="0" borderId="5" xfId="0" applyNumberFormat="1" applyFont="1" applyBorder="1" applyAlignment="1">
      <alignment vertical="center"/>
    </xf>
    <xf numFmtId="167" fontId="2" fillId="0" borderId="0" xfId="0" applyNumberFormat="1" applyFont="1"/>
    <xf numFmtId="166" fontId="2" fillId="2" borderId="9" xfId="0" applyNumberFormat="1" applyFont="1" applyFill="1" applyBorder="1" applyAlignment="1">
      <alignment vertical="center"/>
    </xf>
    <xf numFmtId="2" fontId="2" fillId="2" borderId="9" xfId="0" applyNumberFormat="1" applyFont="1" applyFill="1" applyBorder="1" applyAlignment="1">
      <alignment vertical="center"/>
    </xf>
    <xf numFmtId="166" fontId="2" fillId="2" borderId="10" xfId="0" applyNumberFormat="1" applyFont="1" applyFill="1" applyBorder="1" applyAlignment="1">
      <alignment vertical="center"/>
    </xf>
    <xf numFmtId="2" fontId="2" fillId="5" borderId="0" xfId="0" applyNumberFormat="1" applyFont="1" applyFill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1" fontId="7" fillId="5" borderId="9" xfId="0" applyNumberFormat="1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1" fontId="2" fillId="4" borderId="8" xfId="0" applyNumberFormat="1" applyFont="1" applyFill="1" applyBorder="1" applyAlignment="1">
      <alignment horizontal="center" vertical="center"/>
    </xf>
    <xf numFmtId="11" fontId="2" fillId="4" borderId="6" xfId="0" applyNumberFormat="1" applyFont="1" applyFill="1" applyBorder="1" applyAlignment="1">
      <alignment horizontal="center" vertical="center"/>
    </xf>
    <xf numFmtId="11" fontId="2" fillId="4" borderId="7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CFF33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Grammel!$S$47:$DO$47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Grammel!$S$48:$DO$48</c:f>
              <c:numCache>
                <c:formatCode>General</c:formatCode>
                <c:ptCount val="101"/>
                <c:pt idx="0">
                  <c:v>-7454602.7212886475</c:v>
                </c:pt>
                <c:pt idx="1">
                  <c:v>-6303394.9976342786</c:v>
                </c:pt>
                <c:pt idx="2">
                  <c:v>-5152187.2739799088</c:v>
                </c:pt>
                <c:pt idx="3">
                  <c:v>-4000979.550325539</c:v>
                </c:pt>
                <c:pt idx="4">
                  <c:v>-2849771.8266711701</c:v>
                </c:pt>
                <c:pt idx="5">
                  <c:v>-1698564.1030168002</c:v>
                </c:pt>
                <c:pt idx="6">
                  <c:v>-547356.37936243135</c:v>
                </c:pt>
                <c:pt idx="7">
                  <c:v>603851.34429193847</c:v>
                </c:pt>
                <c:pt idx="8">
                  <c:v>1755059.0679463074</c:v>
                </c:pt>
                <c:pt idx="9">
                  <c:v>2906266.7916006781</c:v>
                </c:pt>
                <c:pt idx="10">
                  <c:v>4057474.515255047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7-42AD-B9DE-9D4D93B6C51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Grammel!$K$34</c:f>
              <c:numCache>
                <c:formatCode>0.00E+00</c:formatCode>
                <c:ptCount val="1"/>
                <c:pt idx="0">
                  <c:v>2.3946959455138981E-3</c:v>
                </c:pt>
              </c:numCache>
            </c:numRef>
          </c:xVal>
          <c:yVal>
            <c:numRef>
              <c:f>Grammel!$M$43</c:f>
              <c:numCache>
                <c:formatCode>0.0000E+00</c:formatCode>
                <c:ptCount val="1"/>
                <c:pt idx="0">
                  <c:v>1734705.5063093659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87-42AD-B9DE-9D4D93B6C51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Grammel!$G$34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Grammel!$I$43</c:f>
              <c:numCache>
                <c:formatCode>0.00E+00</c:formatCode>
                <c:ptCount val="1"/>
                <c:pt idx="0">
                  <c:v>-4407739.6126834154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87-42AD-B9DE-9D4D93B6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Grammel!$G$49:$G$54</c:f>
              <c:numCache>
                <c:formatCode>0</c:formatCode>
                <c:ptCount val="6"/>
                <c:pt idx="0">
                  <c:v>0</c:v>
                </c:pt>
                <c:pt idx="1">
                  <c:v>56.018862418595972</c:v>
                </c:pt>
                <c:pt idx="2">
                  <c:v>443.59194991337955</c:v>
                </c:pt>
                <c:pt idx="3">
                  <c:v>414.05379569624796</c:v>
                </c:pt>
                <c:pt idx="4">
                  <c:v>37.495911087644473</c:v>
                </c:pt>
                <c:pt idx="5">
                  <c:v>35.841022857631522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5-460C-8804-585D02F05A77}"/>
            </c:ext>
          </c:extLst>
        </c:ser>
        <c:ser>
          <c:idx val="1"/>
          <c:order val="1"/>
          <c:tx>
            <c:strRef>
              <c:f>Grammel!$H$47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Grammel!$H$49:$H$54</c:f>
              <c:numCache>
                <c:formatCode>0</c:formatCode>
                <c:ptCount val="6"/>
                <c:pt idx="0">
                  <c:v>712.4459812836177</c:v>
                </c:pt>
                <c:pt idx="1">
                  <c:v>625.5346612759804</c:v>
                </c:pt>
                <c:pt idx="2">
                  <c:v>584.14671196207087</c:v>
                </c:pt>
                <c:pt idx="3">
                  <c:v>331.29118676883456</c:v>
                </c:pt>
                <c:pt idx="4">
                  <c:v>159.38888602815518</c:v>
                </c:pt>
                <c:pt idx="5">
                  <c:v>126.75572870658146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5-460C-8804-585D02F05A77}"/>
            </c:ext>
          </c:extLst>
        </c:ser>
        <c:ser>
          <c:idx val="2"/>
          <c:order val="2"/>
          <c:tx>
            <c:strRef>
              <c:f>Grammel!$I$47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Grammel!$I$49:$I$54</c:f>
              <c:numCache>
                <c:formatCode>0</c:formatCode>
                <c:ptCount val="6"/>
                <c:pt idx="0">
                  <c:v>712.44598128361758</c:v>
                </c:pt>
                <c:pt idx="1">
                  <c:v>599.49143886818501</c:v>
                </c:pt>
                <c:pt idx="2">
                  <c:v>528.08940543179665</c:v>
                </c:pt>
                <c:pt idx="3">
                  <c:v>379.50233569613573</c:v>
                </c:pt>
                <c:pt idx="4">
                  <c:v>144.34101578802324</c:v>
                </c:pt>
                <c:pt idx="5">
                  <c:v>113.17481481985918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F-49D9-A468-69379ED8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6-4AD9-B2BF-0B1522692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3-4BFD-B1F3-ABD4AA1CB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E-4D69-868E-7017142B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4.8438538932633418E-2"/>
                  <c:y val="-6.4498031496062994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8-48E6-A4FD-9AB3716F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Somma di tutti i contributi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andamento spostamento radiale (totale)</c:v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Grammel!$M$68:$M$72</c:f>
              <c:numCache>
                <c:formatCode>0.00E+00</c:formatCode>
                <c:ptCount val="5"/>
                <c:pt idx="0">
                  <c:v>2.3946959455138981E-3</c:v>
                </c:pt>
                <c:pt idx="1">
                  <c:v>2.5301511909581213E-3</c:v>
                </c:pt>
                <c:pt idx="2">
                  <c:v>2.8321741769330271E-3</c:v>
                </c:pt>
                <c:pt idx="3">
                  <c:v>3.7413092582123512E-3</c:v>
                </c:pt>
                <c:pt idx="4">
                  <c:v>3.8809055662037718E-3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B-412E-B3A4-4B1CB94D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41320"/>
        <c:axId val="587641680"/>
      </c:scatterChart>
      <c:valAx>
        <c:axId val="587641320"/>
        <c:scaling>
          <c:orientation val="minMax"/>
          <c:max val="4.1000000000000003E-3"/>
          <c:min val="2.3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u [m]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641680"/>
        <c:crosses val="autoZero"/>
        <c:crossBetween val="midCat"/>
        <c:majorUnit val="2.9999999999999997E-4"/>
      </c:valAx>
      <c:valAx>
        <c:axId val="5876416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7641320"/>
        <c:crosses val="autoZero"/>
        <c:crossBetween val="midCat"/>
        <c:majorUnit val="2.5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pale!$S$47:$DO$47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pale!$S$48:$DO$48</c:f>
              <c:numCache>
                <c:formatCode>General</c:formatCode>
                <c:ptCount val="101"/>
                <c:pt idx="0">
                  <c:v>0</c:v>
                </c:pt>
                <c:pt idx="1">
                  <c:v>1151207.7236543698</c:v>
                </c:pt>
                <c:pt idx="2">
                  <c:v>2302415.4473087396</c:v>
                </c:pt>
                <c:pt idx="3">
                  <c:v>3453623.1709631095</c:v>
                </c:pt>
                <c:pt idx="4">
                  <c:v>4604830.8946174793</c:v>
                </c:pt>
                <c:pt idx="5">
                  <c:v>5756038.6182718482</c:v>
                </c:pt>
                <c:pt idx="6">
                  <c:v>6907246.341926218</c:v>
                </c:pt>
                <c:pt idx="7">
                  <c:v>8058454.0655805888</c:v>
                </c:pt>
                <c:pt idx="8">
                  <c:v>9209661.7892349586</c:v>
                </c:pt>
                <c:pt idx="9">
                  <c:v>10360869.512889327</c:v>
                </c:pt>
                <c:pt idx="10">
                  <c:v>11512077.236543696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4-4383-8AFD-E1F028DDEF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pale!$K$34</c:f>
              <c:numCache>
                <c:formatCode>0.00E+00</c:formatCode>
                <c:ptCount val="1"/>
                <c:pt idx="0">
                  <c:v>4.5205712331465673E-4</c:v>
                </c:pt>
              </c:numCache>
            </c:numRef>
          </c:xVal>
          <c:yVal>
            <c:numRef>
              <c:f>pale!$M$43</c:f>
              <c:numCache>
                <c:formatCode>0.0000E+00</c:formatCode>
                <c:ptCount val="1"/>
                <c:pt idx="0">
                  <c:v>1734705.5063093624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4-4383-8AFD-E1F028DDEFA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pale!$G$34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pale!$I$43</c:f>
              <c:numCache>
                <c:formatCode>0.00E+00</c:formatCode>
                <c:ptCount val="1"/>
                <c:pt idx="0">
                  <c:v>3046863.1086052321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04-4383-8AFD-E1F028DDE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B-4027-BF57-A9B63A605197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3B-4027-BF57-A9B63A605197}"/>
            </c:ext>
          </c:extLst>
        </c:ser>
        <c:ser>
          <c:idx val="2"/>
          <c:order val="2"/>
          <c:tx>
            <c:strRef>
              <c:f>pale!$I$47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pale!$I$49:$I$54</c:f>
              <c:numCache>
                <c:formatCode>0</c:formatCode>
                <c:ptCount val="6"/>
                <c:pt idx="0">
                  <c:v>369.83889937215804</c:v>
                </c:pt>
                <c:pt idx="1">
                  <c:v>321.2365520766607</c:v>
                </c:pt>
                <c:pt idx="2">
                  <c:v>322.40125186320864</c:v>
                </c:pt>
                <c:pt idx="3">
                  <c:v>312.61032255444036</c:v>
                </c:pt>
                <c:pt idx="4">
                  <c:v>225.37364988772461</c:v>
                </c:pt>
                <c:pt idx="5">
                  <c:v>218.33115967076634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3B-4027-BF57-A9B63A605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6-4238-A9FF-E31F28749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6-4BCC-8A85-4C65DEBD96E5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F6-4BCC-8A85-4C65DEBD96E5}"/>
            </c:ext>
          </c:extLst>
        </c:ser>
        <c:ser>
          <c:idx val="2"/>
          <c:order val="2"/>
          <c:tx>
            <c:strRef>
              <c:f>pale!$I$47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pale!$I$49:$I$54</c:f>
              <c:numCache>
                <c:formatCode>0</c:formatCode>
                <c:ptCount val="6"/>
                <c:pt idx="0">
                  <c:v>369.83889937215804</c:v>
                </c:pt>
                <c:pt idx="1">
                  <c:v>321.2365520766607</c:v>
                </c:pt>
                <c:pt idx="2">
                  <c:v>322.40125186320864</c:v>
                </c:pt>
                <c:pt idx="3">
                  <c:v>312.61032255444036</c:v>
                </c:pt>
                <c:pt idx="4">
                  <c:v>225.37364988772461</c:v>
                </c:pt>
                <c:pt idx="5">
                  <c:v>218.33115967076634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F6-4BCC-8A85-4C65DEBD96E5}"/>
            </c:ext>
          </c:extLst>
        </c:ser>
        <c:ser>
          <c:idx val="3"/>
          <c:order val="3"/>
          <c:tx>
            <c:strRef>
              <c:f>pale!$D$47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pale!$D$49:$D$54</c:f>
              <c:numCache>
                <c:formatCode>0.00</c:formatCode>
                <c:ptCount val="6"/>
                <c:pt idx="0">
                  <c:v>499.59</c:v>
                </c:pt>
                <c:pt idx="1">
                  <c:v>506.83</c:v>
                </c:pt>
                <c:pt idx="2">
                  <c:v>527.22</c:v>
                </c:pt>
                <c:pt idx="3">
                  <c:v>603.41999999999996</c:v>
                </c:pt>
                <c:pt idx="4">
                  <c:v>620.54999999999995</c:v>
                </c:pt>
                <c:pt idx="5">
                  <c:v>630.22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F6-4BCC-8A85-4C65DEBD96E5}"/>
            </c:ext>
          </c:extLst>
        </c:ser>
        <c:ser>
          <c:idx val="4"/>
          <c:order val="4"/>
          <c:tx>
            <c:strRef>
              <c:f>pale!$L$47</c:f>
              <c:strCache>
                <c:ptCount val="1"/>
                <c:pt idx="0">
                  <c:v>Rm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pale!$L$49:$L$54</c:f>
              <c:numCache>
                <c:formatCode>General</c:formatCode>
                <c:ptCount val="6"/>
                <c:pt idx="0">
                  <c:v>1168.5394144165828</c:v>
                </c:pt>
                <c:pt idx="1">
                  <c:v>1167.478645217853</c:v>
                </c:pt>
                <c:pt idx="2">
                  <c:v>1164.0915269624393</c:v>
                </c:pt>
                <c:pt idx="3">
                  <c:v>1128.3363330383572</c:v>
                </c:pt>
                <c:pt idx="4">
                  <c:v>1108.5747281778663</c:v>
                </c:pt>
                <c:pt idx="5">
                  <c:v>1094.0795989128046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F6-4BCC-8A85-4C65DEBD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7-4EE7-A679-0D5CF45DF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C1-4B40-805C-A459678E1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Contributo di pale e slot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andamento u (pale e slot)</c:v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pale!$E$97:$E$101</c:f>
              <c:numCache>
                <c:formatCode>0.00E+00</c:formatCode>
                <c:ptCount val="5"/>
                <c:pt idx="0">
                  <c:v>4.5205712331465673E-4</c:v>
                </c:pt>
                <c:pt idx="1">
                  <c:v>4.4099945689759991E-4</c:v>
                </c:pt>
                <c:pt idx="2">
                  <c:v>4.3635400102187612E-4</c:v>
                </c:pt>
                <c:pt idx="3">
                  <c:v>5.3358509544763357E-4</c:v>
                </c:pt>
                <c:pt idx="4">
                  <c:v>5.3154929487444591E-4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4-432B-A496-36F72DB88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71256"/>
        <c:axId val="505471616"/>
      </c:scatterChart>
      <c:valAx>
        <c:axId val="505471256"/>
        <c:scaling>
          <c:orientation val="minMax"/>
          <c:max val="5.4000000000000001E-4"/>
          <c:min val="4.2999999999999999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u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471616"/>
        <c:crosses val="autoZero"/>
        <c:crossBetween val="midCat"/>
      </c:valAx>
      <c:valAx>
        <c:axId val="50547161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</a:t>
                </a:r>
                <a:r>
                  <a:rPr lang="it-IT" baseline="0"/>
                  <a:t> [m]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471256"/>
        <c:crosses val="autoZero"/>
        <c:crossBetween val="midCat"/>
        <c:majorUnit val="2.5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disco!$S$47:$DO$47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disco!$S$48:$DO$48</c:f>
              <c:numCache>
                <c:formatCode>General</c:formatCode>
                <c:ptCount val="101"/>
                <c:pt idx="0">
                  <c:v>-777751.20002458687</c:v>
                </c:pt>
                <c:pt idx="1">
                  <c:v>373456.52362978319</c:v>
                </c:pt>
                <c:pt idx="2">
                  <c:v>1524664.2472841532</c:v>
                </c:pt>
                <c:pt idx="3">
                  <c:v>2675871.9709385233</c:v>
                </c:pt>
                <c:pt idx="4">
                  <c:v>3827079.6945928931</c:v>
                </c:pt>
                <c:pt idx="5">
                  <c:v>4978287.4182472629</c:v>
                </c:pt>
                <c:pt idx="6">
                  <c:v>6129495.1419016328</c:v>
                </c:pt>
                <c:pt idx="7">
                  <c:v>7280702.8655560035</c:v>
                </c:pt>
                <c:pt idx="8">
                  <c:v>8431910.5892103743</c:v>
                </c:pt>
                <c:pt idx="9">
                  <c:v>9583118.3128647432</c:v>
                </c:pt>
                <c:pt idx="10">
                  <c:v>10734326.036519114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4-409A-A317-C8C66D2A981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disco!$K$34</c:f>
              <c:numCache>
                <c:formatCode>0.00E+00</c:formatCode>
                <c:ptCount val="1"/>
                <c:pt idx="0">
                  <c:v>2.026787652767937E-4</c:v>
                </c:pt>
              </c:numCache>
            </c:numRef>
          </c:xVal>
          <c:yVal>
            <c:numRef>
              <c:f>disco!$M$43</c:f>
              <c:numCache>
                <c:formatCode>0.0000E+00</c:formatCode>
                <c:ptCount val="1"/>
                <c:pt idx="0">
                  <c:v>3.2014213502407074E-10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4-409A-A317-C8C66D2A981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disco!$G$34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disco!$I$43</c:f>
              <c:numCache>
                <c:formatCode>0.00E+00</c:formatCode>
                <c:ptCount val="1"/>
                <c:pt idx="0">
                  <c:v>2269111.9085806459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F4-409A-A317-C8C66D2A9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disco!$G$49:$G$54</c:f>
              <c:numCache>
                <c:formatCode>0</c:formatCode>
                <c:ptCount val="6"/>
                <c:pt idx="0">
                  <c:v>0</c:v>
                </c:pt>
                <c:pt idx="1">
                  <c:v>8.7876875289197276</c:v>
                </c:pt>
                <c:pt idx="2">
                  <c:v>61.250782194731272</c:v>
                </c:pt>
                <c:pt idx="3">
                  <c:v>44.134090538685605</c:v>
                </c:pt>
                <c:pt idx="4">
                  <c:v>2.120699203167713</c:v>
                </c:pt>
                <c:pt idx="5">
                  <c:v>6.6145069219849326E-15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8-45D3-91F7-AC8F8403BFFB}"/>
            </c:ext>
          </c:extLst>
        </c:ser>
        <c:ser>
          <c:idx val="1"/>
          <c:order val="1"/>
          <c:tx>
            <c:strRef>
              <c:f>disco!$H$47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disco!$H$49:$H$54</c:f>
              <c:numCache>
                <c:formatCode>0</c:formatCode>
                <c:ptCount val="6"/>
                <c:pt idx="0">
                  <c:v>165.8164148071661</c:v>
                </c:pt>
                <c:pt idx="1">
                  <c:v>148.78666597838975</c:v>
                </c:pt>
                <c:pt idx="2">
                  <c:v>138.05274164841603</c:v>
                </c:pt>
                <c:pt idx="3">
                  <c:v>104.87840624592789</c:v>
                </c:pt>
                <c:pt idx="4">
                  <c:v>87.016585223214577</c:v>
                </c:pt>
                <c:pt idx="5">
                  <c:v>83.630206265622661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8-45D3-91F7-AC8F8403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disco!$I$47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disco!$I$49:$I$54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165.81641480716607</c:v>
                      </c:pt>
                      <c:pt idx="1">
                        <c:v>144.59323876303142</c:v>
                      </c:pt>
                      <c:pt idx="2">
                        <c:v>119.80976331676008</c:v>
                      </c:pt>
                      <c:pt idx="3">
                        <c:v>91.206277018371651</c:v>
                      </c:pt>
                      <c:pt idx="4">
                        <c:v>85.975853971182133</c:v>
                      </c:pt>
                      <c:pt idx="5">
                        <c:v>83.630206265622661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disco!$B$49:$B$54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278-45D3-91F7-AC8F8403BFFB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F-47AB-A540-94FF1056A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4F-4E53-B91E-9B1337672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0-4852-A70B-1BD10E630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4561461067366579E-2"/>
                  <c:y val="-7.87306794983960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B-4707-B6AC-44C627E52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Contributo del disco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andamento u (disco)</c:v>
          </c:tx>
          <c:spPr>
            <a:ln w="190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disco!$M$69:$M$73</c:f>
              <c:numCache>
                <c:formatCode>0.00E+00</c:formatCode>
                <c:ptCount val="5"/>
                <c:pt idx="0">
                  <c:v>2.026787652767937E-4</c:v>
                </c:pt>
                <c:pt idx="1">
                  <c:v>1.9739531389349827E-4</c:v>
                </c:pt>
                <c:pt idx="2">
                  <c:v>1.9197157281830173E-4</c:v>
                </c:pt>
                <c:pt idx="3">
                  <c:v>2.0158481269713069E-4</c:v>
                </c:pt>
                <c:pt idx="4">
                  <c:v>1.9961330651053295E-4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C-4E96-8869-01ED44D3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31128"/>
        <c:axId val="502530768"/>
      </c:scatterChart>
      <c:valAx>
        <c:axId val="502531128"/>
        <c:scaling>
          <c:orientation val="minMax"/>
          <c:max val="2.0350000000000001E-4"/>
          <c:min val="1.9100000000000001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u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2530768"/>
        <c:crosses val="autoZero"/>
        <c:crossBetween val="midCat"/>
      </c:valAx>
      <c:valAx>
        <c:axId val="50253076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</a:t>
                </a:r>
                <a:r>
                  <a:rPr lang="it-IT" baseline="0"/>
                  <a:t> [m]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2531128"/>
        <c:crosses val="autoZero"/>
        <c:crossBetween val="midCat"/>
        <c:majorUnit val="2.5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temperatura!$S$47:$DO$47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temperatura!$S$48:$DO$48</c:f>
              <c:numCache>
                <c:formatCode>General</c:formatCode>
                <c:ptCount val="101"/>
                <c:pt idx="0">
                  <c:v>-6676851.5212640613</c:v>
                </c:pt>
                <c:pt idx="1">
                  <c:v>-5525643.7976096924</c:v>
                </c:pt>
                <c:pt idx="2">
                  <c:v>-4374436.0739553226</c:v>
                </c:pt>
                <c:pt idx="3">
                  <c:v>-3223228.3503009528</c:v>
                </c:pt>
                <c:pt idx="4">
                  <c:v>-2072020.6266465839</c:v>
                </c:pt>
                <c:pt idx="5">
                  <c:v>-920812.90299221408</c:v>
                </c:pt>
                <c:pt idx="6">
                  <c:v>230394.82066215482</c:v>
                </c:pt>
                <c:pt idx="7">
                  <c:v>1381602.5443165246</c:v>
                </c:pt>
                <c:pt idx="8">
                  <c:v>2532810.2679708935</c:v>
                </c:pt>
                <c:pt idx="9">
                  <c:v>3684017.9916252643</c:v>
                </c:pt>
                <c:pt idx="10">
                  <c:v>4835225.7152796332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8-4C5F-B629-E0858AB2C01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temperatura!$K$34</c:f>
              <c:numCache>
                <c:formatCode>0.00E+00</c:formatCode>
                <c:ptCount val="1"/>
                <c:pt idx="0">
                  <c:v>1.7399600569224479E-3</c:v>
                </c:pt>
              </c:numCache>
            </c:numRef>
          </c:xVal>
          <c:yVal>
            <c:numRef>
              <c:f>temperatura!$M$43</c:f>
              <c:numCache>
                <c:formatCode>0.0000E+00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8-4C5F-B629-E0858AB2C01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temperatura!$G$34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temperatura!$I$43</c:f>
              <c:numCache>
                <c:formatCode>0.00E+00</c:formatCode>
                <c:ptCount val="1"/>
                <c:pt idx="0">
                  <c:v>-3629988.4126588292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58-4C5F-B629-E0858AB2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temperatura!$G$49:$G$54</c:f>
              <c:numCache>
                <c:formatCode>0</c:formatCode>
                <c:ptCount val="6"/>
                <c:pt idx="0">
                  <c:v>0</c:v>
                </c:pt>
                <c:pt idx="1">
                  <c:v>14.631558947495206</c:v>
                </c:pt>
                <c:pt idx="2">
                  <c:v>106.96568395916901</c:v>
                </c:pt>
                <c:pt idx="3">
                  <c:v>78.299721564268395</c:v>
                </c:pt>
                <c:pt idx="4">
                  <c:v>3.8187063521085052</c:v>
                </c:pt>
                <c:pt idx="5">
                  <c:v>0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5-4600-9978-8D340F8F7C34}"/>
            </c:ext>
          </c:extLst>
        </c:ser>
        <c:ser>
          <c:idx val="1"/>
          <c:order val="1"/>
          <c:tx>
            <c:strRef>
              <c:f>temperatura!$H$47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temperatura!$H$49:$H$54</c:f>
              <c:numCache>
                <c:formatCode>0</c:formatCode>
                <c:ptCount val="6"/>
                <c:pt idx="0">
                  <c:v>176.79066710429339</c:v>
                </c:pt>
                <c:pt idx="1">
                  <c:v>140.45463868775343</c:v>
                </c:pt>
                <c:pt idx="2">
                  <c:v>91.452720946391835</c:v>
                </c:pt>
                <c:pt idx="3">
                  <c:v>-103.63497245308336</c:v>
                </c:pt>
                <c:pt idx="4">
                  <c:v>-167.11652900813678</c:v>
                </c:pt>
                <c:pt idx="5">
                  <c:v>-190.90852649435078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5-4600-9978-8D340F8F7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temperatura!$I$47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temperatura!$I$49:$I$54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176.79066710429336</c:v>
                      </c:pt>
                      <c:pt idx="1">
                        <c:v>133.74048646813119</c:v>
                      </c:pt>
                      <c:pt idx="2">
                        <c:v>100.11470854671464</c:v>
                      </c:pt>
                      <c:pt idx="3">
                        <c:v>158.0684769325951</c:v>
                      </c:pt>
                      <c:pt idx="4">
                        <c:v>169.05823179247068</c:v>
                      </c:pt>
                      <c:pt idx="5">
                        <c:v>190.90852649435075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temperatura!$B$49:$B$54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CC5-4600-9978-8D340F8F7C34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1-4316-8801-E64878C9C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4B-425D-8BFD-4E77CD864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5-4B3D-BE0C-A215AD777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4561461067366579E-2"/>
                  <c:y val="-7.87306794983960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B-4C68-B3BD-8F5E58515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Contributo della 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andamento spostamento radiale (temperatura)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temperatura!$L$68:$L$72</c:f>
              <c:numCache>
                <c:formatCode>0.00E+00</c:formatCode>
                <c:ptCount val="5"/>
                <c:pt idx="0">
                  <c:v>1.7399600569224479E-3</c:v>
                </c:pt>
                <c:pt idx="1">
                  <c:v>1.8917564201670228E-3</c:v>
                </c:pt>
                <c:pt idx="2">
                  <c:v>2.2038486030928487E-3</c:v>
                </c:pt>
                <c:pt idx="3">
                  <c:v>3.0061393500675866E-3</c:v>
                </c:pt>
                <c:pt idx="4">
                  <c:v>3.1497429648187926E-3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B-420C-84CD-E6CE76DDE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29328"/>
        <c:axId val="182156288"/>
      </c:scatterChart>
      <c:valAx>
        <c:axId val="502529328"/>
        <c:scaling>
          <c:orientation val="minMax"/>
          <c:max val="3.3000000000000008E-3"/>
          <c:min val="1.6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u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156288"/>
        <c:crosses val="autoZero"/>
        <c:crossBetween val="midCat"/>
        <c:majorUnit val="3.0000000000000008E-4"/>
      </c:valAx>
      <c:valAx>
        <c:axId val="18215628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2529328"/>
        <c:crosses val="autoZero"/>
        <c:crossBetween val="midCat"/>
        <c:majorUnit val="2.5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</a:t>
            </a:r>
            <a:r>
              <a:rPr lang="it-IT" baseline="0"/>
              <a:t> del gradiente di temperatura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temperatura!$G$49:$G$54</c:f>
              <c:numCache>
                <c:formatCode>0</c:formatCode>
                <c:ptCount val="6"/>
                <c:pt idx="0">
                  <c:v>0</c:v>
                </c:pt>
                <c:pt idx="1">
                  <c:v>14.631558947495206</c:v>
                </c:pt>
                <c:pt idx="2">
                  <c:v>106.96568395916901</c:v>
                </c:pt>
                <c:pt idx="3">
                  <c:v>78.299721564268395</c:v>
                </c:pt>
                <c:pt idx="4">
                  <c:v>3.8187063521085052</c:v>
                </c:pt>
                <c:pt idx="5">
                  <c:v>0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3-44BC-9B98-2B59FB53198E}"/>
            </c:ext>
          </c:extLst>
        </c:ser>
        <c:ser>
          <c:idx val="1"/>
          <c:order val="1"/>
          <c:tx>
            <c:strRef>
              <c:f>temperatura!$H$47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temperatura!$H$49:$H$54</c:f>
              <c:numCache>
                <c:formatCode>0</c:formatCode>
                <c:ptCount val="6"/>
                <c:pt idx="0">
                  <c:v>176.79066710429339</c:v>
                </c:pt>
                <c:pt idx="1">
                  <c:v>140.45463868775343</c:v>
                </c:pt>
                <c:pt idx="2">
                  <c:v>91.452720946391835</c:v>
                </c:pt>
                <c:pt idx="3">
                  <c:v>-103.63497245308336</c:v>
                </c:pt>
                <c:pt idx="4">
                  <c:v>-167.11652900813678</c:v>
                </c:pt>
                <c:pt idx="5">
                  <c:v>-190.90852649435078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3-44BC-9B98-2B59FB531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temperatura!$I$47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temperatura!$I$49:$I$54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176.79066710429336</c:v>
                      </c:pt>
                      <c:pt idx="1">
                        <c:v>133.74048646813119</c:v>
                      </c:pt>
                      <c:pt idx="2">
                        <c:v>100.11470854671464</c:v>
                      </c:pt>
                      <c:pt idx="3">
                        <c:v>158.0684769325951</c:v>
                      </c:pt>
                      <c:pt idx="4">
                        <c:v>169.05823179247068</c:v>
                      </c:pt>
                      <c:pt idx="5">
                        <c:v>190.90852649435075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temperatura!$B$49:$B$54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7D3-44BC-9B98-2B59FB53198E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250"/>
          <c:min val="-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 forza centrifuga</a:t>
            </a:r>
            <a:r>
              <a:rPr lang="it-IT" baseline="0"/>
              <a:t> del disco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disco!$G$49:$G$54</c:f>
              <c:numCache>
                <c:formatCode>0</c:formatCode>
                <c:ptCount val="6"/>
                <c:pt idx="0">
                  <c:v>0</c:v>
                </c:pt>
                <c:pt idx="1">
                  <c:v>8.7876875289197276</c:v>
                </c:pt>
                <c:pt idx="2">
                  <c:v>61.250782194731272</c:v>
                </c:pt>
                <c:pt idx="3">
                  <c:v>44.134090538685605</c:v>
                </c:pt>
                <c:pt idx="4">
                  <c:v>2.120699203167713</c:v>
                </c:pt>
                <c:pt idx="5">
                  <c:v>6.6145069219849326E-15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1-4061-89BF-C014343B0A26}"/>
            </c:ext>
          </c:extLst>
        </c:ser>
        <c:ser>
          <c:idx val="1"/>
          <c:order val="1"/>
          <c:tx>
            <c:strRef>
              <c:f>disco!$H$47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disco!$H$49:$H$54</c:f>
              <c:numCache>
                <c:formatCode>0</c:formatCode>
                <c:ptCount val="6"/>
                <c:pt idx="0">
                  <c:v>165.8164148071661</c:v>
                </c:pt>
                <c:pt idx="1">
                  <c:v>148.78666597838975</c:v>
                </c:pt>
                <c:pt idx="2">
                  <c:v>138.05274164841603</c:v>
                </c:pt>
                <c:pt idx="3">
                  <c:v>104.87840624592789</c:v>
                </c:pt>
                <c:pt idx="4">
                  <c:v>87.016585223214577</c:v>
                </c:pt>
                <c:pt idx="5">
                  <c:v>83.630206265622661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A1-4061-89BF-C014343B0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/>
      </c:scatterChart>
      <c:valAx>
        <c:axId val="164892272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 forza centrifuga di pale e slot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8-4954-8CCB-BE0DF23F6ABF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A8-4954-8CCB-BE0DF23F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pale!$I$47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pale!$I$49:$I$54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369.83889937215804</c:v>
                      </c:pt>
                      <c:pt idx="1">
                        <c:v>321.2365520766607</c:v>
                      </c:pt>
                      <c:pt idx="2">
                        <c:v>322.40125186320864</c:v>
                      </c:pt>
                      <c:pt idx="3">
                        <c:v>312.61032255444036</c:v>
                      </c:pt>
                      <c:pt idx="4">
                        <c:v>225.37364988772461</c:v>
                      </c:pt>
                      <c:pt idx="5">
                        <c:v>218.33115967076634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pale!$B$49:$B$54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A8-4954-8CCB-BE0DF23F6ABF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Grammel!$G$47</c:f>
              <c:strCache>
                <c:ptCount val="1"/>
                <c:pt idx="0">
                  <c:v>σ_r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Grammel!$G$49:$G$54</c:f>
              <c:numCache>
                <c:formatCode>0</c:formatCode>
                <c:ptCount val="6"/>
                <c:pt idx="0">
                  <c:v>0</c:v>
                </c:pt>
                <c:pt idx="1">
                  <c:v>56.018862418595972</c:v>
                </c:pt>
                <c:pt idx="2">
                  <c:v>443.59194991337955</c:v>
                </c:pt>
                <c:pt idx="3">
                  <c:v>414.05379569624796</c:v>
                </c:pt>
                <c:pt idx="4">
                  <c:v>37.495911087644473</c:v>
                </c:pt>
                <c:pt idx="5">
                  <c:v>35.841022857631522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E-4FEC-A382-64F8E68D797F}"/>
            </c:ext>
          </c:extLst>
        </c:ser>
        <c:ser>
          <c:idx val="1"/>
          <c:order val="1"/>
          <c:tx>
            <c:strRef>
              <c:f>Grammel!$H$47</c:f>
              <c:strCache>
                <c:ptCount val="1"/>
                <c:pt idx="0">
                  <c:v>σ_c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Grammel!$H$49:$H$54</c:f>
              <c:numCache>
                <c:formatCode>0</c:formatCode>
                <c:ptCount val="6"/>
                <c:pt idx="0">
                  <c:v>712.4459812836177</c:v>
                </c:pt>
                <c:pt idx="1">
                  <c:v>625.5346612759804</c:v>
                </c:pt>
                <c:pt idx="2">
                  <c:v>584.14671196207087</c:v>
                </c:pt>
                <c:pt idx="3">
                  <c:v>331.29118676883456</c:v>
                </c:pt>
                <c:pt idx="4">
                  <c:v>159.38888602815518</c:v>
                </c:pt>
                <c:pt idx="5">
                  <c:v>126.75572870658146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E-4FEC-A382-64F8E68D797F}"/>
            </c:ext>
          </c:extLst>
        </c:ser>
        <c:ser>
          <c:idx val="2"/>
          <c:order val="2"/>
          <c:tx>
            <c:strRef>
              <c:f>Grammel!$I$47</c:f>
              <c:strCache>
                <c:ptCount val="1"/>
                <c:pt idx="0">
                  <c:v>σ_VM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Grammel!$I$49:$I$54</c:f>
              <c:numCache>
                <c:formatCode>0</c:formatCode>
                <c:ptCount val="6"/>
                <c:pt idx="0">
                  <c:v>712.44598128361758</c:v>
                </c:pt>
                <c:pt idx="1">
                  <c:v>599.49143886818501</c:v>
                </c:pt>
                <c:pt idx="2">
                  <c:v>528.08940543179665</c:v>
                </c:pt>
                <c:pt idx="3">
                  <c:v>379.50233569613573</c:v>
                </c:pt>
                <c:pt idx="4">
                  <c:v>144.34101578802324</c:v>
                </c:pt>
                <c:pt idx="5">
                  <c:v>113.17481481985918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4E-4FEC-A382-64F8E68D797F}"/>
            </c:ext>
          </c:extLst>
        </c:ser>
        <c:ser>
          <c:idx val="3"/>
          <c:order val="3"/>
          <c:tx>
            <c:v>Temperatura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grafici!$B$47:$B$56</c:f>
              <c:numCache>
                <c:formatCode>General</c:formatCode>
                <c:ptCount val="10"/>
                <c:pt idx="0">
                  <c:v>499.59</c:v>
                </c:pt>
                <c:pt idx="1">
                  <c:v>500.47</c:v>
                </c:pt>
                <c:pt idx="2">
                  <c:v>506.83</c:v>
                </c:pt>
                <c:pt idx="3">
                  <c:v>527.22</c:v>
                </c:pt>
                <c:pt idx="4">
                  <c:v>552.45000000000005</c:v>
                </c:pt>
                <c:pt idx="5">
                  <c:v>603.41999999999996</c:v>
                </c:pt>
                <c:pt idx="6">
                  <c:v>610.17999999999995</c:v>
                </c:pt>
                <c:pt idx="7">
                  <c:v>614.38</c:v>
                </c:pt>
                <c:pt idx="8">
                  <c:v>620.54999999999995</c:v>
                </c:pt>
                <c:pt idx="9">
                  <c:v>630.22</c:v>
                </c:pt>
              </c:numCache>
            </c:numRef>
          </c:xVal>
          <c:yVal>
            <c:numRef>
              <c:f>grafici!$A$47:$A$56</c:f>
              <c:numCache>
                <c:formatCode>General</c:formatCode>
                <c:ptCount val="10"/>
                <c:pt idx="0">
                  <c:v>0.2165</c:v>
                </c:pt>
                <c:pt idx="1">
                  <c:v>0.2185</c:v>
                </c:pt>
                <c:pt idx="2">
                  <c:v>0.23857999999999999</c:v>
                </c:pt>
                <c:pt idx="3">
                  <c:v>0.28115000000000001</c:v>
                </c:pt>
                <c:pt idx="4">
                  <c:v>0.318</c:v>
                </c:pt>
                <c:pt idx="5">
                  <c:v>0.37322</c:v>
                </c:pt>
                <c:pt idx="6">
                  <c:v>0.37946999999999997</c:v>
                </c:pt>
                <c:pt idx="7">
                  <c:v>0.38325999999999999</c:v>
                </c:pt>
                <c:pt idx="8">
                  <c:v>0.38871</c:v>
                </c:pt>
                <c:pt idx="9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4E-4FEC-A382-64F8E68D797F}"/>
            </c:ext>
          </c:extLst>
        </c:ser>
        <c:ser>
          <c:idx val="5"/>
          <c:order val="5"/>
          <c:tx>
            <c:strRef>
              <c:f>grafici!$D$46</c:f>
              <c:strCache>
                <c:ptCount val="1"/>
                <c:pt idx="0">
                  <c:v>Rp02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grafici!$D$47:$D$56</c:f>
              <c:numCache>
                <c:formatCode>General</c:formatCode>
                <c:ptCount val="10"/>
                <c:pt idx="0">
                  <c:v>981.1772347364199</c:v>
                </c:pt>
                <c:pt idx="1">
                  <c:v>980.93108726524497</c:v>
                </c:pt>
                <c:pt idx="2">
                  <c:v>979.10406248190156</c:v>
                </c:pt>
                <c:pt idx="3">
                  <c:v>972.63715098830107</c:v>
                </c:pt>
                <c:pt idx="4">
                  <c:v>963.1845428945918</c:v>
                </c:pt>
                <c:pt idx="5">
                  <c:v>938.1107631452503</c:v>
                </c:pt>
                <c:pt idx="6">
                  <c:v>934.08680570383274</c:v>
                </c:pt>
                <c:pt idx="7">
                  <c:v>931.49537353371716</c:v>
                </c:pt>
                <c:pt idx="8">
                  <c:v>927.55793587162691</c:v>
                </c:pt>
                <c:pt idx="9">
                  <c:v>921.06450467333138</c:v>
                </c:pt>
              </c:numCache>
            </c:numRef>
          </c:xVal>
          <c:yVal>
            <c:numRef>
              <c:f>grafici!$A$47:$A$56</c:f>
              <c:numCache>
                <c:formatCode>General</c:formatCode>
                <c:ptCount val="10"/>
                <c:pt idx="0">
                  <c:v>0.2165</c:v>
                </c:pt>
                <c:pt idx="1">
                  <c:v>0.2185</c:v>
                </c:pt>
                <c:pt idx="2">
                  <c:v>0.23857999999999999</c:v>
                </c:pt>
                <c:pt idx="3">
                  <c:v>0.28115000000000001</c:v>
                </c:pt>
                <c:pt idx="4">
                  <c:v>0.318</c:v>
                </c:pt>
                <c:pt idx="5">
                  <c:v>0.37322</c:v>
                </c:pt>
                <c:pt idx="6">
                  <c:v>0.37946999999999997</c:v>
                </c:pt>
                <c:pt idx="7">
                  <c:v>0.38325999999999999</c:v>
                </c:pt>
                <c:pt idx="8">
                  <c:v>0.38871</c:v>
                </c:pt>
                <c:pt idx="9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4E-4FEC-A382-64F8E68D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Rm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grafici!$C$47:$C$56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1168.5394144165828</c:v>
                      </c:pt>
                      <c:pt idx="1">
                        <c:v>1168.4123256738433</c:v>
                      </c:pt>
                      <c:pt idx="2">
                        <c:v>1167.478645217853</c:v>
                      </c:pt>
                      <c:pt idx="3">
                        <c:v>1164.0915269624393</c:v>
                      </c:pt>
                      <c:pt idx="4">
                        <c:v>1157.966124481133</c:v>
                      </c:pt>
                      <c:pt idx="5">
                        <c:v>1128.3363330383572</c:v>
                      </c:pt>
                      <c:pt idx="6">
                        <c:v>1121.3467470333221</c:v>
                      </c:pt>
                      <c:pt idx="7">
                        <c:v>1116.4912043160984</c:v>
                      </c:pt>
                      <c:pt idx="8">
                        <c:v>1108.5747281778663</c:v>
                      </c:pt>
                      <c:pt idx="9">
                        <c:v>1094.0795989128046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grafici!$A$47:$A$56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0.2165</c:v>
                      </c:pt>
                      <c:pt idx="1">
                        <c:v>0.2185</c:v>
                      </c:pt>
                      <c:pt idx="2">
                        <c:v>0.23857999999999999</c:v>
                      </c:pt>
                      <c:pt idx="3">
                        <c:v>0.28115000000000001</c:v>
                      </c:pt>
                      <c:pt idx="4">
                        <c:v>0.318</c:v>
                      </c:pt>
                      <c:pt idx="5">
                        <c:v>0.37322</c:v>
                      </c:pt>
                      <c:pt idx="6">
                        <c:v>0.37946999999999997</c:v>
                      </c:pt>
                      <c:pt idx="7">
                        <c:v>0.38325999999999999</c:v>
                      </c:pt>
                      <c:pt idx="8">
                        <c:v>0.38871</c:v>
                      </c:pt>
                      <c:pt idx="9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04E-4FEC-A382-64F8E68D797F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it-IT"/>
                  <a:t> [MPa],</a:t>
                </a:r>
                <a:r>
                  <a:rPr lang="it-IT" baseline="0"/>
                  <a:t> T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E-48BF-885E-53C7F49D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56A2D-DA0B-1CF9-F861-3EC59B78B3D7}"/>
                </a:ext>
              </a:extLst>
            </xdr:cNvPr>
            <xdr:cNvSpPr txBox="1"/>
          </xdr:nvSpPr>
          <xdr:spPr>
            <a:xfrm>
              <a:off x="432816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56A2D-DA0B-1CF9-F861-3EC59B78B3D7}"/>
                </a:ext>
              </a:extLst>
            </xdr:cNvPr>
            <xdr:cNvSpPr txBox="1"/>
          </xdr:nvSpPr>
          <xdr:spPr>
            <a:xfrm>
              <a:off x="432816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60E1996-8F5D-6D5A-8701-3EA0D4808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43C5E4D-763F-B707-5056-492F506EA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E15C655-B766-E44C-D6EB-3C8647A68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6A211889-D205-C6DD-CFA6-A6AD130B7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85ECB00-01DC-28E4-0A90-E0E8A993A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6FB0CC68-210E-E2C0-F6ED-D6E04D6EE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598157</xdr:colOff>
      <xdr:row>66</xdr:row>
      <xdr:rowOff>220502</xdr:rowOff>
    </xdr:from>
    <xdr:to>
      <xdr:col>18</xdr:col>
      <xdr:colOff>319594</xdr:colOff>
      <xdr:row>81</xdr:row>
      <xdr:rowOff>68279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80B73A4-2933-8F12-B2D9-16E19006EE66}"/>
            </a:ext>
            <a:ext uri="{147F2762-F138-4A5C-976F-8EAC2B608ADB}">
              <a16:predDERef xmlns:a16="http://schemas.microsoft.com/office/drawing/2014/main" pred="{6FB0CC68-210E-E2C0-F6ED-D6E04D6EE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170195-D90F-4923-8314-E1693620315A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170195-D90F-4923-8314-E1693620315A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40E7B85-7E2B-4A64-98B7-89C582DFD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E265B0D-F294-48EE-BC80-921C7AB92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B2060B5-C839-40BE-ABF9-DA3A1F983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63</xdr:row>
      <xdr:rowOff>0</xdr:rowOff>
    </xdr:from>
    <xdr:to>
      <xdr:col>18</xdr:col>
      <xdr:colOff>434340</xdr:colOff>
      <xdr:row>91</xdr:row>
      <xdr:rowOff>163830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6D2AC5E-69E5-4276-86DD-39FA22E1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BC3C622-BAB5-4F48-B7B8-163E84E82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69A9992-D180-4089-9022-852F37259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270144</xdr:colOff>
      <xdr:row>95</xdr:row>
      <xdr:rowOff>92128</xdr:rowOff>
    </xdr:from>
    <xdr:to>
      <xdr:col>12</xdr:col>
      <xdr:colOff>128076</xdr:colOff>
      <xdr:row>110</xdr:row>
      <xdr:rowOff>90836</xdr:rowOff>
    </xdr:to>
    <xdr:graphicFrame macro="">
      <xdr:nvGraphicFramePr>
        <xdr:cNvPr id="10" name="Grafico 8">
          <a:extLst>
            <a:ext uri="{FF2B5EF4-FFF2-40B4-BE49-F238E27FC236}">
              <a16:creationId xmlns:a16="http://schemas.microsoft.com/office/drawing/2014/main" id="{3EFD8DC5-C08C-076A-7E59-9C89F1BAA7A7}"/>
            </a:ext>
            <a:ext uri="{147F2762-F138-4A5C-976F-8EAC2B608ADB}">
              <a16:predDERef xmlns:a16="http://schemas.microsoft.com/office/drawing/2014/main" pred="{069A9992-D180-4089-9022-852F37259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9C5F46-B5E9-4D2D-9BF5-BC6AAC117EB8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9C5F46-B5E9-4D2D-9BF5-BC6AAC117EB8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F49BB4C-9FEF-48BC-9A98-AAB9C30FE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E3F1341-CA24-414B-B625-BCB97ACFE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F35A4FE-30A7-42C9-ABF9-30D07DA59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C348B77-1129-438A-92AE-12B262902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7FFD9EB-9105-493A-94D9-1E4D9395A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760FEF0-6954-4DE6-AFCB-F8631C3FB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650876</xdr:colOff>
      <xdr:row>66</xdr:row>
      <xdr:rowOff>189443</xdr:rowOff>
    </xdr:from>
    <xdr:to>
      <xdr:col>18</xdr:col>
      <xdr:colOff>372181</xdr:colOff>
      <xdr:row>81</xdr:row>
      <xdr:rowOff>22226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0AB1C86-E5D4-1054-99A8-58F039D7A2CF}"/>
            </a:ext>
            <a:ext uri="{147F2762-F138-4A5C-976F-8EAC2B608ADB}">
              <a16:predDERef xmlns:a16="http://schemas.microsoft.com/office/drawing/2014/main" pred="{5760FEF0-6954-4DE6-AFCB-F8631C3FB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922AED-F81C-4E64-81E9-8B9A984BA364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922AED-F81C-4E64-81E9-8B9A984BA364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3FA69B-5CE4-46E6-8932-466F5C3D7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AA50D6-F63E-471A-83E1-CEBF83C9D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5590236-136F-4BCA-9ADA-4F83F0112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860AB76-55FD-43AE-B871-9579C53EA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D458F2C-70F0-452B-88CF-AFAABC77D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0626D01-CE38-425F-A41C-2D61550C1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854152</xdr:colOff>
      <xdr:row>65</xdr:row>
      <xdr:rowOff>169436</xdr:rowOff>
    </xdr:from>
    <xdr:to>
      <xdr:col>17</xdr:col>
      <xdr:colOff>477799</xdr:colOff>
      <xdr:row>79</xdr:row>
      <xdr:rowOff>93855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136C4E42-44E4-948C-CF37-820D452FF741}"/>
            </a:ext>
            <a:ext uri="{147F2762-F138-4A5C-976F-8EAC2B608ADB}">
              <a16:predDERef xmlns:a16="http://schemas.microsoft.com/office/drawing/2014/main" pred="{A0626D01-CE38-425F-A41C-2D61550C1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9B8DA2-2989-4911-B417-9EF51FA9A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7620</xdr:colOff>
      <xdr:row>40</xdr:row>
      <xdr:rowOff>7620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7578DBF-BE68-4571-8538-19099A9CD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21</xdr:col>
      <xdr:colOff>0</xdr:colOff>
      <xdr:row>40</xdr:row>
      <xdr:rowOff>15240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AB1FA60-73EA-4BBE-840D-394F821D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31</xdr:col>
      <xdr:colOff>30480</xdr:colOff>
      <xdr:row>40</xdr:row>
      <xdr:rowOff>7620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433E62F-D8F6-401E-B93A-CB5DCE159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15</xdr:col>
      <xdr:colOff>304800</xdr:colOff>
      <xdr:row>62</xdr:row>
      <xdr:rowOff>60960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3C4551-C3F1-443D-AFA4-C0F2E4EC9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5082-8C75-4AB6-980F-1781DB933EA6}">
  <dimension ref="B1:AC72"/>
  <sheetViews>
    <sheetView tabSelected="1" topLeftCell="A28" zoomScale="115" zoomScaleNormal="115" workbookViewId="0">
      <selection activeCell="J56" sqref="J56"/>
    </sheetView>
  </sheetViews>
  <sheetFormatPr defaultColWidth="11.28515625" defaultRowHeight="14.25" x14ac:dyDescent="0.2"/>
  <cols>
    <col min="1" max="1" width="11.28515625" style="1"/>
    <col min="2" max="2" width="17" style="1" customWidth="1"/>
    <col min="3" max="4" width="11.28515625" style="1"/>
    <col min="5" max="5" width="18.42578125" style="1" bestFit="1" customWidth="1"/>
    <col min="6" max="6" width="18" style="1" customWidth="1"/>
    <col min="7" max="12" width="11.28515625" style="1"/>
    <col min="13" max="13" width="12.5703125" style="1" bestFit="1" customWidth="1"/>
    <col min="14" max="14" width="19.28515625" style="1" customWidth="1"/>
    <col min="15" max="15" width="15.140625" style="1" bestFit="1" customWidth="1"/>
    <col min="16" max="16" width="12.5703125" style="1" bestFit="1" customWidth="1"/>
    <col min="17" max="20" width="11.28515625" style="1"/>
    <col min="21" max="21" width="21.7109375" style="1" customWidth="1"/>
    <col min="22" max="22" width="14" style="1" bestFit="1" customWidth="1"/>
    <col min="23" max="16384" width="11.28515625" style="1"/>
  </cols>
  <sheetData>
    <row r="1" spans="2:25" ht="15" thickBot="1" x14ac:dyDescent="0.25"/>
    <row r="2" spans="2:25" s="33" customFormat="1" ht="18" customHeight="1" x14ac:dyDescent="0.2">
      <c r="B2" s="86" t="s">
        <v>0</v>
      </c>
      <c r="C2" s="87"/>
      <c r="D2" s="88"/>
      <c r="F2" s="86" t="s">
        <v>1</v>
      </c>
      <c r="G2" s="87"/>
      <c r="H2" s="87"/>
      <c r="I2" s="87"/>
      <c r="J2" s="87"/>
      <c r="K2" s="87"/>
      <c r="L2" s="87"/>
      <c r="M2" s="87"/>
      <c r="N2" s="87"/>
      <c r="O2" s="87"/>
      <c r="P2" s="88"/>
      <c r="U2" s="89"/>
      <c r="V2" s="89"/>
      <c r="W2" s="89"/>
      <c r="Y2" s="1"/>
    </row>
    <row r="3" spans="2:25" s="12" customFormat="1" ht="18" customHeight="1" x14ac:dyDescent="0.2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17</v>
      </c>
      <c r="U3" s="12" t="s">
        <v>18</v>
      </c>
      <c r="V3" s="12" t="s">
        <v>12</v>
      </c>
      <c r="W3" s="12" t="s">
        <v>19</v>
      </c>
      <c r="X3" s="12" t="s">
        <v>17</v>
      </c>
      <c r="Y3" s="1" t="s">
        <v>20</v>
      </c>
    </row>
    <row r="4" spans="2:25" s="12" customFormat="1" ht="18" customHeight="1" x14ac:dyDescent="0.2">
      <c r="B4" s="2" t="s">
        <v>21</v>
      </c>
      <c r="C4" s="4">
        <v>0.52629999999999999</v>
      </c>
      <c r="D4" s="19" t="s">
        <v>22</v>
      </c>
      <c r="F4" s="7"/>
      <c r="G4" s="13" t="s">
        <v>22</v>
      </c>
      <c r="H4" s="13" t="s">
        <v>22</v>
      </c>
      <c r="I4" s="13" t="s">
        <v>22</v>
      </c>
      <c r="J4" s="13" t="s">
        <v>23</v>
      </c>
      <c r="K4" s="13" t="s">
        <v>23</v>
      </c>
      <c r="L4" s="13" t="s">
        <v>23</v>
      </c>
      <c r="M4" s="13" t="s">
        <v>23</v>
      </c>
      <c r="N4" s="13" t="s">
        <v>24</v>
      </c>
      <c r="O4" s="13" t="s">
        <v>25</v>
      </c>
      <c r="P4" s="14" t="s">
        <v>26</v>
      </c>
      <c r="Q4" s="13" t="s">
        <v>22</v>
      </c>
      <c r="R4" s="13" t="s">
        <v>22</v>
      </c>
      <c r="S4" s="13" t="s">
        <v>27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">
      <c r="B5" s="2" t="s">
        <v>28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 cm="1">
        <f t="array" ref="O5:O9">W15+V15*M5:M9</f>
        <v>1.4690812209837132E-5</v>
      </c>
      <c r="P5" s="65">
        <v>8219.7999999999993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">
      <c r="B6" s="2" t="s">
        <v>29</v>
      </c>
      <c r="C6" s="4">
        <v>0.40400000000000003</v>
      </c>
      <c r="D6" s="19" t="s">
        <v>22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1.4745863650505927E-5</v>
      </c>
      <c r="P6" s="65">
        <v>8220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">
      <c r="B7" s="2" t="s">
        <v>30</v>
      </c>
      <c r="C7" s="3">
        <v>68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1.4938314560900385E-5</v>
      </c>
      <c r="P7" s="65">
        <v>8220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">
      <c r="B8" s="2" t="s">
        <v>31</v>
      </c>
      <c r="C8" s="3">
        <v>3646</v>
      </c>
      <c r="D8" s="15" t="s">
        <v>32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1.5124270078729507E-5</v>
      </c>
      <c r="P8" s="65">
        <v>8220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25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1.5177667784481362E-5</v>
      </c>
      <c r="P9" s="77">
        <v>8220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">
      <c r="B10" s="2" t="s">
        <v>33</v>
      </c>
      <c r="C10" s="35">
        <f>C3*C4*(C8/60*2*PI())^2*C7</f>
        <v>3844513.6200951803</v>
      </c>
      <c r="D10" s="24" t="s">
        <v>34</v>
      </c>
      <c r="N10" s="1" t="s">
        <v>35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">
      <c r="B11" s="2" t="s">
        <v>36</v>
      </c>
      <c r="C11" s="35">
        <f>C5*C6*(C8/60*2*PI())^2*C7</f>
        <v>482578.41126684449</v>
      </c>
      <c r="D11" s="24" t="s">
        <v>34</v>
      </c>
      <c r="N11" s="5" t="s">
        <v>37</v>
      </c>
      <c r="O11" s="5" t="s">
        <v>38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">
      <c r="B13" s="25" t="s">
        <v>39</v>
      </c>
      <c r="C13" s="49">
        <f>-(C10+C11)/(PI()*H9*R9)</f>
        <v>-35841022.857631452</v>
      </c>
      <c r="D13" s="26" t="s">
        <v>24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25">
      <c r="B14" s="27" t="s">
        <v>40</v>
      </c>
      <c r="C14" s="50">
        <v>0</v>
      </c>
      <c r="D14" s="28" t="s">
        <v>24</v>
      </c>
      <c r="N14" s="5">
        <f t="shared" si="6"/>
        <v>172272033157.29672</v>
      </c>
      <c r="O14" s="34">
        <f t="shared" si="7"/>
        <v>-325800307.22839355</v>
      </c>
      <c r="U14" s="5" t="s">
        <v>41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">
      <c r="N15" s="5">
        <f t="shared" si="6"/>
        <v>169195267876.60303</v>
      </c>
      <c r="O15" s="34">
        <f t="shared" si="7"/>
        <v>247233727.42321777</v>
      </c>
      <c r="U15" s="5" t="s">
        <v>42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"/>
    <row r="18" spans="2:25" s="5" customFormat="1" ht="18" customHeight="1" thickBot="1" x14ac:dyDescent="0.25"/>
    <row r="19" spans="2:25" s="5" customFormat="1" ht="18" customHeight="1" x14ac:dyDescent="0.2">
      <c r="B19" s="86" t="s">
        <v>43</v>
      </c>
      <c r="C19" s="87"/>
      <c r="D19" s="87"/>
      <c r="E19" s="87"/>
      <c r="F19" s="87"/>
      <c r="G19" s="87"/>
      <c r="H19" s="87"/>
      <c r="I19" s="87"/>
      <c r="J19" s="88"/>
      <c r="L19" s="81" t="s">
        <v>44</v>
      </c>
      <c r="M19" s="47">
        <f>C21/E21</f>
        <v>0.97553922757376821</v>
      </c>
      <c r="N19" s="48">
        <f>D21-C21/E21*F21</f>
        <v>4.9243984629544677E-12</v>
      </c>
      <c r="P19" s="81" t="s">
        <v>45</v>
      </c>
      <c r="Q19" s="48">
        <f>(H21+J21)-C21/E21*(G21+I21)</f>
        <v>1.9403135799745817E-4</v>
      </c>
    </row>
    <row r="20" spans="2:25" s="5" customFormat="1" ht="18" customHeight="1" thickBot="1" x14ac:dyDescent="0.25">
      <c r="B20" s="16" t="s">
        <v>4</v>
      </c>
      <c r="C20" s="17" t="s">
        <v>46</v>
      </c>
      <c r="D20" s="17" t="s">
        <v>47</v>
      </c>
      <c r="E20" s="17" t="s">
        <v>48</v>
      </c>
      <c r="F20" s="17" t="s">
        <v>49</v>
      </c>
      <c r="G20" s="17" t="s">
        <v>50</v>
      </c>
      <c r="H20" s="17" t="s">
        <v>51</v>
      </c>
      <c r="I20" s="17" t="s">
        <v>52</v>
      </c>
      <c r="J20" s="18" t="s">
        <v>53</v>
      </c>
      <c r="L20" s="82"/>
      <c r="M20" s="39">
        <f>1/E21</f>
        <v>1586506469.5126541</v>
      </c>
      <c r="N20" s="40">
        <f>-F21/E21</f>
        <v>0.93821446745424708</v>
      </c>
      <c r="P20" s="82"/>
      <c r="Q20" s="40">
        <f>-(G21+I21)/E21</f>
        <v>-2566785.6368644102</v>
      </c>
    </row>
    <row r="21" spans="2:25" s="5" customFormat="1" ht="18" customHeight="1" x14ac:dyDescent="0.2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8.0820374308100576E-5</v>
      </c>
      <c r="H21" s="36">
        <f>$P5*($C$8/60*2*3.14)^2*($H5^2/4)*(3+0.3)/16/$N5*H5*(0.7*(1+($G5/$H5)^2)+1.3*(G5/H5)^2-(1-0.3^2)/(3+0.3))</f>
        <v>7.8517673294517125E-5</v>
      </c>
      <c r="I21" s="36">
        <f>$O5/12*$L5/(($H5-$G5)/2)*((0.3-2)*G5^2+(1-0.3)*($H5^2+$G5^2+$G5*$H5)/($G5+$H5)*G5+(1+0.3)*($G5^2*$H5^2)/($G5+$H5)*1/G5)+$O5*($J5-20)*G5/2</f>
        <v>1.5370650148721153E-3</v>
      </c>
      <c r="J21" s="38">
        <f>$O5/12*$L5/(($H5-$G5)/2)*((0.3-2)*H5^2+(1-0.3)*($H5^2+$G5^2+$G5*$H5)/($G5+$H5)*H5+(1+0.3)*($G5^2*$H5^2)/($G5+$H5)*1/H5)+$O5*($K5-20)*H5/2</f>
        <v>1.6938243475666942E-3</v>
      </c>
      <c r="L21" s="81" t="s">
        <v>54</v>
      </c>
      <c r="M21" s="47">
        <f>C22/E22</f>
        <v>0.96403175685256259</v>
      </c>
      <c r="N21" s="48">
        <f>D22-C22/E22*F22</f>
        <v>1.5639503569822637E-11</v>
      </c>
      <c r="P21" s="81" t="s">
        <v>55</v>
      </c>
      <c r="Q21" s="48">
        <f>(H22+J22)-C22/E22*(G22+I22)</f>
        <v>3.7375372083805884E-4</v>
      </c>
    </row>
    <row r="22" spans="2:25" s="5" customFormat="1" ht="18" customHeight="1" thickBot="1" x14ac:dyDescent="0.25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1.2201207895591133E-4</v>
      </c>
      <c r="H22" s="36">
        <f>$P6*($C$8/60*2*3.14)^2*($H6^2/4)*(3+0.3)/16/$N6*H6*(0.7*(1+($G6/$H6)^2)+1.3*(G6/H6)^2-(1-0.3^2)/(3+0.3))</f>
        <v>1.1627616885365176E-4</v>
      </c>
      <c r="I22" s="36">
        <f>$O6/12*$L6/(($H6-$G6)/2)*((0.3-2)*G6^2+(1-0.3)*($H6^2+$G6^2+$G6*$H6)/($G6+$H6)*G6+(1+0.3)*($G6^2*$H6^2)/($G6+$H6)*1/G6)+$O6*($J6-20)*G6/2</f>
        <v>1.7495470777771284E-3</v>
      </c>
      <c r="J22" s="38">
        <f>$O6/12*$L6/(($H6-$G6)/2)*((0.3-2)*H6^2+(1-0.3)*($H6^2+$G6^2+$G6*$H6)/($G6+$H6)*H6+(1+0.3)*($G6^2*$H6^2)/($G6+$H6)*1/H6)+$O6*($K6-20)*H6/2</f>
        <v>2.06172001390326E-3</v>
      </c>
      <c r="L22" s="82"/>
      <c r="M22" s="39">
        <f>1/E22</f>
        <v>1342990721.0122635</v>
      </c>
      <c r="N22" s="40">
        <f>-F22/E22</f>
        <v>0.90203446718811231</v>
      </c>
      <c r="P22" s="82"/>
      <c r="Q22" s="40">
        <f>-(G22+I22)/E22</f>
        <v>-2513486.5813180092</v>
      </c>
    </row>
    <row r="23" spans="2:25" s="5" customFormat="1" ht="18" customHeight="1" x14ac:dyDescent="0.2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2.5105636025586636E-4</v>
      </c>
      <c r="H23" s="36">
        <f>$P7*($C$8/60*2*3.14)^2*($H7^2/4)*(3+0.3)/16/$N7*H7*(0.7*(1+($G7/$H7)^2)+1.3*(G7/H7)^2-(1-0.3^2)/(3+0.3))</f>
        <v>2.3190211767615994E-4</v>
      </c>
      <c r="I23" s="36">
        <f>$O7/12*$L7/(($H7-$G7)/2)*((0.3-2)*G7^2+(1-0.3)*($H7^2+$G7^2+$G7*$H7)/($G7+$H7)*G7+(1+0.3)*($G7^2*$H7^2)/($G7+$H7)*1/G7)+$O7*($J7-20)*G7/2</f>
        <v>2.297798144489255E-3</v>
      </c>
      <c r="J23" s="38">
        <f>$O7/12*$L7/(($H7-$G7)/2)*((0.3-2)*H7^2+(1-0.3)*($H7^2+$G7^2+$G7*$H7)/($G7+$H7)*H7+(1+0.3)*($G7^2*$H7^2)/($G7+$H7)*1/H7)+$O7*($K7-20)*H7/2</f>
        <v>3.0502728916460249E-3</v>
      </c>
      <c r="L23" s="81" t="s">
        <v>56</v>
      </c>
      <c r="M23" s="47">
        <f>C23/E23</f>
        <v>0.95426762878198901</v>
      </c>
      <c r="N23" s="48">
        <f>D23-C23/E23*F23</f>
        <v>9.4567118953445927E-11</v>
      </c>
      <c r="P23" s="81" t="s">
        <v>57</v>
      </c>
      <c r="Q23" s="48">
        <f>(H23+J23)-C23/E23*(G23+I23)</f>
        <v>8.4988566496876699E-4</v>
      </c>
    </row>
    <row r="24" spans="2:25" s="5" customFormat="1" ht="18" customHeight="1" thickBot="1" x14ac:dyDescent="0.25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3.9410104080143433E-4</v>
      </c>
      <c r="H24" s="36">
        <f>$P8*($C$8/60*2*3.14)^2*($H8^2/4)*(3+0.3)/16/$N8*H8*(0.7*(1+($G8/$H8)^2)+1.3*(G8/H8)^2-(1-0.3^2)/(3+0.3))</f>
        <v>3.8932890402102848E-4</v>
      </c>
      <c r="I24" s="36">
        <f>$O8/12*$L8/(($H8-$G8)/2)*((0.3-2)*G8^2+(1-0.3)*($H8^2+$G8^2+$G8*$H8)/($G8+$H8)*G8+(1+0.3)*($G8^2*$H8^2)/($G8+$H8)*1/G8)+$O8*($J8-20)*G8/2</f>
        <v>3.3418935650259707E-3</v>
      </c>
      <c r="J24" s="38">
        <f>$O8/12*$L8/(($H8-$G8)/2)*((0.3-2)*H8^2+(1-0.3)*($H8^2+$G8^2+$G8*$H8)/($G8+$H8)*H8+(1+0.3)*($G8^2*$H8^2)/($G8+$H8)*1/H8)+$O8*($K8-20)*H8/2</f>
        <v>3.4805944152543943E-3</v>
      </c>
      <c r="L24" s="82"/>
      <c r="M24" s="39">
        <f>1/E23</f>
        <v>597436121.51230848</v>
      </c>
      <c r="N24" s="40">
        <f>-F23/E23</f>
        <v>0.84861607853985743</v>
      </c>
      <c r="P24" s="82"/>
      <c r="Q24" s="40">
        <f>-(G23+I23)/E23</f>
        <v>-1522777.7496141009</v>
      </c>
    </row>
    <row r="25" spans="2:25" s="5" customFormat="1" ht="18" customHeight="1" thickBot="1" x14ac:dyDescent="0.25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4.3394334758894808E-4</v>
      </c>
      <c r="H25" s="39">
        <f>$P9*($C$8/60*2*3.14)^2*($H9^2/4)*(3+0.3)/16/$N9*H9*(0.7*(1+($G9/$H9)^2)+1.3*(G9/H9)^2-(1-0.3^2)/(3+0.3))</f>
        <v>4.3120582432160348E-4</v>
      </c>
      <c r="I25" s="39">
        <f>$O9/12*$L9/(($H9-$G9)/2)*((0.3-2)*G9^2+(1-0.3)*($H9^2+$G9^2+$G9*$H9)/($G9+$H9)*G9+(1+0.3)*($G9^2*$H9^2)/($G9+$H9)*1/G9)+$O9*($J9-20)*G9/2</f>
        <v>3.5716970142282306E-3</v>
      </c>
      <c r="J25" s="40">
        <f>$O9/12*$L9/(($H9-$G9)/2)*((0.3-2)*H9^2+(1-0.3)*($H9^2+$G9^2+$G9*$H9)/($G9+$H9)*H9+(1+0.3)*($G9^2*$H9^2)/($G9+$H9)*1/H9)+$O9*($K9-20)*H9/2</f>
        <v>3.6478704294939874E-3</v>
      </c>
      <c r="L25" s="81" t="s">
        <v>58</v>
      </c>
      <c r="M25" s="47">
        <f>C24/E24</f>
        <v>0.98862394111551066</v>
      </c>
      <c r="N25" s="48">
        <f>D24-C24/E24*F24</f>
        <v>3.0742405409491731E-12</v>
      </c>
      <c r="P25" s="81" t="s">
        <v>59</v>
      </c>
      <c r="Q25" s="48">
        <f>(H24+J24)-C24/E24*(G24+I24)</f>
        <v>1.7642960807604489E-4</v>
      </c>
    </row>
    <row r="26" spans="2:25" s="5" customFormat="1" ht="18" customHeight="1" thickBot="1" x14ac:dyDescent="0.25">
      <c r="L26" s="82"/>
      <c r="M26" s="39">
        <f>1/E24</f>
        <v>470256155.94969195</v>
      </c>
      <c r="N26" s="40">
        <f>-F24/E24</f>
        <v>0.97266096954263248</v>
      </c>
      <c r="P26" s="82"/>
      <c r="Q26" s="40">
        <f>-(G24+I24)/E24</f>
        <v>-1756874.4619851799</v>
      </c>
    </row>
    <row r="27" spans="2:25" s="5" customFormat="1" ht="18" customHeight="1" x14ac:dyDescent="0.2">
      <c r="L27" s="81" t="s">
        <v>60</v>
      </c>
      <c r="M27" s="47">
        <f>C25/E25</f>
        <v>0.99389138578053193</v>
      </c>
      <c r="N27" s="48">
        <f>D25-C25/E25*F25</f>
        <v>9.1928263565482017E-13</v>
      </c>
      <c r="P27" s="81" t="s">
        <v>61</v>
      </c>
      <c r="Q27" s="48">
        <f>(H25+J25)-C25/E25*(G25+I25)</f>
        <v>9.7904803670684042E-5</v>
      </c>
    </row>
    <row r="28" spans="2:25" s="5" customFormat="1" ht="18" customHeight="1" thickBot="1" x14ac:dyDescent="0.25">
      <c r="L28" s="82"/>
      <c r="M28" s="39">
        <f>1/E25</f>
        <v>431686763.80427253</v>
      </c>
      <c r="N28" s="40">
        <f>-F25/E25</f>
        <v>0.98553548613975084</v>
      </c>
      <c r="P28" s="82"/>
      <c r="Q28" s="40">
        <f>-(G25+I25)/E25</f>
        <v>-1729181.9247566331</v>
      </c>
    </row>
    <row r="29" spans="2:25" s="5" customFormat="1" ht="18" customHeight="1" x14ac:dyDescent="0.2">
      <c r="F29" s="34"/>
      <c r="G29" s="34"/>
      <c r="J29" s="34"/>
    </row>
    <row r="30" spans="2:25" s="5" customFormat="1" ht="18" customHeight="1" x14ac:dyDescent="0.2">
      <c r="F30" s="34"/>
      <c r="G30" s="34"/>
      <c r="J30" s="34"/>
    </row>
    <row r="31" spans="2:25" s="5" customFormat="1" ht="18" customHeight="1" thickBot="1" x14ac:dyDescent="0.25">
      <c r="F31" s="34"/>
      <c r="G31" s="34"/>
      <c r="J31" s="34"/>
    </row>
    <row r="32" spans="2:25" ht="18" customHeight="1" x14ac:dyDescent="0.2">
      <c r="B32" s="92" t="s">
        <v>62</v>
      </c>
      <c r="C32" s="93"/>
      <c r="D32" s="93"/>
      <c r="E32" s="93"/>
      <c r="F32" s="93"/>
      <c r="G32" s="93"/>
      <c r="H32" s="93"/>
      <c r="I32" s="94"/>
      <c r="J32" s="95" t="s">
        <v>63</v>
      </c>
      <c r="K32" s="96"/>
      <c r="L32" s="96"/>
      <c r="M32" s="97"/>
      <c r="Y32" s="5"/>
    </row>
    <row r="33" spans="2:29" ht="18" customHeight="1" x14ac:dyDescent="0.25">
      <c r="B33" s="83" t="s">
        <v>64</v>
      </c>
      <c r="C33" s="84"/>
      <c r="D33" s="84"/>
      <c r="E33" s="84"/>
      <c r="F33" s="84" t="s">
        <v>65</v>
      </c>
      <c r="G33" s="84"/>
      <c r="H33" s="84"/>
      <c r="I33" s="85"/>
      <c r="J33" s="98" t="s">
        <v>66</v>
      </c>
      <c r="K33" s="99"/>
      <c r="L33" s="99"/>
      <c r="M33" s="100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">
      <c r="B34" s="43" t="s">
        <v>67</v>
      </c>
      <c r="C34" s="51">
        <v>0</v>
      </c>
      <c r="D34" s="44" t="s">
        <v>68</v>
      </c>
      <c r="E34" s="20">
        <f>$M19*C34+$N19*C35+$Q19</f>
        <v>1.9403135799745817E-4</v>
      </c>
      <c r="F34" s="43" t="s">
        <v>67</v>
      </c>
      <c r="G34" s="51">
        <f>H9/1000</f>
        <v>7.94E-4</v>
      </c>
      <c r="H34" s="44" t="s">
        <v>68</v>
      </c>
      <c r="I34" s="20">
        <f>$M19*G34+$N19*G35+$Q19</f>
        <v>9.6860950469103012E-4</v>
      </c>
      <c r="J34" s="43" t="s">
        <v>67</v>
      </c>
      <c r="K34" s="51">
        <f>(P36-P45)/O45</f>
        <v>2.3946959455138981E-3</v>
      </c>
      <c r="L34" s="44" t="s">
        <v>68</v>
      </c>
      <c r="M34" s="20">
        <f>$M19*K34+$N19*K35+$Q19</f>
        <v>2.5301511909581213E-3</v>
      </c>
      <c r="Y34" s="5"/>
    </row>
    <row r="35" spans="2:29" ht="18" customHeight="1" x14ac:dyDescent="0.2">
      <c r="B35" s="43" t="s">
        <v>69</v>
      </c>
      <c r="C35" s="51">
        <v>0</v>
      </c>
      <c r="D35" s="44" t="s">
        <v>70</v>
      </c>
      <c r="E35" s="20">
        <f>$M20*C34+$N20*C35+$Q20</f>
        <v>-2566785.6368644102</v>
      </c>
      <c r="F35" s="43" t="s">
        <v>69</v>
      </c>
      <c r="G35" s="51">
        <v>0</v>
      </c>
      <c r="H35" s="44" t="s">
        <v>70</v>
      </c>
      <c r="I35" s="20">
        <f>$M20*G34+$N20*G35+$Q20</f>
        <v>-1307099.5000713628</v>
      </c>
      <c r="J35" s="43" t="s">
        <v>69</v>
      </c>
      <c r="K35" s="51">
        <v>0</v>
      </c>
      <c r="L35" s="44" t="s">
        <v>70</v>
      </c>
      <c r="M35" s="20">
        <f>$M20*K34+$N20*K35+$Q20</f>
        <v>1232414.9732091115</v>
      </c>
    </row>
    <row r="36" spans="2:29" ht="18" customHeight="1" x14ac:dyDescent="0.2">
      <c r="B36" s="43" t="s">
        <v>71</v>
      </c>
      <c r="C36" s="34">
        <f t="shared" ref="C36:C43" si="8">E34</f>
        <v>1.9403135799745817E-4</v>
      </c>
      <c r="D36" s="44" t="s">
        <v>72</v>
      </c>
      <c r="E36" s="20">
        <f>$M21*C36+$N21*C37+$Q21</f>
        <v>5.2066285864212655E-4</v>
      </c>
      <c r="F36" s="43" t="s">
        <v>71</v>
      </c>
      <c r="G36" s="34">
        <f>I34</f>
        <v>9.6860950469103012E-4</v>
      </c>
      <c r="H36" s="44" t="s">
        <v>72</v>
      </c>
      <c r="I36" s="20">
        <f>$M21*G36+$N21*G37+$Q21</f>
        <v>1.2870816560519637E-3</v>
      </c>
      <c r="J36" s="43" t="s">
        <v>71</v>
      </c>
      <c r="K36" s="34">
        <f>M34</f>
        <v>2.5301511909581213E-3</v>
      </c>
      <c r="L36" s="44" t="s">
        <v>72</v>
      </c>
      <c r="M36" s="20">
        <f>$M21*K36+$N21*K37+$Q21</f>
        <v>2.8321741769330271E-3</v>
      </c>
      <c r="O36" s="1" t="s">
        <v>73</v>
      </c>
      <c r="P36" s="74">
        <f>(C10+C11)/(PI()*H9)</f>
        <v>1734705.5063093624</v>
      </c>
    </row>
    <row r="37" spans="2:29" ht="18" customHeight="1" x14ac:dyDescent="0.2">
      <c r="B37" s="43" t="s">
        <v>74</v>
      </c>
      <c r="C37" s="34">
        <f t="shared" si="8"/>
        <v>-2566785.6368644102</v>
      </c>
      <c r="D37" s="44" t="s">
        <v>75</v>
      </c>
      <c r="E37" s="20">
        <f>$M22*C36+$N22*C37+$Q22</f>
        <v>-4568233.3822771013</v>
      </c>
      <c r="F37" s="43" t="s">
        <v>74</v>
      </c>
      <c r="G37" s="34">
        <f t="shared" ref="G37:G43" si="9">I35</f>
        <v>-1307099.5000713628</v>
      </c>
      <c r="H37" s="44" t="s">
        <v>75</v>
      </c>
      <c r="I37" s="20">
        <f>$M22*G36+$N22*G37+$Q22</f>
        <v>-2391701.8053423911</v>
      </c>
      <c r="J37" s="43" t="s">
        <v>74</v>
      </c>
      <c r="K37" s="34">
        <f t="shared" ref="K37:K43" si="10">M35</f>
        <v>1232414.9732091115</v>
      </c>
      <c r="L37" s="44" t="s">
        <v>75</v>
      </c>
      <c r="M37" s="20">
        <f>$M22*K36+$N22*K37+$Q22</f>
        <v>1996163.7746102079</v>
      </c>
    </row>
    <row r="38" spans="2:29" ht="18" customHeight="1" x14ac:dyDescent="0.2">
      <c r="B38" s="43" t="s">
        <v>76</v>
      </c>
      <c r="C38" s="34">
        <f t="shared" si="8"/>
        <v>5.2066285864212655E-4</v>
      </c>
      <c r="D38" s="44" t="s">
        <v>77</v>
      </c>
      <c r="E38" s="20">
        <f>$M23*C38+$N23*C39+$Q23</f>
        <v>9.147327068111397E-4</v>
      </c>
      <c r="F38" s="43" t="s">
        <v>76</v>
      </c>
      <c r="G38" s="34">
        <f t="shared" si="9"/>
        <v>1.2870816560519637E-3</v>
      </c>
      <c r="H38" s="44" t="s">
        <v>77</v>
      </c>
      <c r="I38" s="20">
        <f>$M23*G38+$N23*G39+$Q23</f>
        <v>1.8519296758112845E-3</v>
      </c>
      <c r="J38" s="43" t="s">
        <v>76</v>
      </c>
      <c r="K38" s="34">
        <f t="shared" si="10"/>
        <v>2.8321741769330271E-3</v>
      </c>
      <c r="L38" s="44" t="s">
        <v>77</v>
      </c>
      <c r="M38" s="20">
        <f>$M23*K38+$N23*K39+$Q23</f>
        <v>3.7413092582123512E-3</v>
      </c>
    </row>
    <row r="39" spans="2:29" ht="18" customHeight="1" x14ac:dyDescent="0.2">
      <c r="B39" s="43" t="s">
        <v>78</v>
      </c>
      <c r="C39" s="34">
        <f t="shared" si="8"/>
        <v>-4568233.3822771013</v>
      </c>
      <c r="D39" s="44" t="s">
        <v>79</v>
      </c>
      <c r="E39" s="20">
        <f>$M24*C38+$N24*C39+$Q24</f>
        <v>-5088391.2494543009</v>
      </c>
      <c r="F39" s="43" t="s">
        <v>78</v>
      </c>
      <c r="G39" s="34">
        <f t="shared" si="9"/>
        <v>-2391701.8053423911</v>
      </c>
      <c r="H39" s="44" t="s">
        <v>79</v>
      </c>
      <c r="I39" s="20">
        <f>$M24*G38+$N24*G39+$Q24</f>
        <v>-2783465.2840391342</v>
      </c>
      <c r="J39" s="43" t="s">
        <v>78</v>
      </c>
      <c r="K39" s="34">
        <f t="shared" si="10"/>
        <v>1996163.7746102079</v>
      </c>
      <c r="L39" s="44" t="s">
        <v>79</v>
      </c>
      <c r="M39" s="20">
        <f>$M24*K38+$N24*K39+$Q24</f>
        <v>1863242.080633116</v>
      </c>
    </row>
    <row r="40" spans="2:29" ht="18" customHeight="1" x14ac:dyDescent="0.2">
      <c r="B40" s="43" t="s">
        <v>80</v>
      </c>
      <c r="C40" s="34">
        <f t="shared" si="8"/>
        <v>9.147327068111397E-4</v>
      </c>
      <c r="D40" s="44" t="s">
        <v>81</v>
      </c>
      <c r="E40" s="20">
        <f>$M25*C40+$N25*C41+$Q25</f>
        <v>1.0651133230836494E-3</v>
      </c>
      <c r="F40" s="43" t="s">
        <v>80</v>
      </c>
      <c r="G40" s="34">
        <f t="shared" si="9"/>
        <v>1.8519296758112845E-3</v>
      </c>
      <c r="H40" s="44" t="s">
        <v>81</v>
      </c>
      <c r="I40" s="20">
        <f>$M25*G40+$N25*G41+$Q25</f>
        <v>1.9987345810248492E-3</v>
      </c>
      <c r="J40" s="43" t="s">
        <v>80</v>
      </c>
      <c r="K40" s="34">
        <f t="shared" si="10"/>
        <v>3.7413092582123512E-3</v>
      </c>
      <c r="L40" s="44" t="s">
        <v>81</v>
      </c>
      <c r="M40" s="20">
        <f>$M25*K40+$N25*K41+$Q25</f>
        <v>3.8809055662037718E-3</v>
      </c>
    </row>
    <row r="41" spans="2:29" ht="18" customHeight="1" x14ac:dyDescent="0.2">
      <c r="B41" s="43" t="s">
        <v>82</v>
      </c>
      <c r="C41" s="34">
        <f t="shared" si="8"/>
        <v>-5088391.2494543009</v>
      </c>
      <c r="D41" s="44" t="s">
        <v>83</v>
      </c>
      <c r="E41" s="20">
        <f>$M26*C40+$N26*C41+$Q26</f>
        <v>-6275995.3416651841</v>
      </c>
      <c r="F41" s="43" t="s">
        <v>82</v>
      </c>
      <c r="G41" s="34">
        <f t="shared" si="9"/>
        <v>-2783465.2840391342</v>
      </c>
      <c r="H41" s="44" t="s">
        <v>83</v>
      </c>
      <c r="I41" s="20">
        <f>$M26*G40+$N26*G41+$Q26</f>
        <v>-3593361.1734107696</v>
      </c>
      <c r="J41" s="43" t="s">
        <v>82</v>
      </c>
      <c r="K41" s="34">
        <f t="shared" si="10"/>
        <v>1863242.080633116</v>
      </c>
      <c r="L41" s="44" t="s">
        <v>83</v>
      </c>
      <c r="M41" s="20">
        <f>$M26*K40+$N26*K41+$Q26</f>
        <v>1814802.0966419925</v>
      </c>
    </row>
    <row r="42" spans="2:29" ht="18" customHeight="1" x14ac:dyDescent="0.2">
      <c r="B42" s="43" t="s">
        <v>84</v>
      </c>
      <c r="C42" s="34">
        <f t="shared" si="8"/>
        <v>1.0651133230836494E-3</v>
      </c>
      <c r="D42" s="44" t="s">
        <v>85</v>
      </c>
      <c r="E42" s="20">
        <f>$M27*C42+$N27*C43+$Q27</f>
        <v>1.1507423468245564E-3</v>
      </c>
      <c r="F42" s="43" t="s">
        <v>84</v>
      </c>
      <c r="G42" s="34">
        <f t="shared" si="9"/>
        <v>1.9987345810248492E-3</v>
      </c>
      <c r="H42" s="44" t="s">
        <v>85</v>
      </c>
      <c r="I42" s="20">
        <f>$M27*G42+$N27*G43+$Q27</f>
        <v>2.0811265716825893E-3</v>
      </c>
      <c r="J42" s="43" t="s">
        <v>84</v>
      </c>
      <c r="K42" s="34">
        <f t="shared" si="10"/>
        <v>3.8809055662037718E-3</v>
      </c>
      <c r="L42" s="44" t="s">
        <v>85</v>
      </c>
      <c r="M42" s="20">
        <f>$M27*K42+$N27*K43+$Q27</f>
        <v>3.9567717310029235E-3</v>
      </c>
      <c r="O42" s="1" t="s">
        <v>73</v>
      </c>
      <c r="P42" s="1" t="s">
        <v>67</v>
      </c>
    </row>
    <row r="43" spans="2:29" ht="18" customHeight="1" thickBot="1" x14ac:dyDescent="0.25">
      <c r="B43" s="45" t="s">
        <v>86</v>
      </c>
      <c r="C43" s="21">
        <f t="shared" si="8"/>
        <v>-6275995.3416651841</v>
      </c>
      <c r="D43" s="46" t="s">
        <v>73</v>
      </c>
      <c r="E43" s="22">
        <f>$M28*C42+$N28*C43+$Q28</f>
        <v>-7454602.7212886466</v>
      </c>
      <c r="F43" s="45" t="s">
        <v>86</v>
      </c>
      <c r="G43" s="21">
        <f t="shared" si="9"/>
        <v>-3593361.1734107696</v>
      </c>
      <c r="H43" s="46" t="s">
        <v>73</v>
      </c>
      <c r="I43" s="22">
        <f>$M28*G42+$N28*G43+$Q28</f>
        <v>-4407739.6126834154</v>
      </c>
      <c r="J43" s="45" t="s">
        <v>86</v>
      </c>
      <c r="K43" s="21">
        <f t="shared" si="10"/>
        <v>1814802.0966419925</v>
      </c>
      <c r="L43" s="46" t="s">
        <v>73</v>
      </c>
      <c r="M43" s="73">
        <f>$M28*K42+$N28*K43+$Q28</f>
        <v>1734705.5063093659</v>
      </c>
      <c r="O43" s="68">
        <f>E43</f>
        <v>-7454602.7212886466</v>
      </c>
      <c r="P43" s="68">
        <f>C34</f>
        <v>0</v>
      </c>
    </row>
    <row r="44" spans="2:29" ht="18" customHeight="1" x14ac:dyDescent="0.2">
      <c r="O44" s="68">
        <f>I43</f>
        <v>-4407739.6126834154</v>
      </c>
      <c r="P44" s="68">
        <f>G34</f>
        <v>7.94E-4</v>
      </c>
    </row>
    <row r="45" spans="2:29" ht="18" customHeight="1" x14ac:dyDescent="0.2">
      <c r="O45" s="1" cm="1">
        <f t="array" ref="O45:P45">LINEST(O43:O44,P43:P44)</f>
        <v>3837359078.8478985</v>
      </c>
      <c r="P45" s="1">
        <v>-7454602.7212886475</v>
      </c>
    </row>
    <row r="46" spans="2:29" ht="18" customHeight="1" x14ac:dyDescent="0.25">
      <c r="B46" s="90" t="s">
        <v>87</v>
      </c>
      <c r="C46" s="91"/>
      <c r="D46" s="91"/>
      <c r="E46" s="91"/>
      <c r="F46" s="91"/>
      <c r="G46" s="91"/>
      <c r="H46" s="91"/>
      <c r="I46" s="91"/>
      <c r="J46" s="91"/>
    </row>
    <row r="47" spans="2:29" ht="18" customHeight="1" x14ac:dyDescent="0.25">
      <c r="B47" s="37" t="s">
        <v>14</v>
      </c>
      <c r="C47" s="17" t="s">
        <v>88</v>
      </c>
      <c r="D47" s="17" t="s">
        <v>18</v>
      </c>
      <c r="E47" s="8" t="s">
        <v>12</v>
      </c>
      <c r="F47" s="10" t="s">
        <v>13</v>
      </c>
      <c r="G47" s="42" t="s">
        <v>89</v>
      </c>
      <c r="H47" s="42" t="s">
        <v>90</v>
      </c>
      <c r="I47" s="42" t="s">
        <v>91</v>
      </c>
      <c r="J47" s="17" t="s">
        <v>92</v>
      </c>
      <c r="K47" s="18" t="s">
        <v>93</v>
      </c>
      <c r="L47" s="1" t="s">
        <v>17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">
      <c r="B48" s="37" t="s">
        <v>22</v>
      </c>
      <c r="C48" s="17" t="s">
        <v>22</v>
      </c>
      <c r="D48" s="17" t="s">
        <v>23</v>
      </c>
      <c r="E48" s="13" t="s">
        <v>24</v>
      </c>
      <c r="F48" s="13" t="s">
        <v>25</v>
      </c>
      <c r="G48" s="17" t="s">
        <v>27</v>
      </c>
      <c r="H48" s="17" t="s">
        <v>27</v>
      </c>
      <c r="I48" s="17" t="s">
        <v>27</v>
      </c>
      <c r="J48" s="17" t="s">
        <v>34</v>
      </c>
      <c r="K48" s="18" t="s">
        <v>94</v>
      </c>
      <c r="L48" s="1" t="s">
        <v>27</v>
      </c>
      <c r="S48" s="1" cm="1">
        <f t="array" ref="S48:AC48">(_xlfn.ANCHORARRAY(S47)*O45+P45)</f>
        <v>-7454602.7212886475</v>
      </c>
      <c r="T48" s="1">
        <v>-6303394.9976342786</v>
      </c>
      <c r="U48" s="1">
        <v>-5152187.2739799088</v>
      </c>
      <c r="V48" s="1">
        <v>-4000979.550325539</v>
      </c>
      <c r="W48" s="1">
        <v>-2849771.8266711701</v>
      </c>
      <c r="X48" s="1">
        <v>-1698564.1030168002</v>
      </c>
      <c r="Y48" s="1">
        <v>-547356.37936243135</v>
      </c>
      <c r="Z48" s="1">
        <v>603851.34429193847</v>
      </c>
      <c r="AA48" s="1">
        <v>1755059.0679463074</v>
      </c>
      <c r="AB48" s="1">
        <v>2906266.7916006781</v>
      </c>
      <c r="AC48" s="1">
        <v>4057474.515255047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 cm="1">
        <f t="array" ref="F49:F54">W15+V15*D49:D54</f>
        <v>1.4676386859477302E-5</v>
      </c>
      <c r="G49" s="54">
        <f>K35/C49*0.000001</f>
        <v>0</v>
      </c>
      <c r="H49" s="54">
        <f>(E49*(K34/B49-F49*(D49-20))+0.3*G49*1000000)*0.000001</f>
        <v>712.4459812836177</v>
      </c>
      <c r="I49" s="58">
        <f>(1/SQRT(2))*SQRT((G49-H49)^2+(G49-0)^2+(H49-0)^2)</f>
        <v>712.44598128361758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1.470523756019696E-5</v>
      </c>
      <c r="G50" s="54">
        <f>K37/C50*0.000001</f>
        <v>56.018862418595972</v>
      </c>
      <c r="H50" s="54">
        <f>(E50*(K36/B50-F50*(D50-20))+0.3*G50*1000000)*0.000001</f>
        <v>625.5346612759804</v>
      </c>
      <c r="I50" s="58">
        <f>(1/SQRT(2))*SQRT((H50-G50)^2+(G50-0)^2+(H50-0)^2)</f>
        <v>599.49143886818501</v>
      </c>
      <c r="J50" s="59">
        <f>(B50-B49)*(H50*C50+H49*C49)*1000000</f>
        <v>649937.47692975006</v>
      </c>
      <c r="K50" s="60">
        <f>(B50-B49)*(C50+C49)</f>
        <v>9.7151999999999948E-4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1.4786489740814892E-5</v>
      </c>
      <c r="G51" s="54">
        <f>K39/C51*0.000001</f>
        <v>443.59194991337955</v>
      </c>
      <c r="H51" s="54">
        <f>(E51*(K38/B51-F51*(D51-20))+0.3*G51*1000000)*0.000001</f>
        <v>584.14671196207087</v>
      </c>
      <c r="I51" s="58">
        <f>(1/SQRT(2))*SQRT((H51-G51)^2+(G51-0)^2+(H51-0)^2)</f>
        <v>528.08940543179665</v>
      </c>
      <c r="J51" s="59">
        <f>(B51-B50)*(H51*C51+H50*C50)*1000000</f>
        <v>697740.29654842103</v>
      </c>
      <c r="K51" s="60">
        <f t="shared" ref="K51:K54" si="13">(B51-B50)*(C51+C50)</f>
        <v>1.1281050000000006E-3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1.5090139380985878E-5</v>
      </c>
      <c r="G52" s="54">
        <f>K41/C52*0.000001</f>
        <v>414.05379569624796</v>
      </c>
      <c r="H52" s="54">
        <f>(E52*(K40/B52-F52*(D52-20))+0.3*G52*1000000)*0.000001</f>
        <v>331.29118676883456</v>
      </c>
      <c r="I52" s="58">
        <f>(1/SQRT(2))*SQRT((H52-G52)^2+(G52-0)^2+(H52-0)^2)</f>
        <v>379.50233569613573</v>
      </c>
      <c r="J52" s="59">
        <f>(B52-B51)*(H52*C52+H51*C51)*1000000</f>
        <v>379279.65301269502</v>
      </c>
      <c r="K52" s="60">
        <f t="shared" si="13"/>
        <v>8.286299999999998E-4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1.5158400776473136E-5</v>
      </c>
      <c r="G53" s="54">
        <f>K43/C53*0.000001</f>
        <v>37.495911087644473</v>
      </c>
      <c r="H53" s="54">
        <f>(E53*(K42/B53-F53*(D53-20))+0.3*G53*1000000)*0.000001</f>
        <v>159.38888602815518</v>
      </c>
      <c r="I53" s="58">
        <f>(1/SQRT(2))*SQRT((H53-G53)^2+(G53-0)^2+(H53-0)^2)</f>
        <v>144.34101578802324</v>
      </c>
      <c r="J53" s="59">
        <f>(B53-B52)*(H53*C53+H52*C52)*1000000</f>
        <v>142589.05025120603</v>
      </c>
      <c r="K53" s="60">
        <f t="shared" si="13"/>
        <v>8.1942100000000008E-4</v>
      </c>
      <c r="L53" s="1">
        <f t="shared" si="12"/>
        <v>1108.5747281778663</v>
      </c>
    </row>
    <row r="54" spans="2:12" ht="18" customHeight="1" x14ac:dyDescent="0.25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1.5196934792489585E-5</v>
      </c>
      <c r="G54" s="57">
        <f>M43/C54*0.000001</f>
        <v>35.841022857631522</v>
      </c>
      <c r="H54" s="57">
        <f>(E54*(M42/B54-F54*(D54-20))+0.3*G54*1000000)*0.000001</f>
        <v>126.75572870658146</v>
      </c>
      <c r="I54" s="80">
        <f>(1/SQRT(2))*SQRT((H54-G54)^2+(G54-0)^2+(H54-0)^2)</f>
        <v>113.17481481985918</v>
      </c>
      <c r="J54" s="61">
        <f>(B54-B53)*(H54*C54+H53*C53)*1000000</f>
        <v>114811.52063770706</v>
      </c>
      <c r="K54" s="60">
        <f t="shared" si="13"/>
        <v>8.0247200000000188E-4</v>
      </c>
      <c r="L54" s="1">
        <f t="shared" si="12"/>
        <v>1094.0795989128046</v>
      </c>
    </row>
    <row r="55" spans="2:12" ht="18" customHeight="1" x14ac:dyDescent="0.2">
      <c r="B55" s="1" t="s">
        <v>95</v>
      </c>
      <c r="D55" s="17"/>
      <c r="E55" s="17"/>
    </row>
    <row r="56" spans="2:12" ht="18" customHeight="1" x14ac:dyDescent="0.2">
      <c r="I56" s="41" t="s">
        <v>96</v>
      </c>
      <c r="J56" s="36">
        <f>SUM(J50:J54)</f>
        <v>1984357.9973797791</v>
      </c>
      <c r="K56" s="36">
        <f>SUM(K50:K54)</f>
        <v>4.5501480000000021E-3</v>
      </c>
    </row>
    <row r="57" spans="2:12" ht="18" customHeight="1" x14ac:dyDescent="0.25">
      <c r="I57" s="32" t="s">
        <v>97</v>
      </c>
      <c r="J57" s="54">
        <f>J56/K56*0.000001</f>
        <v>436.10845128109639</v>
      </c>
      <c r="K57" s="1" t="s">
        <v>27</v>
      </c>
    </row>
    <row r="58" spans="2:12" ht="18" customHeight="1" x14ac:dyDescent="0.2">
      <c r="I58" s="30" t="s">
        <v>17</v>
      </c>
      <c r="J58" s="54">
        <f>AVERAGE(S5:S9)</f>
        <v>1141.638735896563</v>
      </c>
      <c r="K58" s="1" t="s">
        <v>27</v>
      </c>
    </row>
    <row r="59" spans="2:12" ht="18" customHeight="1" x14ac:dyDescent="0.35">
      <c r="I59" s="30" t="s">
        <v>98</v>
      </c>
      <c r="J59" s="63">
        <f>C8*SQRT(J58/J57)</f>
        <v>5899.0728690376372</v>
      </c>
      <c r="K59" s="1" t="s">
        <v>32</v>
      </c>
    </row>
    <row r="60" spans="2:12" ht="18" customHeight="1" x14ac:dyDescent="0.2"/>
    <row r="61" spans="2:12" ht="18" customHeight="1" x14ac:dyDescent="0.2"/>
    <row r="62" spans="2:12" ht="18" customHeight="1" x14ac:dyDescent="0.2"/>
    <row r="63" spans="2:12" ht="18" customHeight="1" x14ac:dyDescent="0.2"/>
    <row r="64" spans="2:12" ht="18" customHeight="1" x14ac:dyDescent="0.2"/>
    <row r="65" spans="5:13" ht="18" customHeight="1" x14ac:dyDescent="0.2"/>
    <row r="66" spans="5:13" ht="18" customHeight="1" x14ac:dyDescent="0.2"/>
    <row r="67" spans="5:13" ht="18" customHeight="1" x14ac:dyDescent="0.2">
      <c r="M67" s="1" t="s">
        <v>99</v>
      </c>
    </row>
    <row r="68" spans="5:13" ht="18" customHeight="1" x14ac:dyDescent="0.2">
      <c r="M68" s="68">
        <f>$K$34</f>
        <v>2.3946959455138981E-3</v>
      </c>
    </row>
    <row r="69" spans="5:13" ht="18" customHeight="1" x14ac:dyDescent="0.2">
      <c r="M69" s="68">
        <f>M34</f>
        <v>2.5301511909581213E-3</v>
      </c>
    </row>
    <row r="70" spans="5:13" ht="18" customHeight="1" x14ac:dyDescent="0.2">
      <c r="M70" s="68">
        <f>M36</f>
        <v>2.8321741769330271E-3</v>
      </c>
    </row>
    <row r="71" spans="5:13" ht="18" customHeight="1" x14ac:dyDescent="0.2">
      <c r="E71" s="17"/>
      <c r="M71" s="68">
        <f>M38</f>
        <v>3.7413092582123512E-3</v>
      </c>
    </row>
    <row r="72" spans="5:13" x14ac:dyDescent="0.2">
      <c r="M72" s="68">
        <f>M40</f>
        <v>3.8809055662037718E-3</v>
      </c>
    </row>
  </sheetData>
  <mergeCells count="20">
    <mergeCell ref="U2:W2"/>
    <mergeCell ref="B46:J46"/>
    <mergeCell ref="F2:P2"/>
    <mergeCell ref="B2:D2"/>
    <mergeCell ref="B32:I32"/>
    <mergeCell ref="J32:M32"/>
    <mergeCell ref="J33:M33"/>
    <mergeCell ref="L23:L24"/>
    <mergeCell ref="L25:L26"/>
    <mergeCell ref="L27:L28"/>
    <mergeCell ref="P19:P20"/>
    <mergeCell ref="P21:P22"/>
    <mergeCell ref="P23:P24"/>
    <mergeCell ref="P25:P26"/>
    <mergeCell ref="P27:P28"/>
    <mergeCell ref="B33:E33"/>
    <mergeCell ref="F33:I33"/>
    <mergeCell ref="B19:J19"/>
    <mergeCell ref="L19:L20"/>
    <mergeCell ref="L21:L22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637-3BB0-45BC-8933-8B94B71D7015}">
  <dimension ref="B1:AC101"/>
  <sheetViews>
    <sheetView topLeftCell="A113" zoomScale="83" zoomScaleNormal="83" workbookViewId="0">
      <selection activeCell="G93" sqref="G93"/>
    </sheetView>
  </sheetViews>
  <sheetFormatPr defaultColWidth="11.28515625" defaultRowHeight="14.25" x14ac:dyDescent="0.2"/>
  <cols>
    <col min="1" max="1" width="11.28515625" style="1"/>
    <col min="2" max="2" width="17" style="1" customWidth="1"/>
    <col min="3" max="4" width="11.28515625" style="1"/>
    <col min="5" max="5" width="18.42578125" style="1" bestFit="1" customWidth="1"/>
    <col min="6" max="6" width="18" style="1" customWidth="1"/>
    <col min="7" max="12" width="11.28515625" style="1"/>
    <col min="13" max="13" width="12.5703125" style="1" bestFit="1" customWidth="1"/>
    <col min="14" max="14" width="19.28515625" style="1" customWidth="1"/>
    <col min="15" max="15" width="15.140625" style="1" bestFit="1" customWidth="1"/>
    <col min="16" max="16" width="12.5703125" style="1" bestFit="1" customWidth="1"/>
    <col min="17" max="20" width="11.28515625" style="1"/>
    <col min="21" max="21" width="21.7109375" style="1" customWidth="1"/>
    <col min="22" max="22" width="14" style="1" bestFit="1" customWidth="1"/>
    <col min="23" max="16384" width="11.28515625" style="1"/>
  </cols>
  <sheetData>
    <row r="1" spans="2:25" ht="15" thickBot="1" x14ac:dyDescent="0.25"/>
    <row r="2" spans="2:25" s="33" customFormat="1" ht="18" customHeight="1" x14ac:dyDescent="0.2">
      <c r="B2" s="86" t="s">
        <v>0</v>
      </c>
      <c r="C2" s="87"/>
      <c r="D2" s="88"/>
      <c r="F2" s="86" t="s">
        <v>1</v>
      </c>
      <c r="G2" s="87"/>
      <c r="H2" s="87"/>
      <c r="I2" s="87"/>
      <c r="J2" s="87"/>
      <c r="K2" s="87"/>
      <c r="L2" s="87"/>
      <c r="M2" s="87"/>
      <c r="N2" s="87"/>
      <c r="O2" s="87"/>
      <c r="P2" s="88"/>
      <c r="U2" s="89"/>
      <c r="V2" s="89"/>
      <c r="W2" s="89"/>
      <c r="Y2" s="1"/>
    </row>
    <row r="3" spans="2:25" s="12" customFormat="1" ht="18" customHeight="1" x14ac:dyDescent="0.2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17</v>
      </c>
      <c r="U3" s="12" t="s">
        <v>18</v>
      </c>
      <c r="V3" s="12" t="s">
        <v>12</v>
      </c>
      <c r="W3" s="12" t="s">
        <v>19</v>
      </c>
      <c r="X3" s="12" t="s">
        <v>17</v>
      </c>
      <c r="Y3" s="1" t="s">
        <v>20</v>
      </c>
    </row>
    <row r="4" spans="2:25" s="12" customFormat="1" ht="18" customHeight="1" x14ac:dyDescent="0.2">
      <c r="B4" s="2" t="s">
        <v>21</v>
      </c>
      <c r="C4" s="4">
        <v>0.52629999999999999</v>
      </c>
      <c r="D4" s="19" t="s">
        <v>22</v>
      </c>
      <c r="F4" s="7"/>
      <c r="G4" s="13" t="s">
        <v>22</v>
      </c>
      <c r="H4" s="13" t="s">
        <v>22</v>
      </c>
      <c r="I4" s="13" t="s">
        <v>22</v>
      </c>
      <c r="J4" s="13" t="s">
        <v>23</v>
      </c>
      <c r="K4" s="13" t="s">
        <v>23</v>
      </c>
      <c r="L4" s="13" t="s">
        <v>23</v>
      </c>
      <c r="M4" s="13" t="s">
        <v>23</v>
      </c>
      <c r="N4" s="13" t="s">
        <v>24</v>
      </c>
      <c r="O4" s="13" t="s">
        <v>25</v>
      </c>
      <c r="P4" s="14" t="s">
        <v>26</v>
      </c>
      <c r="Q4" s="13" t="s">
        <v>22</v>
      </c>
      <c r="R4" s="13" t="s">
        <v>22</v>
      </c>
      <c r="S4" s="13" t="s">
        <v>27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">
      <c r="B5" s="2" t="s">
        <v>28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>
        <v>0</v>
      </c>
      <c r="P5" s="65">
        <v>0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">
      <c r="B6" s="2" t="s">
        <v>29</v>
      </c>
      <c r="C6" s="4">
        <v>0.40400000000000003</v>
      </c>
      <c r="D6" s="19" t="s">
        <v>22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0</v>
      </c>
      <c r="P6" s="65">
        <v>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">
      <c r="B7" s="2" t="s">
        <v>30</v>
      </c>
      <c r="C7" s="3">
        <v>68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0</v>
      </c>
      <c r="P7" s="65">
        <v>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">
      <c r="B8" s="2" t="s">
        <v>31</v>
      </c>
      <c r="C8" s="3">
        <v>3646</v>
      </c>
      <c r="D8" s="15" t="s">
        <v>32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0</v>
      </c>
      <c r="P8" s="65">
        <v>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25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0</v>
      </c>
      <c r="P9" s="77">
        <v>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">
      <c r="B10" s="2" t="s">
        <v>33</v>
      </c>
      <c r="C10" s="35">
        <f>C3*C4*(C8/60*2*PI())^2*C7</f>
        <v>3844513.6200951803</v>
      </c>
      <c r="D10" s="24" t="s">
        <v>34</v>
      </c>
      <c r="N10" s="1" t="s">
        <v>35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">
      <c r="B11" s="2" t="s">
        <v>36</v>
      </c>
      <c r="C11" s="35">
        <f>C5*C6*(C8/60*2*PI())^2*C7</f>
        <v>482578.41126684449</v>
      </c>
      <c r="D11" s="24" t="s">
        <v>34</v>
      </c>
      <c r="N11" s="5" t="s">
        <v>37</v>
      </c>
      <c r="O11" s="5" t="s">
        <v>38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">
      <c r="B13" s="25" t="s">
        <v>39</v>
      </c>
      <c r="C13" s="49">
        <f>-(C10+C11)/(PI()*H9*R9)</f>
        <v>-35841022.857631452</v>
      </c>
      <c r="D13" s="26" t="s">
        <v>24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25">
      <c r="B14" s="27" t="s">
        <v>40</v>
      </c>
      <c r="C14" s="50">
        <v>0</v>
      </c>
      <c r="D14" s="28" t="s">
        <v>24</v>
      </c>
      <c r="N14" s="5">
        <f t="shared" si="6"/>
        <v>172272033157.29672</v>
      </c>
      <c r="O14" s="34">
        <f t="shared" si="7"/>
        <v>-325800307.22839355</v>
      </c>
      <c r="U14" s="5" t="s">
        <v>41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">
      <c r="N15" s="5">
        <f t="shared" si="6"/>
        <v>169195267876.60303</v>
      </c>
      <c r="O15" s="34">
        <f t="shared" si="7"/>
        <v>247233727.42321777</v>
      </c>
      <c r="U15" s="5" t="s">
        <v>42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"/>
    <row r="18" spans="2:25" s="5" customFormat="1" ht="18" customHeight="1" thickBot="1" x14ac:dyDescent="0.25"/>
    <row r="19" spans="2:25" s="5" customFormat="1" ht="18" customHeight="1" x14ac:dyDescent="0.2">
      <c r="B19" s="86" t="s">
        <v>43</v>
      </c>
      <c r="C19" s="87"/>
      <c r="D19" s="87"/>
      <c r="E19" s="87"/>
      <c r="F19" s="87"/>
      <c r="G19" s="87"/>
      <c r="H19" s="87"/>
      <c r="I19" s="87"/>
      <c r="J19" s="88"/>
      <c r="L19" s="81" t="s">
        <v>44</v>
      </c>
      <c r="M19" s="47">
        <f>C21/E21</f>
        <v>0.97553922757376821</v>
      </c>
      <c r="N19" s="48">
        <f>D21-C21/E21*F21</f>
        <v>4.9243984629544677E-12</v>
      </c>
      <c r="P19" s="81" t="s">
        <v>45</v>
      </c>
      <c r="Q19" s="48">
        <f>(H21+J21)-C21/E21*(G21+I21)</f>
        <v>0</v>
      </c>
    </row>
    <row r="20" spans="2:25" s="5" customFormat="1" ht="18" customHeight="1" thickBot="1" x14ac:dyDescent="0.25">
      <c r="B20" s="16" t="s">
        <v>4</v>
      </c>
      <c r="C20" s="17" t="s">
        <v>46</v>
      </c>
      <c r="D20" s="17" t="s">
        <v>47</v>
      </c>
      <c r="E20" s="17" t="s">
        <v>48</v>
      </c>
      <c r="F20" s="17" t="s">
        <v>49</v>
      </c>
      <c r="G20" s="17" t="s">
        <v>50</v>
      </c>
      <c r="H20" s="17" t="s">
        <v>51</v>
      </c>
      <c r="I20" s="17" t="s">
        <v>52</v>
      </c>
      <c r="J20" s="18" t="s">
        <v>53</v>
      </c>
      <c r="L20" s="82"/>
      <c r="M20" s="39">
        <f>1/E21</f>
        <v>1586506469.5126541</v>
      </c>
      <c r="N20" s="40">
        <f>-F21/E21</f>
        <v>0.93821446745424708</v>
      </c>
      <c r="P20" s="82"/>
      <c r="Q20" s="40">
        <f>-(G21+I21)/E21</f>
        <v>0</v>
      </c>
    </row>
    <row r="21" spans="2:25" s="5" customFormat="1" ht="18" customHeight="1" x14ac:dyDescent="0.2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0</v>
      </c>
      <c r="H21" s="36">
        <f>$P5*($C$8/60*2*3.14)^2*($H5^2/4)*(3+0.3)/16/$N5*H5*(0.7*(1+($G5/$H5)^2)+1.3*(G5/H5)^2-(1-0.3^2)/(3+0.3))</f>
        <v>0</v>
      </c>
      <c r="I21" s="36">
        <f>$O5/12*$L5/(($H5-$G5)/2)*((0.3-2)*G5^2+(1-0.3)*($H5^2+$G5^2+$G5*$H5)/($G5+$H5)*G5+(1+0.3)*($G5^2*$H5^2)/($G5+$H5)*1/G5)+$O5*($J5-20)*G5/2</f>
        <v>0</v>
      </c>
      <c r="J21" s="38">
        <f>$O5/12*$L5/(($H5-$G5)/2)*((0.3-2)*H5^2+(1-0.3)*($H5^2+$G5^2+$G5*$H5)/($G5+$H5)*H5+(1+0.3)*($G5^2*$H5^2)/($G5+$H5)*1/H5)+$O5*($K5-20)*H5/2</f>
        <v>0</v>
      </c>
      <c r="L21" s="81" t="s">
        <v>54</v>
      </c>
      <c r="M21" s="47">
        <f>C22/E22</f>
        <v>0.96403175685256259</v>
      </c>
      <c r="N21" s="48">
        <f>D22-C22/E22*F22</f>
        <v>1.5639503569822637E-11</v>
      </c>
      <c r="P21" s="81" t="s">
        <v>55</v>
      </c>
      <c r="Q21" s="48">
        <f>(H22+J22)-C22/E22*(G22+I22)</f>
        <v>0</v>
      </c>
    </row>
    <row r="22" spans="2:25" s="5" customFormat="1" ht="18" customHeight="1" thickBot="1" x14ac:dyDescent="0.25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0</v>
      </c>
      <c r="H22" s="36">
        <f>$P6*($C$8/60*2*3.14)^2*($H6^2/4)*(3+0.3)/16/$N6*H6*(0.7*(1+($G6/$H6)^2)+1.3*(G6/H6)^2-(1-0.3^2)/(3+0.3))</f>
        <v>0</v>
      </c>
      <c r="I22" s="36">
        <f>$O6/12*$L6/(($H6-$G6)/2)*((0.3-2)*G6^2+(1-0.3)*($H6^2+$G6^2+$G6*$H6)/($G6+$H6)*G6+(1+0.3)*($G6^2*$H6^2)/($G6+$H6)*1/G6)+$O6*($J6-20)*G6/2</f>
        <v>0</v>
      </c>
      <c r="J22" s="38">
        <f>$O6/12*$L6/(($H6-$G6)/2)*((0.3-2)*H6^2+(1-0.3)*($H6^2+$G6^2+$G6*$H6)/($G6+$H6)*H6+(1+0.3)*($G6^2*$H6^2)/($G6+$H6)*1/H6)+$O6*($K6-20)*H6/2</f>
        <v>0</v>
      </c>
      <c r="L22" s="82"/>
      <c r="M22" s="39">
        <f>1/E22</f>
        <v>1342990721.0122635</v>
      </c>
      <c r="N22" s="40">
        <f>-F22/E22</f>
        <v>0.90203446718811231</v>
      </c>
      <c r="P22" s="82"/>
      <c r="Q22" s="40">
        <f>-(G22+I22)/E22</f>
        <v>0</v>
      </c>
    </row>
    <row r="23" spans="2:25" s="5" customFormat="1" ht="18" customHeight="1" x14ac:dyDescent="0.2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0</v>
      </c>
      <c r="H23" s="36">
        <f>$P7*($C$8/60*2*3.14)^2*($H7^2/4)*(3+0.3)/16/$N7*H7*(0.7*(1+($G7/$H7)^2)+1.3*(G7/H7)^2-(1-0.3^2)/(3+0.3))</f>
        <v>0</v>
      </c>
      <c r="I23" s="36">
        <f>$O7/12*$L7/(($H7-$G7)/2)*((0.3-2)*G7^2+(1-0.3)*($H7^2+$G7^2+$G7*$H7)/($G7+$H7)*G7+(1+0.3)*($G7^2*$H7^2)/($G7+$H7)*1/G7)+$O7*($J7-20)*G7/2</f>
        <v>0</v>
      </c>
      <c r="J23" s="38">
        <f>$O7/12*$L7/(($H7-$G7)/2)*((0.3-2)*H7^2+(1-0.3)*($H7^2+$G7^2+$G7*$H7)/($G7+$H7)*H7+(1+0.3)*($G7^2*$H7^2)/($G7+$H7)*1/H7)+$O7*($K7-20)*H7/2</f>
        <v>0</v>
      </c>
      <c r="L23" s="81" t="s">
        <v>56</v>
      </c>
      <c r="M23" s="47">
        <f>C23/E23</f>
        <v>0.95426762878198901</v>
      </c>
      <c r="N23" s="48">
        <f>D23-C23/E23*F23</f>
        <v>9.4567118953445927E-11</v>
      </c>
      <c r="P23" s="81" t="s">
        <v>57</v>
      </c>
      <c r="Q23" s="48">
        <f>(H23+J23)-C23/E23*(G23+I23)</f>
        <v>0</v>
      </c>
    </row>
    <row r="24" spans="2:25" s="5" customFormat="1" ht="18" customHeight="1" thickBot="1" x14ac:dyDescent="0.25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0</v>
      </c>
      <c r="H24" s="36">
        <f>$P8*($C$8/60*2*3.14)^2*($H8^2/4)*(3+0.3)/16/$N8*H8*(0.7*(1+($G8/$H8)^2)+1.3*(G8/H8)^2-(1-0.3^2)/(3+0.3))</f>
        <v>0</v>
      </c>
      <c r="I24" s="36">
        <f>$O8/12*$L8/(($H8-$G8)/2)*((0.3-2)*G8^2+(1-0.3)*($H8^2+$G8^2+$G8*$H8)/($G8+$H8)*G8+(1+0.3)*($G8^2*$H8^2)/($G8+$H8)*1/G8)+$O8*($J8-20)*G8/2</f>
        <v>0</v>
      </c>
      <c r="J24" s="38">
        <f>$O8/12*$L8/(($H8-$G8)/2)*((0.3-2)*H8^2+(1-0.3)*($H8^2+$G8^2+$G8*$H8)/($G8+$H8)*H8+(1+0.3)*($G8^2*$H8^2)/($G8+$H8)*1/H8)+$O8*($K8-20)*H8/2</f>
        <v>0</v>
      </c>
      <c r="L24" s="82"/>
      <c r="M24" s="39">
        <f>1/E23</f>
        <v>597436121.51230848</v>
      </c>
      <c r="N24" s="40">
        <f>-F23/E23</f>
        <v>0.84861607853985743</v>
      </c>
      <c r="P24" s="82"/>
      <c r="Q24" s="40">
        <f>-(G23+I23)/E23</f>
        <v>0</v>
      </c>
    </row>
    <row r="25" spans="2:25" s="5" customFormat="1" ht="18" customHeight="1" thickBot="1" x14ac:dyDescent="0.25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0</v>
      </c>
      <c r="H25" s="39">
        <f>$P9*($C$8/60*2*3.14)^2*($H9^2/4)*(3+0.3)/16/$N9*H9*(0.7*(1+($G9/$H9)^2)+1.3*(G9/H9)^2-(1-0.3^2)/(3+0.3))</f>
        <v>0</v>
      </c>
      <c r="I25" s="39">
        <f>$O9/12*$L9/(($H9-$G9)/2)*((0.3-2)*G9^2+(1-0.3)*($H9^2+$G9^2+$G9*$H9)/($G9+$H9)*G9+(1+0.3)*($G9^2*$H9^2)/($G9+$H9)*1/G9)+$O9*($J9-20)*G9/2</f>
        <v>0</v>
      </c>
      <c r="J25" s="40">
        <f>$O9/12*$L9/(($H9-$G9)/2)*((0.3-2)*H9^2+(1-0.3)*($H9^2+$G9^2+$G9*$H9)/($G9+$H9)*H9+(1+0.3)*($G9^2*$H9^2)/($G9+$H9)*1/H9)+$O9*($K9-20)*H9/2</f>
        <v>0</v>
      </c>
      <c r="L25" s="81" t="s">
        <v>58</v>
      </c>
      <c r="M25" s="47">
        <f>C24/E24</f>
        <v>0.98862394111551066</v>
      </c>
      <c r="N25" s="48">
        <f>D24-C24/E24*F24</f>
        <v>3.0742405409491731E-12</v>
      </c>
      <c r="P25" s="81" t="s">
        <v>59</v>
      </c>
      <c r="Q25" s="48">
        <f>(H24+J24)-C24/E24*(G24+I24)</f>
        <v>0</v>
      </c>
    </row>
    <row r="26" spans="2:25" s="5" customFormat="1" ht="18" customHeight="1" thickBot="1" x14ac:dyDescent="0.25">
      <c r="L26" s="82"/>
      <c r="M26" s="39">
        <f>1/E24</f>
        <v>470256155.94969195</v>
      </c>
      <c r="N26" s="40">
        <f>-F24/E24</f>
        <v>0.97266096954263248</v>
      </c>
      <c r="P26" s="82"/>
      <c r="Q26" s="40">
        <f>-(G24+I24)/E24</f>
        <v>0</v>
      </c>
    </row>
    <row r="27" spans="2:25" s="5" customFormat="1" ht="18" customHeight="1" x14ac:dyDescent="0.2">
      <c r="L27" s="81" t="s">
        <v>60</v>
      </c>
      <c r="M27" s="47">
        <f>C25/E25</f>
        <v>0.99389138578053193</v>
      </c>
      <c r="N27" s="48">
        <f>D25-C25/E25*F25</f>
        <v>9.1928263565482017E-13</v>
      </c>
      <c r="P27" s="81" t="s">
        <v>61</v>
      </c>
      <c r="Q27" s="48">
        <f>(H25+J25)-C25/E25*(G25+I25)</f>
        <v>0</v>
      </c>
    </row>
    <row r="28" spans="2:25" s="5" customFormat="1" ht="18" customHeight="1" thickBot="1" x14ac:dyDescent="0.25">
      <c r="L28" s="82"/>
      <c r="M28" s="39">
        <f>1/E25</f>
        <v>431686763.80427253</v>
      </c>
      <c r="N28" s="40">
        <f>-F25/E25</f>
        <v>0.98553548613975084</v>
      </c>
      <c r="P28" s="82"/>
      <c r="Q28" s="40">
        <f>-(G25+I25)/E25</f>
        <v>0</v>
      </c>
    </row>
    <row r="29" spans="2:25" s="5" customFormat="1" ht="18" customHeight="1" x14ac:dyDescent="0.2">
      <c r="F29" s="34"/>
      <c r="G29" s="34"/>
      <c r="J29" s="34"/>
    </row>
    <row r="30" spans="2:25" s="5" customFormat="1" ht="18" customHeight="1" x14ac:dyDescent="0.2">
      <c r="F30" s="34"/>
      <c r="G30" s="34"/>
      <c r="J30" s="34"/>
    </row>
    <row r="31" spans="2:25" s="5" customFormat="1" ht="18" customHeight="1" thickBot="1" x14ac:dyDescent="0.25">
      <c r="F31" s="34"/>
      <c r="G31" s="34"/>
      <c r="J31" s="34"/>
    </row>
    <row r="32" spans="2:25" ht="18" customHeight="1" x14ac:dyDescent="0.2">
      <c r="B32" s="92" t="s">
        <v>62</v>
      </c>
      <c r="C32" s="93"/>
      <c r="D32" s="93"/>
      <c r="E32" s="93"/>
      <c r="F32" s="93"/>
      <c r="G32" s="93"/>
      <c r="H32" s="93"/>
      <c r="I32" s="94"/>
      <c r="J32" s="95" t="s">
        <v>63</v>
      </c>
      <c r="K32" s="96"/>
      <c r="L32" s="96"/>
      <c r="M32" s="97"/>
      <c r="Y32" s="5"/>
    </row>
    <row r="33" spans="2:29" ht="18" customHeight="1" x14ac:dyDescent="0.25">
      <c r="B33" s="83" t="s">
        <v>64</v>
      </c>
      <c r="C33" s="84"/>
      <c r="D33" s="84"/>
      <c r="E33" s="84"/>
      <c r="F33" s="84" t="s">
        <v>65</v>
      </c>
      <c r="G33" s="84"/>
      <c r="H33" s="84"/>
      <c r="I33" s="85"/>
      <c r="J33" s="98" t="s">
        <v>66</v>
      </c>
      <c r="K33" s="99"/>
      <c r="L33" s="99"/>
      <c r="M33" s="100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">
      <c r="B34" s="43" t="s">
        <v>67</v>
      </c>
      <c r="C34" s="51">
        <v>0</v>
      </c>
      <c r="D34" s="44" t="s">
        <v>68</v>
      </c>
      <c r="E34" s="20">
        <f>$M19*C34+$N19*C35+$Q19</f>
        <v>0</v>
      </c>
      <c r="F34" s="43" t="s">
        <v>67</v>
      </c>
      <c r="G34" s="51">
        <f>H9/1000</f>
        <v>7.94E-4</v>
      </c>
      <c r="H34" s="44" t="s">
        <v>68</v>
      </c>
      <c r="I34" s="20">
        <f>$M19*G34+$N19*G35+$Q19</f>
        <v>7.7457814669357195E-4</v>
      </c>
      <c r="J34" s="43" t="s">
        <v>67</v>
      </c>
      <c r="K34" s="51">
        <f>(P36-P45)/O45</f>
        <v>4.5205712331465673E-4</v>
      </c>
      <c r="L34" s="44" t="s">
        <v>68</v>
      </c>
      <c r="M34" s="20">
        <f>$M19*K34+$N19*K35+$Q19</f>
        <v>4.4099945689759991E-4</v>
      </c>
      <c r="Y34" s="5"/>
    </row>
    <row r="35" spans="2:29" ht="18" customHeight="1" x14ac:dyDescent="0.2">
      <c r="B35" s="43" t="s">
        <v>69</v>
      </c>
      <c r="C35" s="51">
        <v>0</v>
      </c>
      <c r="D35" s="44" t="s">
        <v>70</v>
      </c>
      <c r="E35" s="20">
        <f>$M20*C34+$N20*C35+$Q20</f>
        <v>0</v>
      </c>
      <c r="F35" s="43" t="s">
        <v>69</v>
      </c>
      <c r="G35" s="51">
        <v>0</v>
      </c>
      <c r="H35" s="44" t="s">
        <v>70</v>
      </c>
      <c r="I35" s="20">
        <f>$M20*G34+$N20*G35+$Q20</f>
        <v>1259686.1367930474</v>
      </c>
      <c r="J35" s="43" t="s">
        <v>69</v>
      </c>
      <c r="K35" s="51">
        <v>0</v>
      </c>
      <c r="L35" s="44" t="s">
        <v>70</v>
      </c>
      <c r="M35" s="20">
        <f>$M20*K34+$N20*K35+$Q20</f>
        <v>717191.55072798254</v>
      </c>
    </row>
    <row r="36" spans="2:29" ht="18" customHeight="1" x14ac:dyDescent="0.2">
      <c r="B36" s="43" t="s">
        <v>71</v>
      </c>
      <c r="C36" s="34">
        <f t="shared" ref="C36:C43" si="8">E34</f>
        <v>0</v>
      </c>
      <c r="D36" s="44" t="s">
        <v>72</v>
      </c>
      <c r="E36" s="20">
        <f>$M21*C36+$N21*C37+$Q21</f>
        <v>0</v>
      </c>
      <c r="F36" s="43" t="s">
        <v>71</v>
      </c>
      <c r="G36" s="34">
        <f>I34</f>
        <v>7.7457814669357195E-4</v>
      </c>
      <c r="H36" s="44" t="s">
        <v>72</v>
      </c>
      <c r="I36" s="20">
        <f>$M21*G36+$N21*G37+$Q21</f>
        <v>7.664187974098371E-4</v>
      </c>
      <c r="J36" s="43" t="s">
        <v>71</v>
      </c>
      <c r="K36" s="34">
        <f>M34</f>
        <v>4.4099945689759991E-4</v>
      </c>
      <c r="L36" s="44" t="s">
        <v>72</v>
      </c>
      <c r="M36" s="20">
        <f>$M21*K36+$N21*K37+$Q21</f>
        <v>4.3635400102187612E-4</v>
      </c>
      <c r="O36" s="1" t="s">
        <v>73</v>
      </c>
      <c r="P36" s="74">
        <f>(C10+C11)/(PI()*H9)</f>
        <v>1734705.5063093624</v>
      </c>
    </row>
    <row r="37" spans="2:29" ht="18" customHeight="1" x14ac:dyDescent="0.2">
      <c r="B37" s="43" t="s">
        <v>74</v>
      </c>
      <c r="C37" s="34">
        <f t="shared" si="8"/>
        <v>0</v>
      </c>
      <c r="D37" s="44" t="s">
        <v>75</v>
      </c>
      <c r="E37" s="20">
        <f>$M22*C36+$N22*C37+$Q22</f>
        <v>0</v>
      </c>
      <c r="F37" s="43" t="s">
        <v>74</v>
      </c>
      <c r="G37" s="34">
        <f t="shared" ref="G37:G43" si="9">I35</f>
        <v>1259686.1367930474</v>
      </c>
      <c r="H37" s="44" t="s">
        <v>75</v>
      </c>
      <c r="I37" s="20">
        <f>$M22*G36+$N22*G37+$Q22</f>
        <v>2176531.5769347111</v>
      </c>
      <c r="J37" s="43" t="s">
        <v>74</v>
      </c>
      <c r="K37" s="34">
        <f t="shared" ref="K37:K43" si="10">M35</f>
        <v>717191.55072798254</v>
      </c>
      <c r="L37" s="44" t="s">
        <v>75</v>
      </c>
      <c r="M37" s="20">
        <f>$M22*K36+$N22*K37+$Q22</f>
        <v>1239189.6769176561</v>
      </c>
    </row>
    <row r="38" spans="2:29" ht="18" customHeight="1" x14ac:dyDescent="0.2">
      <c r="B38" s="43" t="s">
        <v>76</v>
      </c>
      <c r="C38" s="34">
        <f t="shared" si="8"/>
        <v>0</v>
      </c>
      <c r="D38" s="44" t="s">
        <v>77</v>
      </c>
      <c r="E38" s="20">
        <f>$M23*C38+$N23*C39+$Q23</f>
        <v>0</v>
      </c>
      <c r="F38" s="43" t="s">
        <v>76</v>
      </c>
      <c r="G38" s="34">
        <f t="shared" si="9"/>
        <v>7.664187974098371E-4</v>
      </c>
      <c r="H38" s="44" t="s">
        <v>77</v>
      </c>
      <c r="I38" s="20">
        <f>$M23*G38+$N23*G39+$Q23</f>
        <v>9.3719696900014494E-4</v>
      </c>
      <c r="J38" s="43" t="s">
        <v>76</v>
      </c>
      <c r="K38" s="34">
        <f t="shared" si="10"/>
        <v>4.3635400102187612E-4</v>
      </c>
      <c r="L38" s="44" t="s">
        <v>77</v>
      </c>
      <c r="M38" s="20">
        <f>$M23*K38+$N23*K39+$Q23</f>
        <v>5.3358509544763357E-4</v>
      </c>
    </row>
    <row r="39" spans="2:29" ht="18" customHeight="1" x14ac:dyDescent="0.2">
      <c r="B39" s="43" t="s">
        <v>78</v>
      </c>
      <c r="C39" s="34">
        <f t="shared" si="8"/>
        <v>0</v>
      </c>
      <c r="D39" s="44" t="s">
        <v>79</v>
      </c>
      <c r="E39" s="20">
        <f>$M24*C38+$N24*C39+$Q24</f>
        <v>0</v>
      </c>
      <c r="F39" s="43" t="s">
        <v>78</v>
      </c>
      <c r="G39" s="34">
        <f t="shared" si="9"/>
        <v>2176531.5769347111</v>
      </c>
      <c r="H39" s="44" t="s">
        <v>79</v>
      </c>
      <c r="I39" s="20">
        <f>$M24*G38+$N24*G39+$Q24</f>
        <v>2304925.9654151672</v>
      </c>
      <c r="J39" s="43" t="s">
        <v>78</v>
      </c>
      <c r="K39" s="34">
        <f t="shared" si="10"/>
        <v>1239189.6769176561</v>
      </c>
      <c r="L39" s="44" t="s">
        <v>79</v>
      </c>
      <c r="M39" s="20">
        <f>$M24*K38+$N24*K39+$Q24</f>
        <v>1312289.9261698218</v>
      </c>
    </row>
    <row r="40" spans="2:29" ht="18" customHeight="1" x14ac:dyDescent="0.2">
      <c r="B40" s="43" t="s">
        <v>80</v>
      </c>
      <c r="C40" s="34">
        <f t="shared" si="8"/>
        <v>0</v>
      </c>
      <c r="D40" s="44" t="s">
        <v>81</v>
      </c>
      <c r="E40" s="20">
        <f>$M25*C40+$N25*C41+$Q25</f>
        <v>0</v>
      </c>
      <c r="F40" s="43" t="s">
        <v>80</v>
      </c>
      <c r="G40" s="34">
        <f t="shared" si="9"/>
        <v>9.3719696900014494E-4</v>
      </c>
      <c r="H40" s="44" t="s">
        <v>81</v>
      </c>
      <c r="I40" s="20">
        <f>$M25*G40+$N25*G41+$Q25</f>
        <v>9.3362125794120001E-4</v>
      </c>
      <c r="J40" s="43" t="s">
        <v>80</v>
      </c>
      <c r="K40" s="34">
        <f t="shared" si="10"/>
        <v>5.3358509544763357E-4</v>
      </c>
      <c r="L40" s="44" t="s">
        <v>81</v>
      </c>
      <c r="M40" s="20">
        <f>$M25*K40+$N25*K41+$Q25</f>
        <v>5.3154929487444591E-4</v>
      </c>
    </row>
    <row r="41" spans="2:29" ht="18" customHeight="1" x14ac:dyDescent="0.2">
      <c r="B41" s="43" t="s">
        <v>82</v>
      </c>
      <c r="C41" s="34">
        <f t="shared" si="8"/>
        <v>0</v>
      </c>
      <c r="D41" s="44" t="s">
        <v>83</v>
      </c>
      <c r="E41" s="20">
        <f>$M26*C40+$N26*C41+$Q26</f>
        <v>0</v>
      </c>
      <c r="F41" s="43" t="s">
        <v>82</v>
      </c>
      <c r="G41" s="34">
        <f t="shared" si="9"/>
        <v>2304925.9654151672</v>
      </c>
      <c r="H41" s="44" t="s">
        <v>83</v>
      </c>
      <c r="I41" s="20">
        <f>$M26*G40+$N26*G41+$Q26</f>
        <v>2682634.1682544155</v>
      </c>
      <c r="J41" s="43" t="s">
        <v>82</v>
      </c>
      <c r="K41" s="34">
        <f t="shared" si="10"/>
        <v>1312289.9261698218</v>
      </c>
      <c r="L41" s="44" t="s">
        <v>83</v>
      </c>
      <c r="M41" s="20">
        <f>$M26*K40+$N26*K41+$Q26</f>
        <v>1527334.867766622</v>
      </c>
    </row>
    <row r="42" spans="2:29" ht="18" customHeight="1" x14ac:dyDescent="0.2">
      <c r="B42" s="43" t="s">
        <v>84</v>
      </c>
      <c r="C42" s="34">
        <f t="shared" si="8"/>
        <v>0</v>
      </c>
      <c r="D42" s="44" t="s">
        <v>85</v>
      </c>
      <c r="E42" s="20">
        <f>$M27*C42+$N27*C43+$Q27</f>
        <v>0</v>
      </c>
      <c r="F42" s="43" t="s">
        <v>84</v>
      </c>
      <c r="G42" s="34">
        <f t="shared" si="9"/>
        <v>9.3362125794120001E-4</v>
      </c>
      <c r="H42" s="44" t="s">
        <v>85</v>
      </c>
      <c r="I42" s="20">
        <f>$M27*G42+$N27*G43+$Q27</f>
        <v>9.3038422485803326E-4</v>
      </c>
      <c r="J42" s="43" t="s">
        <v>84</v>
      </c>
      <c r="K42" s="34">
        <f t="shared" si="10"/>
        <v>5.3154929487444591E-4</v>
      </c>
      <c r="L42" s="44" t="s">
        <v>85</v>
      </c>
      <c r="M42" s="20">
        <f>$M27*K42+$N27*K43+$Q27</f>
        <v>5.2970631771619571E-4</v>
      </c>
      <c r="O42" s="1" t="s">
        <v>73</v>
      </c>
      <c r="P42" s="1" t="s">
        <v>67</v>
      </c>
    </row>
    <row r="43" spans="2:29" ht="18" customHeight="1" thickBot="1" x14ac:dyDescent="0.25">
      <c r="B43" s="45" t="s">
        <v>86</v>
      </c>
      <c r="C43" s="21">
        <f t="shared" si="8"/>
        <v>0</v>
      </c>
      <c r="D43" s="46" t="s">
        <v>73</v>
      </c>
      <c r="E43" s="22">
        <f>$M28*C42+$N28*C43+$Q28</f>
        <v>0</v>
      </c>
      <c r="F43" s="45" t="s">
        <v>86</v>
      </c>
      <c r="G43" s="21">
        <f t="shared" si="9"/>
        <v>2682634.1682544155</v>
      </c>
      <c r="H43" s="46" t="s">
        <v>73</v>
      </c>
      <c r="I43" s="22">
        <f>$M28*G42+$N28*G43+$Q28</f>
        <v>3046863.1086052321</v>
      </c>
      <c r="J43" s="45" t="s">
        <v>86</v>
      </c>
      <c r="K43" s="21">
        <f t="shared" si="10"/>
        <v>1527334.867766622</v>
      </c>
      <c r="L43" s="46" t="s">
        <v>73</v>
      </c>
      <c r="M43" s="73">
        <f>$M28*K42+$N28*K43+$Q28</f>
        <v>1734705.5063093624</v>
      </c>
      <c r="O43" s="68">
        <f>E43</f>
        <v>0</v>
      </c>
      <c r="P43" s="68">
        <f>C34</f>
        <v>0</v>
      </c>
    </row>
    <row r="44" spans="2:29" ht="18" customHeight="1" x14ac:dyDescent="0.2">
      <c r="O44" s="68">
        <f>I43</f>
        <v>3046863.1086052321</v>
      </c>
      <c r="P44" s="68">
        <f>G34</f>
        <v>7.94E-4</v>
      </c>
    </row>
    <row r="45" spans="2:29" ht="18" customHeight="1" x14ac:dyDescent="0.2">
      <c r="O45" s="1" cm="1">
        <f t="array" ref="O45:P45">LINEST(O43:O44,P43:P44)</f>
        <v>3837359078.8478994</v>
      </c>
      <c r="P45" s="1">
        <v>0</v>
      </c>
    </row>
    <row r="46" spans="2:29" ht="18" customHeight="1" x14ac:dyDescent="0.25">
      <c r="B46" s="90" t="s">
        <v>87</v>
      </c>
      <c r="C46" s="91"/>
      <c r="D46" s="91"/>
      <c r="E46" s="91"/>
      <c r="F46" s="91"/>
      <c r="G46" s="91"/>
      <c r="H46" s="91"/>
      <c r="I46" s="91"/>
      <c r="J46" s="91"/>
    </row>
    <row r="47" spans="2:29" ht="18" customHeight="1" x14ac:dyDescent="0.25">
      <c r="B47" s="37" t="s">
        <v>14</v>
      </c>
      <c r="C47" s="17" t="s">
        <v>88</v>
      </c>
      <c r="D47" s="17" t="s">
        <v>18</v>
      </c>
      <c r="E47" s="8" t="s">
        <v>12</v>
      </c>
      <c r="F47" s="10" t="s">
        <v>13</v>
      </c>
      <c r="G47" s="42" t="s">
        <v>89</v>
      </c>
      <c r="H47" s="42" t="s">
        <v>90</v>
      </c>
      <c r="I47" s="42" t="s">
        <v>91</v>
      </c>
      <c r="J47" s="17" t="s">
        <v>92</v>
      </c>
      <c r="K47" s="18" t="s">
        <v>93</v>
      </c>
      <c r="L47" s="1" t="s">
        <v>17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">
      <c r="B48" s="37" t="s">
        <v>22</v>
      </c>
      <c r="C48" s="17" t="s">
        <v>22</v>
      </c>
      <c r="D48" s="17" t="s">
        <v>23</v>
      </c>
      <c r="E48" s="13" t="s">
        <v>24</v>
      </c>
      <c r="F48" s="13" t="s">
        <v>25</v>
      </c>
      <c r="G48" s="17" t="s">
        <v>27</v>
      </c>
      <c r="H48" s="17" t="s">
        <v>27</v>
      </c>
      <c r="I48" s="17" t="s">
        <v>27</v>
      </c>
      <c r="J48" s="17" t="s">
        <v>34</v>
      </c>
      <c r="K48" s="18" t="s">
        <v>94</v>
      </c>
      <c r="L48" s="1" t="s">
        <v>27</v>
      </c>
      <c r="S48" s="1" cm="1">
        <f t="array" ref="S48:AC48">(_xlfn.ANCHORARRAY(S47)*O45+P45)</f>
        <v>0</v>
      </c>
      <c r="T48" s="1">
        <v>1151207.7236543698</v>
      </c>
      <c r="U48" s="1">
        <v>2302415.4473087396</v>
      </c>
      <c r="V48" s="1">
        <v>3453623.1709631095</v>
      </c>
      <c r="W48" s="1">
        <v>4604830.8946174793</v>
      </c>
      <c r="X48" s="1">
        <v>5756038.6182718482</v>
      </c>
      <c r="Y48" s="1">
        <v>6907246.341926218</v>
      </c>
      <c r="Z48" s="1">
        <v>8058454.0655805888</v>
      </c>
      <c r="AA48" s="1">
        <v>9209661.7892349586</v>
      </c>
      <c r="AB48" s="1">
        <v>10360869.512889327</v>
      </c>
      <c r="AC48" s="1">
        <v>11512077.236543696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>
        <v>0</v>
      </c>
      <c r="G49" s="54">
        <f>K35/C49*0.000001</f>
        <v>0</v>
      </c>
      <c r="H49" s="54">
        <f>(E49*(K34/B49-F49*(D49-20))+0.3*G49*1000000)*0.000001</f>
        <v>369.8388993721581</v>
      </c>
      <c r="I49" s="58">
        <f>(1/SQRT(2))*SQRT((G49-H49)^2+(G49-0)^2+(H49-0)^2)</f>
        <v>369.83889937215804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0</v>
      </c>
      <c r="G50" s="54">
        <f>K37/C50*0.000001</f>
        <v>32.599615942181025</v>
      </c>
      <c r="H50" s="54">
        <f>(E50*(K36/B50-F50*(D50-20))+0.3*G50*1000000)*0.000001</f>
        <v>336.29335660983708</v>
      </c>
      <c r="I50" s="58">
        <f>(1/SQRT(2))*SQRT((H50-G50)^2+(G50-0)^2+(H50-0)^2)</f>
        <v>321.2365520766607</v>
      </c>
      <c r="J50" s="59">
        <f>(B50-B49)*(H50*C50+H49*C49)*1000000</f>
        <v>343010.80466581375</v>
      </c>
      <c r="K50" s="60">
        <f>(B50-B49)*(C50+C49)/2</f>
        <v>4.8575999999999974E-4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0</v>
      </c>
      <c r="G51" s="54">
        <f>K39/C51*0.000001</f>
        <v>275.37548375947915</v>
      </c>
      <c r="H51" s="54">
        <f>(E51*(K38/B51-F51*(D51-20))+0.3*G51*1000000)*0.000001</f>
        <v>354.64124936726267</v>
      </c>
      <c r="I51" s="58">
        <f>(1/SQRT(2))*SQRT((H51-G51)^2+(G51-0)^2+(H51-0)^2)</f>
        <v>322.40125186320864</v>
      </c>
      <c r="J51" s="59">
        <f>(B51-B50)*(H51*C51+H50*C50)*1000000</f>
        <v>382889.03113441664</v>
      </c>
      <c r="K51" s="60">
        <f>(B51-B50)*(C51+C50)/2</f>
        <v>5.6405250000000028E-4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0</v>
      </c>
      <c r="G52" s="54">
        <f>K41/C52*0.000001</f>
        <v>291.61998359329374</v>
      </c>
      <c r="H52" s="54">
        <f>(E52*(K40/B52-F52*(D52-20))+0.3*G52*1000000)*0.000001</f>
        <v>330.04775297598968</v>
      </c>
      <c r="I52" s="58">
        <f>(1/SQRT(2))*SQRT((H52-G52)^2+(G52-0)^2+(H52-0)^2)</f>
        <v>312.61032255444036</v>
      </c>
      <c r="J52" s="59">
        <f>(B52-B51)*(H52*C52+H51*C51)*1000000</f>
        <v>283676.92400584451</v>
      </c>
      <c r="K52" s="60">
        <f>(B52-B51)*(C52+C51)/2</f>
        <v>4.143149999999999E-4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0</v>
      </c>
      <c r="G53" s="54">
        <f>K43/C53*0.000001</f>
        <v>31.556505532368224</v>
      </c>
      <c r="H53" s="54">
        <f>(E53*(K42/B53-F53*(D53-20))+0.3*G53*1000000)*0.000001</f>
        <v>239.48882981307722</v>
      </c>
      <c r="I53" s="58">
        <f>(1/SQRT(2))*SQRT((H53-G53)^2+(G53-0)^2+(H53-0)^2)</f>
        <v>225.37364988772461</v>
      </c>
      <c r="J53" s="59">
        <f>(B53-B52)*(H53*C53+H52*C52)*1000000</f>
        <v>202554.58615333238</v>
      </c>
      <c r="K53" s="60">
        <f>(B53-B52)*(C53+C52)/2</f>
        <v>4.0971050000000004E-4</v>
      </c>
      <c r="L53" s="1">
        <f t="shared" si="12"/>
        <v>1108.5747281778663</v>
      </c>
    </row>
    <row r="54" spans="2:12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0</v>
      </c>
      <c r="G54" s="57">
        <f>M43/C54*0.000001</f>
        <v>35.841022857631451</v>
      </c>
      <c r="H54" s="57">
        <f>(E54*(M42/B54-F54*(D54-20))+0.3*G54*1000000)*0.000001</f>
        <v>234.03404893530956</v>
      </c>
      <c r="I54" s="80">
        <f>(1/SQRT(2))*SQRT((H54-G54)^2+(G54-0)^2+(H54-0)^2)</f>
        <v>218.33115967076634</v>
      </c>
      <c r="J54" s="61">
        <f>(B54-B53)*(H54*C54+H53*C53)*1000000</f>
        <v>189994.42577748818</v>
      </c>
      <c r="K54" s="62">
        <f>(B54-B53)*(C54+C53)/2</f>
        <v>4.0123600000000094E-4</v>
      </c>
      <c r="L54" s="1">
        <f t="shared" si="12"/>
        <v>1094.0795989128046</v>
      </c>
    </row>
    <row r="55" spans="2:12" ht="18" customHeight="1" x14ac:dyDescent="0.2">
      <c r="B55" s="1" t="s">
        <v>95</v>
      </c>
      <c r="D55" s="17"/>
      <c r="E55" s="17"/>
    </row>
    <row r="56" spans="2:12" ht="18" customHeight="1" x14ac:dyDescent="0.2">
      <c r="I56" s="41" t="s">
        <v>96</v>
      </c>
      <c r="J56" s="36">
        <f>SUM(J50:J54)</f>
        <v>1402125.7717368954</v>
      </c>
      <c r="K56" s="36">
        <f>SUM(K50:K54)</f>
        <v>2.2750740000000011E-3</v>
      </c>
    </row>
    <row r="57" spans="2:12" ht="18" customHeight="1" x14ac:dyDescent="0.25">
      <c r="I57" s="32" t="s">
        <v>97</v>
      </c>
      <c r="J57" s="54">
        <f>J56/K56*0.000001</f>
        <v>616.29897389574785</v>
      </c>
      <c r="K57" s="1" t="s">
        <v>27</v>
      </c>
    </row>
    <row r="58" spans="2:12" ht="18" customHeight="1" x14ac:dyDescent="0.2">
      <c r="I58" s="30" t="s">
        <v>17</v>
      </c>
      <c r="J58" s="54">
        <f>AVERAGE(S5:S9)</f>
        <v>1141.638735896563</v>
      </c>
      <c r="K58" s="1" t="s">
        <v>27</v>
      </c>
    </row>
    <row r="59" spans="2:12" ht="18" customHeight="1" x14ac:dyDescent="0.35">
      <c r="I59" s="30" t="s">
        <v>98</v>
      </c>
      <c r="J59" s="63">
        <f>C8*SQRT(J58/J57)</f>
        <v>4962.3259788038495</v>
      </c>
      <c r="K59" s="1" t="s">
        <v>32</v>
      </c>
    </row>
    <row r="60" spans="2:12" ht="18" customHeight="1" x14ac:dyDescent="0.2"/>
    <row r="61" spans="2:12" ht="18" customHeight="1" x14ac:dyDescent="0.2"/>
    <row r="62" spans="2:12" ht="18" customHeight="1" x14ac:dyDescent="0.2"/>
    <row r="63" spans="2:12" ht="18" customHeight="1" x14ac:dyDescent="0.2"/>
    <row r="64" spans="2:12" ht="18" customHeight="1" x14ac:dyDescent="0.2"/>
    <row r="65" spans="5:5" ht="18" customHeight="1" x14ac:dyDescent="0.2"/>
    <row r="66" spans="5:5" ht="18" customHeight="1" x14ac:dyDescent="0.2"/>
    <row r="67" spans="5:5" ht="18" customHeight="1" x14ac:dyDescent="0.2"/>
    <row r="68" spans="5:5" ht="18" customHeight="1" x14ac:dyDescent="0.2"/>
    <row r="69" spans="5:5" ht="18" customHeight="1" x14ac:dyDescent="0.2"/>
    <row r="70" spans="5:5" ht="18" customHeight="1" x14ac:dyDescent="0.2"/>
    <row r="71" spans="5:5" ht="18" customHeight="1" x14ac:dyDescent="0.2">
      <c r="E71" s="17"/>
    </row>
    <row r="96" spans="5:5" x14ac:dyDescent="0.2">
      <c r="E96" s="1" t="s">
        <v>99</v>
      </c>
    </row>
    <row r="97" spans="5:5" x14ac:dyDescent="0.2">
      <c r="E97" s="68">
        <f>K34</f>
        <v>4.5205712331465673E-4</v>
      </c>
    </row>
    <row r="98" spans="5:5" x14ac:dyDescent="0.2">
      <c r="E98" s="68">
        <f>K36</f>
        <v>4.4099945689759991E-4</v>
      </c>
    </row>
    <row r="99" spans="5:5" x14ac:dyDescent="0.2">
      <c r="E99" s="68">
        <f>K38</f>
        <v>4.3635400102187612E-4</v>
      </c>
    </row>
    <row r="100" spans="5:5" x14ac:dyDescent="0.2">
      <c r="E100" s="68">
        <f>K40</f>
        <v>5.3358509544763357E-4</v>
      </c>
    </row>
    <row r="101" spans="5:5" x14ac:dyDescent="0.2">
      <c r="E101" s="68">
        <f>K42</f>
        <v>5.3154929487444591E-4</v>
      </c>
    </row>
  </sheetData>
  <mergeCells count="20">
    <mergeCell ref="B2:D2"/>
    <mergeCell ref="F2:P2"/>
    <mergeCell ref="U2:W2"/>
    <mergeCell ref="B19:J19"/>
    <mergeCell ref="L19:L20"/>
    <mergeCell ref="P19:P20"/>
    <mergeCell ref="L21:L22"/>
    <mergeCell ref="P21:P22"/>
    <mergeCell ref="L23:L24"/>
    <mergeCell ref="P23:P24"/>
    <mergeCell ref="L25:L26"/>
    <mergeCell ref="P25:P26"/>
    <mergeCell ref="B46:J46"/>
    <mergeCell ref="L27:L28"/>
    <mergeCell ref="P27:P28"/>
    <mergeCell ref="B32:I32"/>
    <mergeCell ref="J32:M32"/>
    <mergeCell ref="B33:E33"/>
    <mergeCell ref="F33:I33"/>
    <mergeCell ref="J33:M33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1EAD-6AC6-4C5A-BD75-4DFBDB0E498E}">
  <dimension ref="B1:AC73"/>
  <sheetViews>
    <sheetView topLeftCell="G68" zoomScale="72" zoomScaleNormal="72" workbookViewId="0">
      <selection activeCell="O86" sqref="O86"/>
    </sheetView>
  </sheetViews>
  <sheetFormatPr defaultColWidth="11.28515625" defaultRowHeight="14.25" x14ac:dyDescent="0.2"/>
  <cols>
    <col min="1" max="1" width="11.28515625" style="1"/>
    <col min="2" max="2" width="17" style="1" customWidth="1"/>
    <col min="3" max="4" width="11.28515625" style="1"/>
    <col min="5" max="5" width="18.42578125" style="1" bestFit="1" customWidth="1"/>
    <col min="6" max="6" width="18" style="1" customWidth="1"/>
    <col min="7" max="12" width="11.28515625" style="1"/>
    <col min="13" max="13" width="12.5703125" style="1" bestFit="1" customWidth="1"/>
    <col min="14" max="14" width="19.28515625" style="1" customWidth="1"/>
    <col min="15" max="15" width="15.140625" style="1" bestFit="1" customWidth="1"/>
    <col min="16" max="16" width="12.5703125" style="1" bestFit="1" customWidth="1"/>
    <col min="17" max="20" width="11.28515625" style="1"/>
    <col min="21" max="21" width="21.7109375" style="1" customWidth="1"/>
    <col min="22" max="22" width="14" style="1" bestFit="1" customWidth="1"/>
    <col min="23" max="16384" width="11.28515625" style="1"/>
  </cols>
  <sheetData>
    <row r="1" spans="2:25" ht="15" thickBot="1" x14ac:dyDescent="0.25"/>
    <row r="2" spans="2:25" s="33" customFormat="1" ht="18" customHeight="1" x14ac:dyDescent="0.2">
      <c r="B2" s="86" t="s">
        <v>0</v>
      </c>
      <c r="C2" s="87"/>
      <c r="D2" s="88"/>
      <c r="F2" s="86" t="s">
        <v>1</v>
      </c>
      <c r="G2" s="87"/>
      <c r="H2" s="87"/>
      <c r="I2" s="87"/>
      <c r="J2" s="87"/>
      <c r="K2" s="87"/>
      <c r="L2" s="87"/>
      <c r="M2" s="87"/>
      <c r="N2" s="87"/>
      <c r="O2" s="87"/>
      <c r="P2" s="88"/>
      <c r="U2" s="89"/>
      <c r="V2" s="89"/>
      <c r="W2" s="89"/>
      <c r="Y2" s="1"/>
    </row>
    <row r="3" spans="2:25" s="12" customFormat="1" ht="18" customHeight="1" x14ac:dyDescent="0.2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17</v>
      </c>
      <c r="U3" s="12" t="s">
        <v>18</v>
      </c>
      <c r="V3" s="12" t="s">
        <v>12</v>
      </c>
      <c r="W3" s="12" t="s">
        <v>19</v>
      </c>
      <c r="X3" s="12" t="s">
        <v>17</v>
      </c>
      <c r="Y3" s="1" t="s">
        <v>20</v>
      </c>
    </row>
    <row r="4" spans="2:25" s="12" customFormat="1" ht="18" customHeight="1" x14ac:dyDescent="0.2">
      <c r="B4" s="2" t="s">
        <v>21</v>
      </c>
      <c r="C4" s="4">
        <v>0.52629999999999999</v>
      </c>
      <c r="D4" s="19" t="s">
        <v>22</v>
      </c>
      <c r="F4" s="7"/>
      <c r="G4" s="13" t="s">
        <v>22</v>
      </c>
      <c r="H4" s="13" t="s">
        <v>22</v>
      </c>
      <c r="I4" s="13" t="s">
        <v>22</v>
      </c>
      <c r="J4" s="13" t="s">
        <v>23</v>
      </c>
      <c r="K4" s="13" t="s">
        <v>23</v>
      </c>
      <c r="L4" s="13" t="s">
        <v>23</v>
      </c>
      <c r="M4" s="13" t="s">
        <v>23</v>
      </c>
      <c r="N4" s="13" t="s">
        <v>24</v>
      </c>
      <c r="O4" s="13" t="s">
        <v>25</v>
      </c>
      <c r="P4" s="14" t="s">
        <v>26</v>
      </c>
      <c r="Q4" s="13" t="s">
        <v>22</v>
      </c>
      <c r="R4" s="13" t="s">
        <v>22</v>
      </c>
      <c r="S4" s="13" t="s">
        <v>27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">
      <c r="B5" s="2" t="s">
        <v>28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>
        <v>0</v>
      </c>
      <c r="P5" s="65">
        <v>8219.7999999999993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">
      <c r="B6" s="2" t="s">
        <v>29</v>
      </c>
      <c r="C6" s="4">
        <v>0.40400000000000003</v>
      </c>
      <c r="D6" s="19" t="s">
        <v>22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0</v>
      </c>
      <c r="P6" s="65">
        <v>8220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">
      <c r="B7" s="2" t="s">
        <v>30</v>
      </c>
      <c r="C7" s="3">
        <v>0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0</v>
      </c>
      <c r="P7" s="65">
        <v>8220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">
      <c r="B8" s="2" t="s">
        <v>31</v>
      </c>
      <c r="C8" s="3">
        <v>3646</v>
      </c>
      <c r="D8" s="15" t="s">
        <v>32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0</v>
      </c>
      <c r="P8" s="65">
        <v>8220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25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0</v>
      </c>
      <c r="P9" s="77">
        <v>8220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">
      <c r="B10" s="2" t="s">
        <v>33</v>
      </c>
      <c r="C10" s="35">
        <f>C3*C4*(C8/60*2*PI())^2*C7</f>
        <v>0</v>
      </c>
      <c r="D10" s="24" t="s">
        <v>34</v>
      </c>
      <c r="N10" s="1" t="s">
        <v>35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">
      <c r="B11" s="2" t="s">
        <v>36</v>
      </c>
      <c r="C11" s="35">
        <f>C5*C6*(C8/60*2*PI())^2*C7</f>
        <v>0</v>
      </c>
      <c r="D11" s="24" t="s">
        <v>34</v>
      </c>
      <c r="N11" s="5" t="s">
        <v>37</v>
      </c>
      <c r="O11" s="5" t="s">
        <v>38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">
      <c r="B13" s="25" t="s">
        <v>39</v>
      </c>
      <c r="C13" s="49">
        <f>-(C10+C11)/(PI()*H9*R9)</f>
        <v>0</v>
      </c>
      <c r="D13" s="26" t="s">
        <v>24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25">
      <c r="B14" s="27" t="s">
        <v>40</v>
      </c>
      <c r="C14" s="50">
        <v>0</v>
      </c>
      <c r="D14" s="28" t="s">
        <v>24</v>
      </c>
      <c r="N14" s="5">
        <f t="shared" si="6"/>
        <v>172272033157.29672</v>
      </c>
      <c r="O14" s="34">
        <f t="shared" si="7"/>
        <v>-325800307.22839355</v>
      </c>
      <c r="U14" s="5" t="s">
        <v>41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">
      <c r="N15" s="5">
        <f t="shared" si="6"/>
        <v>169195267876.60303</v>
      </c>
      <c r="O15" s="34">
        <f t="shared" si="7"/>
        <v>247233727.42321777</v>
      </c>
      <c r="U15" s="5" t="s">
        <v>42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"/>
    <row r="18" spans="2:25" s="5" customFormat="1" ht="18" customHeight="1" thickBot="1" x14ac:dyDescent="0.25"/>
    <row r="19" spans="2:25" s="5" customFormat="1" ht="18" customHeight="1" x14ac:dyDescent="0.2">
      <c r="B19" s="86" t="s">
        <v>43</v>
      </c>
      <c r="C19" s="87"/>
      <c r="D19" s="87"/>
      <c r="E19" s="87"/>
      <c r="F19" s="87"/>
      <c r="G19" s="87"/>
      <c r="H19" s="87"/>
      <c r="I19" s="87"/>
      <c r="J19" s="88"/>
      <c r="L19" s="81" t="s">
        <v>44</v>
      </c>
      <c r="M19" s="47">
        <f>C21/E21</f>
        <v>0.97553922757376821</v>
      </c>
      <c r="N19" s="48">
        <f>D21-C21/E21*F21</f>
        <v>4.9243984629544677E-12</v>
      </c>
      <c r="P19" s="81" t="s">
        <v>45</v>
      </c>
      <c r="Q19" s="48">
        <f>(H21+J21)-C21/E21*(G21+I21)</f>
        <v>-3.257722302301276E-7</v>
      </c>
    </row>
    <row r="20" spans="2:25" s="5" customFormat="1" ht="18" customHeight="1" thickBot="1" x14ac:dyDescent="0.25">
      <c r="B20" s="16" t="s">
        <v>4</v>
      </c>
      <c r="C20" s="17" t="s">
        <v>46</v>
      </c>
      <c r="D20" s="17" t="s">
        <v>47</v>
      </c>
      <c r="E20" s="17" t="s">
        <v>48</v>
      </c>
      <c r="F20" s="17" t="s">
        <v>49</v>
      </c>
      <c r="G20" s="17" t="s">
        <v>50</v>
      </c>
      <c r="H20" s="17" t="s">
        <v>51</v>
      </c>
      <c r="I20" s="17" t="s">
        <v>52</v>
      </c>
      <c r="J20" s="18" t="s">
        <v>53</v>
      </c>
      <c r="L20" s="82"/>
      <c r="M20" s="39">
        <f>1/E21</f>
        <v>1586506469.5126541</v>
      </c>
      <c r="N20" s="40">
        <f>-F21/E21</f>
        <v>0.93821446745424708</v>
      </c>
      <c r="P20" s="82"/>
      <c r="Q20" s="40">
        <f>-(G21+I21)/E21</f>
        <v>-128222.04670823587</v>
      </c>
    </row>
    <row r="21" spans="2:25" s="5" customFormat="1" ht="18" customHeight="1" x14ac:dyDescent="0.2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8.0820374308100576E-5</v>
      </c>
      <c r="H21" s="36">
        <f>$P5*($C$8/60*2*3.14)^2*($H5^2/4)*(3+0.3)/16/$N5*H5*(0.7*(1+($G5/$H5)^2)+1.3*(G5/H5)^2-(1-0.3^2)/(3+0.3))</f>
        <v>7.8517673294517125E-5</v>
      </c>
      <c r="I21" s="36">
        <f>$O5/12*$L5/(($H5-$G5)/2)*((0.3-2)*G5^2+(1-0.3)*($H5^2+$G5^2+$G5*$H5)/($G5+$H5)*G5+(1+0.3)*($G5^2*$H5^2)/($G5+$H5)*1/G5)+$O5*($J5-20)*G5/2</f>
        <v>0</v>
      </c>
      <c r="J21" s="38">
        <f>$O5/12*$L5/(($H5-$G5)/2)*((0.3-2)*H5^2+(1-0.3)*($H5^2+$G5^2+$G5*$H5)/($G5+$H5)*H5+(1+0.3)*($G5^2*$H5^2)/($G5+$H5)*1/H5)+$O5*($K5-20)*H5/2</f>
        <v>0</v>
      </c>
      <c r="L21" s="81" t="s">
        <v>54</v>
      </c>
      <c r="M21" s="47">
        <f>C22/E22</f>
        <v>0.96403175685256259</v>
      </c>
      <c r="N21" s="48">
        <f>D22-C22/E22*F22</f>
        <v>1.5639503569822637E-11</v>
      </c>
      <c r="P21" s="81" t="s">
        <v>55</v>
      </c>
      <c r="Q21" s="48">
        <f>(H22+J22)-C22/E22*(G22+I22)</f>
        <v>-1.3473499794490256E-6</v>
      </c>
    </row>
    <row r="22" spans="2:25" s="5" customFormat="1" ht="18" customHeight="1" thickBot="1" x14ac:dyDescent="0.25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1.2201207895591133E-4</v>
      </c>
      <c r="H22" s="36">
        <f>$P6*($C$8/60*2*3.14)^2*($H6^2/4)*(3+0.3)/16/$N6*H6*(0.7*(1+($G6/$H6)^2)+1.3*(G6/H6)^2-(1-0.3^2)/(3+0.3))</f>
        <v>1.1627616885365176E-4</v>
      </c>
      <c r="I22" s="36">
        <f>$O6/12*$L6/(($H6-$G6)/2)*((0.3-2)*G6^2+(1-0.3)*($H6^2+$G6^2+$G6*$H6)/($G6+$H6)*G6+(1+0.3)*($G6^2*$H6^2)/($G6+$H6)*1/G6)+$O6*($J6-20)*G6/2</f>
        <v>0</v>
      </c>
      <c r="J22" s="38">
        <f>$O6/12*$L6/(($H6-$G6)/2)*((0.3-2)*H6^2+(1-0.3)*($H6^2+$G6^2+$G6*$H6)/($G6+$H6)*H6+(1+0.3)*($G6^2*$H6^2)/($G6+$H6)*1/H6)+$O6*($K6-20)*H6/2</f>
        <v>0</v>
      </c>
      <c r="L22" s="82"/>
      <c r="M22" s="39">
        <f>1/E22</f>
        <v>1342990721.0122635</v>
      </c>
      <c r="N22" s="40">
        <f>-F22/E22</f>
        <v>0.90203446718811231</v>
      </c>
      <c r="P22" s="82"/>
      <c r="Q22" s="40">
        <f>-(G22+I22)/E22</f>
        <v>-163861.0898892046</v>
      </c>
    </row>
    <row r="23" spans="2:25" s="5" customFormat="1" ht="18" customHeight="1" x14ac:dyDescent="0.2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2.5105636025586636E-4</v>
      </c>
      <c r="H23" s="36">
        <f>$P7*($C$8/60*2*3.14)^2*($H7^2/4)*(3+0.3)/16/$N7*H7*(0.7*(1+($G7/$H7)^2)+1.3*(G7/H7)^2-(1-0.3^2)/(3+0.3))</f>
        <v>2.3190211767615994E-4</v>
      </c>
      <c r="I23" s="36">
        <f>$O7/12*$L7/(($H7-$G7)/2)*((0.3-2)*G7^2+(1-0.3)*($H7^2+$G7^2+$G7*$H7)/($G7+$H7)*G7+(1+0.3)*($G7^2*$H7^2)/($G7+$H7)*1/G7)+$O7*($J7-20)*G7/2</f>
        <v>0</v>
      </c>
      <c r="J23" s="38">
        <f>$O7/12*$L7/(($H7-$G7)/2)*((0.3-2)*H7^2+(1-0.3)*($H7^2+$G7^2+$G7*$H7)/($G7+$H7)*H7+(1+0.3)*($G7^2*$H7^2)/($G7+$H7)*1/H7)+$O7*($K7-20)*H7/2</f>
        <v>0</v>
      </c>
      <c r="L23" s="81" t="s">
        <v>56</v>
      </c>
      <c r="M23" s="47">
        <f>C23/E23</f>
        <v>0.95426762878198901</v>
      </c>
      <c r="N23" s="48">
        <f>D23-C23/E23*F23</f>
        <v>9.4567118953445927E-11</v>
      </c>
      <c r="P23" s="81" t="s">
        <v>57</v>
      </c>
      <c r="Q23" s="48">
        <f>(H23+J23)-C23/E23*(G23+I23)</f>
        <v>-7.6728399158424332E-6</v>
      </c>
    </row>
    <row r="24" spans="2:25" s="5" customFormat="1" ht="18" customHeight="1" thickBot="1" x14ac:dyDescent="0.25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3.9410104080143433E-4</v>
      </c>
      <c r="H24" s="36">
        <f>$P8*($C$8/60*2*3.14)^2*($H8^2/4)*(3+0.3)/16/$N8*H8*(0.7*(1+($G8/$H8)^2)+1.3*(G8/H8)^2-(1-0.3^2)/(3+0.3))</f>
        <v>3.8932890402102848E-4</v>
      </c>
      <c r="I24" s="36">
        <f>$O8/12*$L8/(($H8-$G8)/2)*((0.3-2)*G8^2+(1-0.3)*($H8^2+$G8^2+$G8*$H8)/($G8+$H8)*G8+(1+0.3)*($G8^2*$H8^2)/($G8+$H8)*1/G8)+$O8*($J8-20)*G8/2</f>
        <v>0</v>
      </c>
      <c r="J24" s="38">
        <f>$O8/12*$L8/(($H8-$G8)/2)*((0.3-2)*H8^2+(1-0.3)*($H8^2+$G8^2+$G8*$H8)/($G8+$H8)*H8+(1+0.3)*($G8^2*$H8^2)/($G8+$H8)*1/H8)+$O8*($K8-20)*H8/2</f>
        <v>0</v>
      </c>
      <c r="L24" s="82"/>
      <c r="M24" s="39">
        <f>1/E23</f>
        <v>597436121.51230848</v>
      </c>
      <c r="N24" s="40">
        <f>-F23/E23</f>
        <v>0.84861607853985743</v>
      </c>
      <c r="P24" s="82"/>
      <c r="Q24" s="40">
        <f>-(G23+I23)/E23</f>
        <v>-149990.13815226167</v>
      </c>
    </row>
    <row r="25" spans="2:25" s="5" customFormat="1" ht="18" customHeight="1" thickBot="1" x14ac:dyDescent="0.25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4.3394334758894808E-4</v>
      </c>
      <c r="H25" s="39">
        <f>$P9*($C$8/60*2*3.14)^2*($H9^2/4)*(3+0.3)/16/$N9*H9*(0.7*(1+($G9/$H9)^2)+1.3*(G9/H9)^2-(1-0.3^2)/(3+0.3))</f>
        <v>4.3120582432160348E-4</v>
      </c>
      <c r="I25" s="39">
        <f>$O9/12*$L9/(($H9-$G9)/2)*((0.3-2)*G9^2+(1-0.3)*($H9^2+$G9^2+$G9*$H9)/($G9+$H9)*G9+(1+0.3)*($G9^2*$H9^2)/($G9+$H9)*1/G9)+$O9*($J9-20)*G9/2</f>
        <v>0</v>
      </c>
      <c r="J25" s="40">
        <f>$O9/12*$L9/(($H9-$G9)/2)*((0.3-2)*H9^2+(1-0.3)*($H9^2+$G9^2+$G9*$H9)/($G9+$H9)*H9+(1+0.3)*($G9^2*$H9^2)/($G9+$H9)*1/H9)+$O9*($K9-20)*H9/2</f>
        <v>0</v>
      </c>
      <c r="L25" s="81" t="s">
        <v>58</v>
      </c>
      <c r="M25" s="47">
        <f>C24/E24</f>
        <v>0.98862394111551066</v>
      </c>
      <c r="N25" s="48">
        <f>D24-C24/E24*F24</f>
        <v>3.0742405409491731E-12</v>
      </c>
      <c r="P25" s="81" t="s">
        <v>59</v>
      </c>
      <c r="Q25" s="48">
        <f>(H24+J24)-C24/E24*(G24+I24)</f>
        <v>-2.8882013381018338E-7</v>
      </c>
    </row>
    <row r="26" spans="2:25" s="5" customFormat="1" ht="18" customHeight="1" thickBot="1" x14ac:dyDescent="0.25">
      <c r="L26" s="82"/>
      <c r="M26" s="39">
        <f>1/E24</f>
        <v>470256155.94969195</v>
      </c>
      <c r="N26" s="40">
        <f>-F24/E24</f>
        <v>0.97266096954263248</v>
      </c>
      <c r="P26" s="82"/>
      <c r="Q26" s="40">
        <f>-(G24+I24)/E24</f>
        <v>-185328.4405030552</v>
      </c>
    </row>
    <row r="27" spans="2:25" s="5" customFormat="1" ht="18" customHeight="1" x14ac:dyDescent="0.2">
      <c r="L27" s="81" t="s">
        <v>60</v>
      </c>
      <c r="M27" s="47">
        <f>C25/E25</f>
        <v>0.99389138578053193</v>
      </c>
      <c r="N27" s="48">
        <f>D25-C25/E25*F25</f>
        <v>9.1928263565482017E-13</v>
      </c>
      <c r="P27" s="81" t="s">
        <v>61</v>
      </c>
      <c r="Q27" s="48">
        <f>(H25+J25)-C25/E25*(G25+I25)</f>
        <v>-8.6730763819192931E-8</v>
      </c>
    </row>
    <row r="28" spans="2:25" s="5" customFormat="1" ht="18" customHeight="1" thickBot="1" x14ac:dyDescent="0.25">
      <c r="L28" s="82"/>
      <c r="M28" s="39">
        <f>1/E25</f>
        <v>431686763.80427253</v>
      </c>
      <c r="N28" s="40">
        <f>-F25/E25</f>
        <v>0.98553548613975084</v>
      </c>
      <c r="P28" s="82"/>
      <c r="Q28" s="40">
        <f>-(G25+I25)/E25</f>
        <v>-187327.59939506557</v>
      </c>
    </row>
    <row r="29" spans="2:25" s="5" customFormat="1" ht="18" customHeight="1" x14ac:dyDescent="0.2">
      <c r="F29" s="34"/>
      <c r="G29" s="34"/>
      <c r="J29" s="34"/>
    </row>
    <row r="30" spans="2:25" s="5" customFormat="1" ht="18" customHeight="1" x14ac:dyDescent="0.2">
      <c r="F30" s="34"/>
      <c r="G30" s="34"/>
      <c r="J30" s="34"/>
    </row>
    <row r="31" spans="2:25" s="5" customFormat="1" ht="18" customHeight="1" thickBot="1" x14ac:dyDescent="0.25">
      <c r="F31" s="34"/>
      <c r="G31" s="34"/>
      <c r="J31" s="34"/>
    </row>
    <row r="32" spans="2:25" ht="18" customHeight="1" x14ac:dyDescent="0.2">
      <c r="B32" s="92" t="s">
        <v>62</v>
      </c>
      <c r="C32" s="93"/>
      <c r="D32" s="93"/>
      <c r="E32" s="93"/>
      <c r="F32" s="93"/>
      <c r="G32" s="93"/>
      <c r="H32" s="93"/>
      <c r="I32" s="94"/>
      <c r="J32" s="95" t="s">
        <v>63</v>
      </c>
      <c r="K32" s="96"/>
      <c r="L32" s="96"/>
      <c r="M32" s="97"/>
      <c r="Y32" s="5"/>
    </row>
    <row r="33" spans="2:29" ht="18" customHeight="1" x14ac:dyDescent="0.25">
      <c r="B33" s="83" t="s">
        <v>64</v>
      </c>
      <c r="C33" s="84"/>
      <c r="D33" s="84"/>
      <c r="E33" s="84"/>
      <c r="F33" s="84" t="s">
        <v>65</v>
      </c>
      <c r="G33" s="84"/>
      <c r="H33" s="84"/>
      <c r="I33" s="85"/>
      <c r="J33" s="98" t="s">
        <v>66</v>
      </c>
      <c r="K33" s="99"/>
      <c r="L33" s="99"/>
      <c r="M33" s="100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">
      <c r="B34" s="43" t="s">
        <v>67</v>
      </c>
      <c r="C34" s="51">
        <v>0</v>
      </c>
      <c r="D34" s="44" t="s">
        <v>68</v>
      </c>
      <c r="E34" s="20">
        <f>$M19*C34+$N19*C35+$Q19</f>
        <v>-3.257722302301276E-7</v>
      </c>
      <c r="F34" s="43" t="s">
        <v>67</v>
      </c>
      <c r="G34" s="51">
        <f>H9/1000</f>
        <v>7.94E-4</v>
      </c>
      <c r="H34" s="44" t="s">
        <v>68</v>
      </c>
      <c r="I34" s="20">
        <f>$M19*G34+$N19*G35+$Q19</f>
        <v>7.7425237446334186E-4</v>
      </c>
      <c r="J34" s="43" t="s">
        <v>67</v>
      </c>
      <c r="K34" s="51">
        <f>(P36-P45)/O45</f>
        <v>2.026787652767937E-4</v>
      </c>
      <c r="L34" s="44" t="s">
        <v>68</v>
      </c>
      <c r="M34" s="20">
        <f>$M19*K34+$N19*K35+$Q19</f>
        <v>1.9739531389349827E-4</v>
      </c>
      <c r="Y34" s="5"/>
    </row>
    <row r="35" spans="2:29" ht="18" customHeight="1" x14ac:dyDescent="0.2">
      <c r="B35" s="43" t="s">
        <v>69</v>
      </c>
      <c r="C35" s="51">
        <v>0</v>
      </c>
      <c r="D35" s="44" t="s">
        <v>70</v>
      </c>
      <c r="E35" s="20">
        <f>$M20*C34+$N20*C35+$Q20</f>
        <v>-128222.04670823587</v>
      </c>
      <c r="F35" s="43" t="s">
        <v>69</v>
      </c>
      <c r="G35" s="51">
        <v>0</v>
      </c>
      <c r="H35" s="44" t="s">
        <v>70</v>
      </c>
      <c r="I35" s="20">
        <f>$M20*G34+$N20*G35+$Q20</f>
        <v>1131464.0900848117</v>
      </c>
      <c r="J35" s="43" t="s">
        <v>69</v>
      </c>
      <c r="K35" s="51">
        <v>0</v>
      </c>
      <c r="L35" s="44" t="s">
        <v>70</v>
      </c>
      <c r="M35" s="20">
        <f>$M20*K34+$N20*K35+$Q20</f>
        <v>193329.12563623401</v>
      </c>
    </row>
    <row r="36" spans="2:29" ht="18" customHeight="1" x14ac:dyDescent="0.2">
      <c r="B36" s="43" t="s">
        <v>71</v>
      </c>
      <c r="C36" s="34">
        <f t="shared" ref="C36:C43" si="8">E34</f>
        <v>-3.257722302301276E-7</v>
      </c>
      <c r="D36" s="44" t="s">
        <v>72</v>
      </c>
      <c r="E36" s="20">
        <f>$M21*C36+$N21*C37+$Q21</f>
        <v>-3.6667339121149726E-6</v>
      </c>
      <c r="F36" s="43" t="s">
        <v>71</v>
      </c>
      <c r="G36" s="34">
        <f>I34</f>
        <v>7.7425237446334186E-4</v>
      </c>
      <c r="H36" s="44" t="s">
        <v>72</v>
      </c>
      <c r="I36" s="20">
        <f>$M21*G36+$N21*G37+$Q21</f>
        <v>7.6275206349772217E-4</v>
      </c>
      <c r="J36" s="43" t="s">
        <v>71</v>
      </c>
      <c r="K36" s="34">
        <f>M34</f>
        <v>1.9739531389349827E-4</v>
      </c>
      <c r="L36" s="44" t="s">
        <v>72</v>
      </c>
      <c r="M36" s="20">
        <f>$M21*K36+$N21*K37+$Q21</f>
        <v>1.9197157281830173E-4</v>
      </c>
      <c r="O36" s="1" t="s">
        <v>73</v>
      </c>
      <c r="P36" s="74">
        <f>(C10+C11)/(PI()*H9)</f>
        <v>0</v>
      </c>
    </row>
    <row r="37" spans="2:29" ht="18" customHeight="1" x14ac:dyDescent="0.2">
      <c r="B37" s="43" t="s">
        <v>74</v>
      </c>
      <c r="C37" s="34">
        <f t="shared" si="8"/>
        <v>-128222.04670823587</v>
      </c>
      <c r="D37" s="44" t="s">
        <v>75</v>
      </c>
      <c r="E37" s="20">
        <f>$M22*C36+$N22*C37+$Q22</f>
        <v>-279959.30455579993</v>
      </c>
      <c r="F37" s="43" t="s">
        <v>74</v>
      </c>
      <c r="G37" s="34">
        <f t="shared" ref="G37:G43" si="9">I35</f>
        <v>1131464.0900848117</v>
      </c>
      <c r="H37" s="44" t="s">
        <v>75</v>
      </c>
      <c r="I37" s="20">
        <f>$M22*G36+$N22*G37+$Q22</f>
        <v>1896572.2723789113</v>
      </c>
      <c r="J37" s="43" t="s">
        <v>74</v>
      </c>
      <c r="K37" s="34">
        <f t="shared" ref="K37:K43" si="10">M35</f>
        <v>193329.12563623401</v>
      </c>
      <c r="L37" s="44" t="s">
        <v>75</v>
      </c>
      <c r="M37" s="20">
        <f>$M22*K36+$N22*K37+$Q22</f>
        <v>275628.51987629069</v>
      </c>
    </row>
    <row r="38" spans="2:29" ht="18" customHeight="1" x14ac:dyDescent="0.2">
      <c r="B38" s="43" t="s">
        <v>76</v>
      </c>
      <c r="C38" s="34">
        <f t="shared" si="8"/>
        <v>-3.6667339121149726E-6</v>
      </c>
      <c r="D38" s="44" t="s">
        <v>77</v>
      </c>
      <c r="E38" s="20">
        <f>$M23*C38+$N23*C39+$Q23</f>
        <v>-3.764683024758322E-5</v>
      </c>
      <c r="F38" s="43" t="s">
        <v>76</v>
      </c>
      <c r="G38" s="34">
        <f t="shared" si="9"/>
        <v>7.6275206349772217E-4</v>
      </c>
      <c r="H38" s="44" t="s">
        <v>77</v>
      </c>
      <c r="I38" s="20">
        <f>$M23*G38+$N23*G39+$Q23</f>
        <v>8.9955013875256179E-4</v>
      </c>
      <c r="J38" s="43" t="s">
        <v>76</v>
      </c>
      <c r="K38" s="34">
        <f t="shared" si="10"/>
        <v>1.9197157281830173E-4</v>
      </c>
      <c r="L38" s="44" t="s">
        <v>77</v>
      </c>
      <c r="M38" s="20">
        <f>$M23*K38+$N23*K39+$Q23</f>
        <v>2.0158481269713069E-4</v>
      </c>
    </row>
    <row r="39" spans="2:29" ht="18" customHeight="1" x14ac:dyDescent="0.2">
      <c r="B39" s="43" t="s">
        <v>78</v>
      </c>
      <c r="C39" s="34">
        <f t="shared" si="8"/>
        <v>-279959.30455579993</v>
      </c>
      <c r="D39" s="44" t="s">
        <v>79</v>
      </c>
      <c r="E39" s="20">
        <f>$M24*C38+$N24*C39+$Q24</f>
        <v>-389758.74462222192</v>
      </c>
      <c r="F39" s="43" t="s">
        <v>78</v>
      </c>
      <c r="G39" s="34">
        <f t="shared" si="9"/>
        <v>1896572.2723789113</v>
      </c>
      <c r="H39" s="44" t="s">
        <v>79</v>
      </c>
      <c r="I39" s="20">
        <f>$M24*G38+$N24*G39+$Q24</f>
        <v>1915167.2207929455</v>
      </c>
      <c r="J39" s="43" t="s">
        <v>78</v>
      </c>
      <c r="K39" s="34">
        <f t="shared" si="10"/>
        <v>275628.51987629069</v>
      </c>
      <c r="L39" s="44" t="s">
        <v>79</v>
      </c>
      <c r="M39" s="20">
        <f>$M24*K38+$N24*K39+$Q24</f>
        <v>198603.40742408519</v>
      </c>
    </row>
    <row r="40" spans="2:29" ht="18" customHeight="1" x14ac:dyDescent="0.2">
      <c r="B40" s="43" t="s">
        <v>80</v>
      </c>
      <c r="C40" s="34">
        <f t="shared" si="8"/>
        <v>-3.764683024758322E-5</v>
      </c>
      <c r="D40" s="44" t="s">
        <v>81</v>
      </c>
      <c r="E40" s="20">
        <f>$M25*C40+$N25*C41+$Q25</f>
        <v>-3.8705589957589613E-5</v>
      </c>
      <c r="F40" s="43" t="s">
        <v>80</v>
      </c>
      <c r="G40" s="34">
        <f t="shared" si="9"/>
        <v>8.9955013875256179E-4</v>
      </c>
      <c r="H40" s="44" t="s">
        <v>81</v>
      </c>
      <c r="I40" s="20">
        <f>$M25*G40+$N25*G41+$Q25</f>
        <v>8.9491566798361052E-4</v>
      </c>
      <c r="J40" s="43" t="s">
        <v>80</v>
      </c>
      <c r="K40" s="34">
        <f t="shared" si="10"/>
        <v>2.0158481269713069E-4</v>
      </c>
      <c r="L40" s="44" t="s">
        <v>81</v>
      </c>
      <c r="M40" s="20">
        <f>$M25*K40+$N25*K41+$Q25</f>
        <v>1.9961330651053295E-4</v>
      </c>
    </row>
    <row r="41" spans="2:29" ht="18" customHeight="1" x14ac:dyDescent="0.2">
      <c r="B41" s="43" t="s">
        <v>82</v>
      </c>
      <c r="C41" s="34">
        <f t="shared" si="8"/>
        <v>-389758.74462222192</v>
      </c>
      <c r="D41" s="44" t="s">
        <v>83</v>
      </c>
      <c r="E41" s="20">
        <f>$M26*C40+$N26*C41+$Q26</f>
        <v>-582135.21261094394</v>
      </c>
      <c r="F41" s="43" t="s">
        <v>82</v>
      </c>
      <c r="G41" s="34">
        <f t="shared" si="9"/>
        <v>1915167.2207929455</v>
      </c>
      <c r="H41" s="44" t="s">
        <v>83</v>
      </c>
      <c r="I41" s="20">
        <f>$M26*G40+$N26*G41+$Q26</f>
        <v>2100498.9556434718</v>
      </c>
      <c r="J41" s="43" t="s">
        <v>82</v>
      </c>
      <c r="K41" s="34">
        <f t="shared" si="10"/>
        <v>198603.40742408519</v>
      </c>
      <c r="L41" s="44" t="s">
        <v>83</v>
      </c>
      <c r="M41" s="20">
        <f>$M26*K40+$N26*K41+$Q26</f>
        <v>102641.84143331731</v>
      </c>
    </row>
    <row r="42" spans="2:29" ht="18" customHeight="1" x14ac:dyDescent="0.2">
      <c r="B42" s="43" t="s">
        <v>84</v>
      </c>
      <c r="C42" s="34">
        <f t="shared" si="8"/>
        <v>-3.8705589957589613E-5</v>
      </c>
      <c r="D42" s="44" t="s">
        <v>85</v>
      </c>
      <c r="E42" s="20">
        <f>$M27*C42+$N27*C43+$Q27</f>
        <v>-3.9091029996777444E-5</v>
      </c>
      <c r="F42" s="43" t="s">
        <v>84</v>
      </c>
      <c r="G42" s="34">
        <f t="shared" si="9"/>
        <v>8.9491566798361052E-4</v>
      </c>
      <c r="H42" s="44" t="s">
        <v>85</v>
      </c>
      <c r="I42" s="20">
        <f>$M27*G42+$N27*G43+$Q27</f>
        <v>8.9129319486125596E-4</v>
      </c>
      <c r="J42" s="43" t="s">
        <v>84</v>
      </c>
      <c r="K42" s="34">
        <f t="shared" si="10"/>
        <v>1.9961330651053295E-4</v>
      </c>
      <c r="L42" s="44" t="s">
        <v>85</v>
      </c>
      <c r="M42" s="20">
        <f>$M27*K42+$N27*K43+$Q27</f>
        <v>1.9840157192668978E-4</v>
      </c>
      <c r="O42" s="1" t="s">
        <v>73</v>
      </c>
      <c r="P42" s="1" t="s">
        <v>67</v>
      </c>
    </row>
    <row r="43" spans="2:29" ht="18" customHeight="1" thickBot="1" x14ac:dyDescent="0.25">
      <c r="B43" s="45" t="s">
        <v>86</v>
      </c>
      <c r="C43" s="21">
        <f t="shared" si="8"/>
        <v>-582135.21261094394</v>
      </c>
      <c r="D43" s="46" t="s">
        <v>73</v>
      </c>
      <c r="E43" s="22">
        <f>$M28*C42+$N28*C43+$Q28</f>
        <v>-777751.20002458652</v>
      </c>
      <c r="F43" s="45" t="s">
        <v>86</v>
      </c>
      <c r="G43" s="21">
        <f t="shared" si="9"/>
        <v>2100498.9556434718</v>
      </c>
      <c r="H43" s="46" t="s">
        <v>73</v>
      </c>
      <c r="I43" s="22">
        <f>$M28*G42+$N28*G43+$Q28</f>
        <v>2269111.9085806459</v>
      </c>
      <c r="J43" s="45" t="s">
        <v>86</v>
      </c>
      <c r="K43" s="21">
        <f t="shared" si="10"/>
        <v>102641.84143331731</v>
      </c>
      <c r="L43" s="46" t="s">
        <v>73</v>
      </c>
      <c r="M43" s="73">
        <f>$M28*K42+$N28*K43+$Q28</f>
        <v>3.2014213502407074E-10</v>
      </c>
      <c r="O43" s="68">
        <f>E43</f>
        <v>-777751.20002458652</v>
      </c>
      <c r="P43" s="68">
        <f>C34</f>
        <v>0</v>
      </c>
    </row>
    <row r="44" spans="2:29" ht="18" customHeight="1" x14ac:dyDescent="0.2">
      <c r="O44" s="68">
        <f>I43</f>
        <v>2269111.9085806459</v>
      </c>
      <c r="P44" s="68">
        <f>G34</f>
        <v>7.94E-4</v>
      </c>
    </row>
    <row r="45" spans="2:29" ht="18" customHeight="1" x14ac:dyDescent="0.2">
      <c r="O45" s="1" cm="1">
        <f t="array" ref="O45:P45">LINEST(O43:O44,P43:P44)</f>
        <v>3837359078.8479004</v>
      </c>
      <c r="P45" s="1">
        <v>-777751.20002458687</v>
      </c>
    </row>
    <row r="46" spans="2:29" ht="18" customHeight="1" x14ac:dyDescent="0.25">
      <c r="B46" s="90" t="s">
        <v>87</v>
      </c>
      <c r="C46" s="91"/>
      <c r="D46" s="91"/>
      <c r="E46" s="91"/>
      <c r="F46" s="91"/>
      <c r="G46" s="91"/>
      <c r="H46" s="91"/>
      <c r="I46" s="91"/>
      <c r="J46" s="91"/>
    </row>
    <row r="47" spans="2:29" ht="18" customHeight="1" x14ac:dyDescent="0.25">
      <c r="B47" s="37" t="s">
        <v>14</v>
      </c>
      <c r="C47" s="17" t="s">
        <v>88</v>
      </c>
      <c r="D47" s="17" t="s">
        <v>18</v>
      </c>
      <c r="E47" s="8" t="s">
        <v>12</v>
      </c>
      <c r="F47" s="10" t="s">
        <v>13</v>
      </c>
      <c r="G47" s="42" t="s">
        <v>89</v>
      </c>
      <c r="H47" s="42" t="s">
        <v>90</v>
      </c>
      <c r="I47" s="42" t="s">
        <v>91</v>
      </c>
      <c r="J47" s="17" t="s">
        <v>92</v>
      </c>
      <c r="K47" s="18" t="s">
        <v>93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">
      <c r="B48" s="37" t="s">
        <v>22</v>
      </c>
      <c r="C48" s="17" t="s">
        <v>22</v>
      </c>
      <c r="D48" s="17" t="s">
        <v>23</v>
      </c>
      <c r="E48" s="13" t="s">
        <v>24</v>
      </c>
      <c r="F48" s="13" t="s">
        <v>25</v>
      </c>
      <c r="G48" s="17" t="s">
        <v>27</v>
      </c>
      <c r="H48" s="17" t="s">
        <v>27</v>
      </c>
      <c r="I48" s="17" t="s">
        <v>27</v>
      </c>
      <c r="J48" s="17" t="s">
        <v>34</v>
      </c>
      <c r="K48" s="18" t="s">
        <v>94</v>
      </c>
      <c r="S48" s="1" cm="1">
        <f t="array" ref="S48:AC48">(_xlfn.ANCHORARRAY(S47)*O45+P45)</f>
        <v>-777751.20002458687</v>
      </c>
      <c r="T48" s="1">
        <v>373456.52362978319</v>
      </c>
      <c r="U48" s="1">
        <v>1524664.2472841532</v>
      </c>
      <c r="V48" s="1">
        <v>2675871.9709385233</v>
      </c>
      <c r="W48" s="1">
        <v>3827079.6945928931</v>
      </c>
      <c r="X48" s="1">
        <v>4978287.4182472629</v>
      </c>
      <c r="Y48" s="1">
        <v>6129495.1419016328</v>
      </c>
      <c r="Z48" s="1">
        <v>7280702.8655560035</v>
      </c>
      <c r="AA48" s="1">
        <v>8431910.5892103743</v>
      </c>
      <c r="AB48" s="1">
        <v>9583118.3128647432</v>
      </c>
      <c r="AC48" s="1">
        <v>10734326.036519114</v>
      </c>
    </row>
    <row r="49" spans="2:11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>
        <v>0</v>
      </c>
      <c r="G49" s="54">
        <f>K35/C49*0.000001</f>
        <v>0</v>
      </c>
      <c r="H49" s="54">
        <f>(E49*(K34/B49-F49*(D49-20))+0.3*G49*1000000)*0.000001</f>
        <v>165.8164148071661</v>
      </c>
      <c r="I49" s="58">
        <f>(1/SQRT(2))*SQRT((G49-H49)^2+(G49-0)^2+(H49-0)^2)</f>
        <v>165.81641480716607</v>
      </c>
      <c r="J49" s="59"/>
      <c r="K49" s="60"/>
    </row>
    <row r="50" spans="2:11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0</v>
      </c>
      <c r="G50" s="54">
        <f>K37/C50*0.000001</f>
        <v>8.7876875289197276</v>
      </c>
      <c r="H50" s="54">
        <f>(E50*(K36/B50-F50*(D50-20))+0.3*G50*1000000)*0.000001</f>
        <v>148.78666597838975</v>
      </c>
      <c r="I50" s="58">
        <f>(1/SQRT(2))*SQRT((H50-G50)^2+(G50-0)^2+(H50-0)^2)</f>
        <v>144.59323876303142</v>
      </c>
      <c r="J50" s="59">
        <f>(B50-B49)*(H50*C50+H49*C49)*1000000</f>
        <v>152821.59252239153</v>
      </c>
      <c r="K50" s="60">
        <f>(B50-B49)*(C50+C49)/2</f>
        <v>4.8575999999999974E-4</v>
      </c>
    </row>
    <row r="51" spans="2:11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0</v>
      </c>
      <c r="G51" s="54">
        <f>K39/C51*0.000001</f>
        <v>61.250782194731272</v>
      </c>
      <c r="H51" s="54">
        <f>(E51*(K38/B51-F51*(D51-20))+0.3*G51*1000000)*0.000001</f>
        <v>138.05274164841603</v>
      </c>
      <c r="I51" s="58">
        <f>(1/SQRT(2))*SQRT((H51-G51)^2+(G51-0)^2+(H51-0)^2)</f>
        <v>119.80976331676008</v>
      </c>
      <c r="J51" s="59">
        <f>(B51-B50)*(H51*C51+H50*C50)*1000000</f>
        <v>165790.73760928004</v>
      </c>
      <c r="K51" s="60">
        <f>(B51-B50)*(C51+C50)/2</f>
        <v>5.6405250000000028E-4</v>
      </c>
    </row>
    <row r="52" spans="2:11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0</v>
      </c>
      <c r="G52" s="54">
        <f>K41/C52*0.000001</f>
        <v>44.134090538685605</v>
      </c>
      <c r="H52" s="54">
        <f>(E52*(K40/B52-F52*(D52-20))+0.3*G52*1000000)*0.000001</f>
        <v>104.87840624592789</v>
      </c>
      <c r="I52" s="58">
        <f>(1/SQRT(2))*SQRT((H52-G52)^2+(G52-0)^2+(H52-0)^2)</f>
        <v>91.206277018371651</v>
      </c>
      <c r="J52" s="59">
        <f>(B52-B51)*(H52*C52+H51*C51)*1000000</f>
        <v>100650.0185398451</v>
      </c>
      <c r="K52" s="60">
        <f>(B52-B51)*(C52+C51)/2</f>
        <v>4.143149999999999E-4</v>
      </c>
    </row>
    <row r="53" spans="2:11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0</v>
      </c>
      <c r="G53" s="54">
        <f>K43/C53*0.000001</f>
        <v>2.120699203167713</v>
      </c>
      <c r="H53" s="54">
        <f>(E53*(K42/B53-F53*(D53-20))+0.3*G53*1000000)*0.000001</f>
        <v>87.016585223214577</v>
      </c>
      <c r="I53" s="58">
        <f>(1/SQRT(2))*SQRT((H53-G53)^2+(G53-0)^2+(H53-0)^2)</f>
        <v>85.975853971182133</v>
      </c>
      <c r="J53" s="59">
        <f>(B53-B52)*(H53*C53+H52*C52)*1000000</f>
        <v>72548.27551457996</v>
      </c>
      <c r="K53" s="60">
        <f>(B53-B52)*(C53+C52)/2</f>
        <v>4.0971050000000004E-4</v>
      </c>
    </row>
    <row r="54" spans="2:11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0</v>
      </c>
      <c r="G54" s="57">
        <f>M43/C54*0.000001</f>
        <v>6.6145069219849326E-15</v>
      </c>
      <c r="H54" s="57">
        <f>(E54*(M42/B54-F54*(D54-20))+0.3*G54*1000000)*0.000001</f>
        <v>83.630206265622661</v>
      </c>
      <c r="I54" s="80">
        <f>(1/SQRT(2))*SQRT((H54-G54)^2+(G54-0)^2+(H54-0)^2)</f>
        <v>83.630206265622661</v>
      </c>
      <c r="J54" s="61">
        <f>(B54-B53)*(H54*C54+H53*C53)*1000000</f>
        <v>68469.636029815258</v>
      </c>
      <c r="K54" s="62">
        <f>(B54-B53)*(C54+C53)/2</f>
        <v>4.0123600000000094E-4</v>
      </c>
    </row>
    <row r="55" spans="2:11" ht="18" customHeight="1" x14ac:dyDescent="0.2">
      <c r="B55" s="1" t="s">
        <v>95</v>
      </c>
      <c r="D55" s="17"/>
      <c r="E55" s="17"/>
    </row>
    <row r="56" spans="2:11" ht="18" customHeight="1" x14ac:dyDescent="0.2">
      <c r="I56" s="41" t="s">
        <v>96</v>
      </c>
      <c r="J56" s="36">
        <f>SUM(J50:J54)</f>
        <v>560280.2602159119</v>
      </c>
      <c r="K56" s="36">
        <f>SUM(K50:K54)</f>
        <v>2.2750740000000011E-3</v>
      </c>
    </row>
    <row r="57" spans="2:11" ht="18" customHeight="1" x14ac:dyDescent="0.25">
      <c r="I57" s="32" t="s">
        <v>97</v>
      </c>
      <c r="J57" s="54">
        <f>J56/K56*0.000001</f>
        <v>246.26902694853513</v>
      </c>
      <c r="K57" s="1" t="s">
        <v>27</v>
      </c>
    </row>
    <row r="58" spans="2:11" ht="18" customHeight="1" x14ac:dyDescent="0.2">
      <c r="I58" s="30" t="s">
        <v>17</v>
      </c>
      <c r="J58" s="54">
        <f>AVERAGE(S5:S9)</f>
        <v>1141.638735896563</v>
      </c>
      <c r="K58" s="1" t="s">
        <v>27</v>
      </c>
    </row>
    <row r="59" spans="2:11" ht="18" customHeight="1" x14ac:dyDescent="0.35">
      <c r="I59" s="30" t="s">
        <v>98</v>
      </c>
      <c r="J59" s="63">
        <f>C8*SQRT(J58/J57)</f>
        <v>7850.1167377539805</v>
      </c>
      <c r="K59" s="1" t="s">
        <v>32</v>
      </c>
    </row>
    <row r="60" spans="2:11" ht="18" customHeight="1" x14ac:dyDescent="0.2"/>
    <row r="61" spans="2:11" ht="18" customHeight="1" x14ac:dyDescent="0.2"/>
    <row r="62" spans="2:11" ht="18" customHeight="1" x14ac:dyDescent="0.2"/>
    <row r="63" spans="2:11" ht="18" customHeight="1" x14ac:dyDescent="0.2"/>
    <row r="64" spans="2:11" ht="18" customHeight="1" x14ac:dyDescent="0.2"/>
    <row r="65" spans="5:13" ht="18" customHeight="1" x14ac:dyDescent="0.2"/>
    <row r="66" spans="5:13" ht="18" customHeight="1" x14ac:dyDescent="0.2"/>
    <row r="67" spans="5:13" ht="18" customHeight="1" x14ac:dyDescent="0.2"/>
    <row r="68" spans="5:13" ht="18" customHeight="1" x14ac:dyDescent="0.2">
      <c r="M68" s="1" t="s">
        <v>99</v>
      </c>
    </row>
    <row r="69" spans="5:13" ht="18" customHeight="1" x14ac:dyDescent="0.2">
      <c r="M69" s="68">
        <f>K34</f>
        <v>2.026787652767937E-4</v>
      </c>
    </row>
    <row r="70" spans="5:13" ht="18" customHeight="1" x14ac:dyDescent="0.2">
      <c r="M70" s="68">
        <f>K36</f>
        <v>1.9739531389349827E-4</v>
      </c>
    </row>
    <row r="71" spans="5:13" ht="18" customHeight="1" x14ac:dyDescent="0.2">
      <c r="E71" s="17"/>
      <c r="M71" s="68">
        <f>K38</f>
        <v>1.9197157281830173E-4</v>
      </c>
    </row>
    <row r="72" spans="5:13" x14ac:dyDescent="0.2">
      <c r="M72" s="68">
        <f>K40</f>
        <v>2.0158481269713069E-4</v>
      </c>
    </row>
    <row r="73" spans="5:13" x14ac:dyDescent="0.2">
      <c r="M73" s="68">
        <f>K42</f>
        <v>1.9961330651053295E-4</v>
      </c>
    </row>
  </sheetData>
  <mergeCells count="20">
    <mergeCell ref="B2:D2"/>
    <mergeCell ref="F2:P2"/>
    <mergeCell ref="U2:W2"/>
    <mergeCell ref="B19:J19"/>
    <mergeCell ref="L19:L20"/>
    <mergeCell ref="P19:P20"/>
    <mergeCell ref="L21:L22"/>
    <mergeCell ref="P21:P22"/>
    <mergeCell ref="L23:L24"/>
    <mergeCell ref="P23:P24"/>
    <mergeCell ref="L25:L26"/>
    <mergeCell ref="P25:P26"/>
    <mergeCell ref="B46:J46"/>
    <mergeCell ref="L27:L28"/>
    <mergeCell ref="P27:P28"/>
    <mergeCell ref="B32:I32"/>
    <mergeCell ref="J32:M32"/>
    <mergeCell ref="B33:E33"/>
    <mergeCell ref="F33:I33"/>
    <mergeCell ref="J33:M33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3853-E137-4DEA-BB23-FCBA3154AE51}">
  <dimension ref="B1:AC72"/>
  <sheetViews>
    <sheetView topLeftCell="J61" zoomScale="82" zoomScaleNormal="82" workbookViewId="0">
      <selection activeCell="S71" sqref="S71"/>
    </sheetView>
  </sheetViews>
  <sheetFormatPr defaultColWidth="11.28515625" defaultRowHeight="14.25" x14ac:dyDescent="0.2"/>
  <cols>
    <col min="1" max="1" width="11.28515625" style="1"/>
    <col min="2" max="2" width="17" style="1" customWidth="1"/>
    <col min="3" max="4" width="11.28515625" style="1"/>
    <col min="5" max="5" width="18.42578125" style="1" bestFit="1" customWidth="1"/>
    <col min="6" max="6" width="18" style="1" customWidth="1"/>
    <col min="7" max="12" width="11.28515625" style="1"/>
    <col min="13" max="13" width="12.5703125" style="1" bestFit="1" customWidth="1"/>
    <col min="14" max="14" width="19.28515625" style="1" customWidth="1"/>
    <col min="15" max="15" width="15.140625" style="1" bestFit="1" customWidth="1"/>
    <col min="16" max="16" width="12.5703125" style="1" bestFit="1" customWidth="1"/>
    <col min="17" max="20" width="11.28515625" style="1"/>
    <col min="21" max="21" width="21.7109375" style="1" customWidth="1"/>
    <col min="22" max="22" width="14" style="1" bestFit="1" customWidth="1"/>
    <col min="23" max="16384" width="11.28515625" style="1"/>
  </cols>
  <sheetData>
    <row r="1" spans="2:25" ht="15" thickBot="1" x14ac:dyDescent="0.25"/>
    <row r="2" spans="2:25" s="33" customFormat="1" ht="18" customHeight="1" x14ac:dyDescent="0.2">
      <c r="B2" s="86" t="s">
        <v>0</v>
      </c>
      <c r="C2" s="87"/>
      <c r="D2" s="88"/>
      <c r="F2" s="86" t="s">
        <v>1</v>
      </c>
      <c r="G2" s="87"/>
      <c r="H2" s="87"/>
      <c r="I2" s="87"/>
      <c r="J2" s="87"/>
      <c r="K2" s="87"/>
      <c r="L2" s="87"/>
      <c r="M2" s="87"/>
      <c r="N2" s="87"/>
      <c r="O2" s="87"/>
      <c r="P2" s="88"/>
      <c r="U2" s="89"/>
      <c r="V2" s="89"/>
      <c r="W2" s="89"/>
      <c r="Y2" s="1"/>
    </row>
    <row r="3" spans="2:25" s="12" customFormat="1" ht="18" customHeight="1" x14ac:dyDescent="0.2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17</v>
      </c>
      <c r="U3" s="12" t="s">
        <v>18</v>
      </c>
      <c r="V3" s="12" t="s">
        <v>12</v>
      </c>
      <c r="W3" s="12" t="s">
        <v>19</v>
      </c>
      <c r="X3" s="12" t="s">
        <v>17</v>
      </c>
      <c r="Y3" s="1" t="s">
        <v>20</v>
      </c>
    </row>
    <row r="4" spans="2:25" s="12" customFormat="1" ht="18" customHeight="1" x14ac:dyDescent="0.2">
      <c r="B4" s="2" t="s">
        <v>21</v>
      </c>
      <c r="C4" s="4">
        <v>0.52629999999999999</v>
      </c>
      <c r="D4" s="19" t="s">
        <v>22</v>
      </c>
      <c r="F4" s="7"/>
      <c r="G4" s="13" t="s">
        <v>22</v>
      </c>
      <c r="H4" s="13" t="s">
        <v>22</v>
      </c>
      <c r="I4" s="13" t="s">
        <v>22</v>
      </c>
      <c r="J4" s="13" t="s">
        <v>23</v>
      </c>
      <c r="K4" s="13" t="s">
        <v>23</v>
      </c>
      <c r="L4" s="13" t="s">
        <v>23</v>
      </c>
      <c r="M4" s="13" t="s">
        <v>23</v>
      </c>
      <c r="N4" s="13" t="s">
        <v>24</v>
      </c>
      <c r="O4" s="13" t="s">
        <v>25</v>
      </c>
      <c r="P4" s="14" t="s">
        <v>26</v>
      </c>
      <c r="Q4" s="13" t="s">
        <v>22</v>
      </c>
      <c r="R4" s="13" t="s">
        <v>22</v>
      </c>
      <c r="S4" s="13" t="s">
        <v>27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">
      <c r="B5" s="2" t="s">
        <v>28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 cm="1">
        <f t="array" ref="O5:O9">W15+V15*M5:M9</f>
        <v>1.4690812209837132E-5</v>
      </c>
      <c r="P5" s="65">
        <v>0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">
      <c r="B6" s="2" t="s">
        <v>29</v>
      </c>
      <c r="C6" s="4">
        <v>0.40400000000000003</v>
      </c>
      <c r="D6" s="19" t="s">
        <v>22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1.4745863650505927E-5</v>
      </c>
      <c r="P6" s="65">
        <v>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">
      <c r="B7" s="2" t="s">
        <v>30</v>
      </c>
      <c r="C7" s="3">
        <v>0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1.4938314560900385E-5</v>
      </c>
      <c r="P7" s="65">
        <v>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">
      <c r="B8" s="2" t="s">
        <v>31</v>
      </c>
      <c r="C8" s="3">
        <v>3646</v>
      </c>
      <c r="D8" s="15" t="s">
        <v>32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1.5124270078729507E-5</v>
      </c>
      <c r="P8" s="65">
        <v>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25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1.5177667784481362E-5</v>
      </c>
      <c r="P9" s="77">
        <v>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">
      <c r="B10" s="2" t="s">
        <v>33</v>
      </c>
      <c r="C10" s="35">
        <f>C3*C4*(C8/60*2*PI())^2*C7</f>
        <v>0</v>
      </c>
      <c r="D10" s="24" t="s">
        <v>34</v>
      </c>
      <c r="N10" s="1" t="s">
        <v>35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">
      <c r="B11" s="2" t="s">
        <v>36</v>
      </c>
      <c r="C11" s="35">
        <f>C5*C6*(C8/60*2*PI())^2*C7</f>
        <v>0</v>
      </c>
      <c r="D11" s="24" t="s">
        <v>34</v>
      </c>
      <c r="N11" s="5" t="s">
        <v>37</v>
      </c>
      <c r="O11" s="5" t="s">
        <v>38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">
      <c r="B13" s="25" t="s">
        <v>39</v>
      </c>
      <c r="C13" s="49">
        <f>-(C10+C11)/(PI()*H9*R9)</f>
        <v>0</v>
      </c>
      <c r="D13" s="26" t="s">
        <v>24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25">
      <c r="B14" s="27" t="s">
        <v>40</v>
      </c>
      <c r="C14" s="50">
        <v>0</v>
      </c>
      <c r="D14" s="28" t="s">
        <v>24</v>
      </c>
      <c r="N14" s="5">
        <f t="shared" si="6"/>
        <v>172272033157.29672</v>
      </c>
      <c r="O14" s="34">
        <f t="shared" si="7"/>
        <v>-325800307.22839355</v>
      </c>
      <c r="U14" s="5" t="s">
        <v>41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">
      <c r="N15" s="5">
        <f t="shared" si="6"/>
        <v>169195267876.60303</v>
      </c>
      <c r="O15" s="34">
        <f t="shared" si="7"/>
        <v>247233727.42321777</v>
      </c>
      <c r="U15" s="5" t="s">
        <v>42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"/>
    <row r="18" spans="2:25" s="5" customFormat="1" ht="18" customHeight="1" thickBot="1" x14ac:dyDescent="0.25"/>
    <row r="19" spans="2:25" s="5" customFormat="1" ht="18" customHeight="1" x14ac:dyDescent="0.2">
      <c r="B19" s="86" t="s">
        <v>43</v>
      </c>
      <c r="C19" s="87"/>
      <c r="D19" s="87"/>
      <c r="E19" s="87"/>
      <c r="F19" s="87"/>
      <c r="G19" s="87"/>
      <c r="H19" s="87"/>
      <c r="I19" s="87"/>
      <c r="J19" s="88"/>
      <c r="L19" s="81" t="s">
        <v>44</v>
      </c>
      <c r="M19" s="47">
        <f>C21/E21</f>
        <v>0.97553922757376821</v>
      </c>
      <c r="N19" s="48">
        <f>D21-C21/E21*F21</f>
        <v>4.9243984629544677E-12</v>
      </c>
      <c r="P19" s="81" t="s">
        <v>45</v>
      </c>
      <c r="Q19" s="48">
        <f>(H21+J21)-C21/E21*(G21+I21)</f>
        <v>1.9435713022768826E-4</v>
      </c>
    </row>
    <row r="20" spans="2:25" s="5" customFormat="1" ht="18" customHeight="1" thickBot="1" x14ac:dyDescent="0.25">
      <c r="B20" s="16" t="s">
        <v>4</v>
      </c>
      <c r="C20" s="17" t="s">
        <v>46</v>
      </c>
      <c r="D20" s="17" t="s">
        <v>47</v>
      </c>
      <c r="E20" s="17" t="s">
        <v>48</v>
      </c>
      <c r="F20" s="17" t="s">
        <v>49</v>
      </c>
      <c r="G20" s="17" t="s">
        <v>50</v>
      </c>
      <c r="H20" s="17" t="s">
        <v>51</v>
      </c>
      <c r="I20" s="17" t="s">
        <v>52</v>
      </c>
      <c r="J20" s="18" t="s">
        <v>53</v>
      </c>
      <c r="L20" s="82"/>
      <c r="M20" s="39">
        <f>1/E21</f>
        <v>1586506469.5126541</v>
      </c>
      <c r="N20" s="40">
        <f>-F21/E21</f>
        <v>0.93821446745424708</v>
      </c>
      <c r="P20" s="82"/>
      <c r="Q20" s="40">
        <f>-(G21+I21)/E21</f>
        <v>-2438563.5901561747</v>
      </c>
    </row>
    <row r="21" spans="2:25" s="5" customFormat="1" ht="18" customHeight="1" x14ac:dyDescent="0.2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0</v>
      </c>
      <c r="H21" s="36">
        <f>$P5*($C$8/60*2*3.14)^2*($H5^2/4)*(3+0.3)/16/$N5*H5*(0.7*(1+($G5/$H5)^2)+1.3*(G5/H5)^2-(1-0.3^2)/(3+0.3))</f>
        <v>0</v>
      </c>
      <c r="I21" s="36">
        <f>$O5/12*$L5/(($H5-$G5)/2)*((0.3-2)*G5^2+(1-0.3)*($H5^2+$G5^2+$G5*$H5)/($G5+$H5)*G5+(1+0.3)*($G5^2*$H5^2)/($G5+$H5)*1/G5)+$O5*($J5-20)*G5/2</f>
        <v>1.5370650148721153E-3</v>
      </c>
      <c r="J21" s="38">
        <f>$O5/12*$L5/(($H5-$G5)/2)*((0.3-2)*H5^2+(1-0.3)*($H5^2+$G5^2+$G5*$H5)/($G5+$H5)*H5+(1+0.3)*($G5^2*$H5^2)/($G5+$H5)*1/H5)+$O5*($K5-20)*H5/2</f>
        <v>1.6938243475666942E-3</v>
      </c>
      <c r="L21" s="81" t="s">
        <v>54</v>
      </c>
      <c r="M21" s="47">
        <f>C22/E22</f>
        <v>0.96403175685256259</v>
      </c>
      <c r="N21" s="48">
        <f>D22-C22/E22*F22</f>
        <v>1.5639503569822637E-11</v>
      </c>
      <c r="P21" s="81" t="s">
        <v>55</v>
      </c>
      <c r="Q21" s="48">
        <f>(H22+J22)-C22/E22*(G22+I22)</f>
        <v>3.7510107081750797E-4</v>
      </c>
    </row>
    <row r="22" spans="2:25" s="5" customFormat="1" ht="18" customHeight="1" thickBot="1" x14ac:dyDescent="0.25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0</v>
      </c>
      <c r="H22" s="36">
        <f>$P6*($C$8/60*2*3.14)^2*($H6^2/4)*(3+0.3)/16/$N6*H6*(0.7*(1+($G6/$H6)^2)+1.3*(G6/H6)^2-(1-0.3^2)/(3+0.3))</f>
        <v>0</v>
      </c>
      <c r="I22" s="36">
        <f>$O6/12*$L6/(($H6-$G6)/2)*((0.3-2)*G6^2+(1-0.3)*($H6^2+$G6^2+$G6*$H6)/($G6+$H6)*G6+(1+0.3)*($G6^2*$H6^2)/($G6+$H6)*1/G6)+$O6*($J6-20)*G6/2</f>
        <v>1.7495470777771284E-3</v>
      </c>
      <c r="J22" s="38">
        <f>$O6/12*$L6/(($H6-$G6)/2)*((0.3-2)*H6^2+(1-0.3)*($H6^2+$G6^2+$G6*$H6)/($G6+$H6)*H6+(1+0.3)*($G6^2*$H6^2)/($G6+$H6)*1/H6)+$O6*($K6-20)*H6/2</f>
        <v>2.06172001390326E-3</v>
      </c>
      <c r="L22" s="82"/>
      <c r="M22" s="39">
        <f>1/E22</f>
        <v>1342990721.0122635</v>
      </c>
      <c r="N22" s="40">
        <f>-F22/E22</f>
        <v>0.90203446718811231</v>
      </c>
      <c r="P22" s="82"/>
      <c r="Q22" s="40">
        <f>-(G22+I22)/E22</f>
        <v>-2349625.4914288046</v>
      </c>
    </row>
    <row r="23" spans="2:25" s="5" customFormat="1" ht="18" customHeight="1" x14ac:dyDescent="0.2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0</v>
      </c>
      <c r="H23" s="36">
        <f>$P7*($C$8/60*2*3.14)^2*($H7^2/4)*(3+0.3)/16/$N7*H7*(0.7*(1+($G7/$H7)^2)+1.3*(G7/H7)^2-(1-0.3^2)/(3+0.3))</f>
        <v>0</v>
      </c>
      <c r="I23" s="36">
        <f>$O7/12*$L7/(($H7-$G7)/2)*((0.3-2)*G7^2+(1-0.3)*($H7^2+$G7^2+$G7*$H7)/($G7+$H7)*G7+(1+0.3)*($G7^2*$H7^2)/($G7+$H7)*1/G7)+$O7*($J7-20)*G7/2</f>
        <v>2.297798144489255E-3</v>
      </c>
      <c r="J23" s="38">
        <f>$O7/12*$L7/(($H7-$G7)/2)*((0.3-2)*H7^2+(1-0.3)*($H7^2+$G7^2+$G7*$H7)/($G7+$H7)*H7+(1+0.3)*($G7^2*$H7^2)/($G7+$H7)*1/H7)+$O7*($K7-20)*H7/2</f>
        <v>3.0502728916460249E-3</v>
      </c>
      <c r="L23" s="81" t="s">
        <v>56</v>
      </c>
      <c r="M23" s="47">
        <f>C23/E23</f>
        <v>0.95426762878198901</v>
      </c>
      <c r="N23" s="48">
        <f>D23-C23/E23*F23</f>
        <v>9.4567118953445927E-11</v>
      </c>
      <c r="P23" s="81" t="s">
        <v>57</v>
      </c>
      <c r="Q23" s="48">
        <f>(H23+J23)-C23/E23*(G23+I23)</f>
        <v>8.575585048846094E-4</v>
      </c>
    </row>
    <row r="24" spans="2:25" s="5" customFormat="1" ht="18" customHeight="1" thickBot="1" x14ac:dyDescent="0.25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0</v>
      </c>
      <c r="H24" s="36">
        <f>$P8*($C$8/60*2*3.14)^2*($H8^2/4)*(3+0.3)/16/$N8*H8*(0.7*(1+($G8/$H8)^2)+1.3*(G8/H8)^2-(1-0.3^2)/(3+0.3))</f>
        <v>0</v>
      </c>
      <c r="I24" s="36">
        <f>$O8/12*$L8/(($H8-$G8)/2)*((0.3-2)*G8^2+(1-0.3)*($H8^2+$G8^2+$G8*$H8)/($G8+$H8)*G8+(1+0.3)*($G8^2*$H8^2)/($G8+$H8)*1/G8)+$O8*($J8-20)*G8/2</f>
        <v>3.3418935650259707E-3</v>
      </c>
      <c r="J24" s="38">
        <f>$O8/12*$L8/(($H8-$G8)/2)*((0.3-2)*H8^2+(1-0.3)*($H8^2+$G8^2+$G8*$H8)/($G8+$H8)*H8+(1+0.3)*($G8^2*$H8^2)/($G8+$H8)*1/H8)+$O8*($K8-20)*H8/2</f>
        <v>3.4805944152543943E-3</v>
      </c>
      <c r="L24" s="82"/>
      <c r="M24" s="39">
        <f>1/E23</f>
        <v>597436121.51230848</v>
      </c>
      <c r="N24" s="40">
        <f>-F23/E23</f>
        <v>0.84861607853985743</v>
      </c>
      <c r="P24" s="82"/>
      <c r="Q24" s="40">
        <f>-(G23+I23)/E23</f>
        <v>-1372787.6114618394</v>
      </c>
    </row>
    <row r="25" spans="2:25" s="5" customFormat="1" ht="18" customHeight="1" thickBot="1" x14ac:dyDescent="0.25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0</v>
      </c>
      <c r="H25" s="39">
        <f>$P9*($C$8/60*2*3.14)^2*($H9^2/4)*(3+0.3)/16/$N9*H9*(0.7*(1+($G9/$H9)^2)+1.3*(G9/H9)^2-(1-0.3^2)/(3+0.3))</f>
        <v>0</v>
      </c>
      <c r="I25" s="39">
        <f>$O9/12*$L9/(($H9-$G9)/2)*((0.3-2)*G9^2+(1-0.3)*($H9^2+$G9^2+$G9*$H9)/($G9+$H9)*G9+(1+0.3)*($G9^2*$H9^2)/($G9+$H9)*1/G9)+$O9*($J9-20)*G9/2</f>
        <v>3.5716970142282306E-3</v>
      </c>
      <c r="J25" s="40">
        <f>$O9/12*$L9/(($H9-$G9)/2)*((0.3-2)*H9^2+(1-0.3)*($H9^2+$G9^2+$G9*$H9)/($G9+$H9)*H9+(1+0.3)*($G9^2*$H9^2)/($G9+$H9)*1/H9)+$O9*($K9-20)*H9/2</f>
        <v>3.6478704294939874E-3</v>
      </c>
      <c r="L25" s="81" t="s">
        <v>58</v>
      </c>
      <c r="M25" s="47">
        <f>C24/E24</f>
        <v>0.98862394111551066</v>
      </c>
      <c r="N25" s="48">
        <f>D24-C24/E24*F24</f>
        <v>3.0742405409491731E-12</v>
      </c>
      <c r="P25" s="81" t="s">
        <v>59</v>
      </c>
      <c r="Q25" s="48">
        <f>(H24+J24)-C24/E24*(G24+I24)</f>
        <v>1.7671842820985492E-4</v>
      </c>
    </row>
    <row r="26" spans="2:25" s="5" customFormat="1" ht="18" customHeight="1" thickBot="1" x14ac:dyDescent="0.25">
      <c r="L26" s="82"/>
      <c r="M26" s="39">
        <f>1/E24</f>
        <v>470256155.94969195</v>
      </c>
      <c r="N26" s="40">
        <f>-F24/E24</f>
        <v>0.97266096954263248</v>
      </c>
      <c r="P26" s="82"/>
      <c r="Q26" s="40">
        <f>-(G24+I24)/E24</f>
        <v>-1571546.0214821247</v>
      </c>
    </row>
    <row r="27" spans="2:25" s="5" customFormat="1" ht="18" customHeight="1" x14ac:dyDescent="0.2">
      <c r="L27" s="81" t="s">
        <v>60</v>
      </c>
      <c r="M27" s="47">
        <f>C25/E25</f>
        <v>0.99389138578053193</v>
      </c>
      <c r="N27" s="48">
        <f>D25-C25/E25*F25</f>
        <v>9.1928263565482017E-13</v>
      </c>
      <c r="P27" s="81" t="s">
        <v>61</v>
      </c>
      <c r="Q27" s="48">
        <f>(H25+J25)-C25/E25*(G25+I25)</f>
        <v>9.7991534434503126E-5</v>
      </c>
    </row>
    <row r="28" spans="2:25" s="5" customFormat="1" ht="18" customHeight="1" thickBot="1" x14ac:dyDescent="0.25">
      <c r="L28" s="82"/>
      <c r="M28" s="39">
        <f>1/E25</f>
        <v>431686763.80427253</v>
      </c>
      <c r="N28" s="40">
        <f>-F25/E25</f>
        <v>0.98553548613975084</v>
      </c>
      <c r="P28" s="82"/>
      <c r="Q28" s="40">
        <f>-(G25+I25)/E25</f>
        <v>-1541854.3253615678</v>
      </c>
    </row>
    <row r="29" spans="2:25" s="5" customFormat="1" ht="18" customHeight="1" x14ac:dyDescent="0.2">
      <c r="F29" s="34"/>
      <c r="G29" s="34"/>
      <c r="J29" s="34"/>
    </row>
    <row r="30" spans="2:25" s="5" customFormat="1" ht="18" customHeight="1" x14ac:dyDescent="0.2">
      <c r="F30" s="34"/>
      <c r="G30" s="34"/>
      <c r="J30" s="34"/>
    </row>
    <row r="31" spans="2:25" s="5" customFormat="1" ht="18" customHeight="1" thickBot="1" x14ac:dyDescent="0.25">
      <c r="F31" s="34"/>
      <c r="G31" s="34"/>
      <c r="J31" s="34"/>
    </row>
    <row r="32" spans="2:25" ht="18" customHeight="1" x14ac:dyDescent="0.2">
      <c r="B32" s="92" t="s">
        <v>62</v>
      </c>
      <c r="C32" s="93"/>
      <c r="D32" s="93"/>
      <c r="E32" s="93"/>
      <c r="F32" s="93"/>
      <c r="G32" s="93"/>
      <c r="H32" s="93"/>
      <c r="I32" s="94"/>
      <c r="J32" s="95" t="s">
        <v>63</v>
      </c>
      <c r="K32" s="96"/>
      <c r="L32" s="96"/>
      <c r="M32" s="97"/>
      <c r="Y32" s="5"/>
    </row>
    <row r="33" spans="2:29" ht="18" customHeight="1" x14ac:dyDescent="0.25">
      <c r="B33" s="83" t="s">
        <v>64</v>
      </c>
      <c r="C33" s="84"/>
      <c r="D33" s="84"/>
      <c r="E33" s="84"/>
      <c r="F33" s="84" t="s">
        <v>65</v>
      </c>
      <c r="G33" s="84"/>
      <c r="H33" s="84"/>
      <c r="I33" s="85"/>
      <c r="J33" s="98" t="s">
        <v>66</v>
      </c>
      <c r="K33" s="99"/>
      <c r="L33" s="99"/>
      <c r="M33" s="100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">
      <c r="B34" s="43" t="s">
        <v>67</v>
      </c>
      <c r="C34" s="51">
        <v>0</v>
      </c>
      <c r="D34" s="44" t="s">
        <v>68</v>
      </c>
      <c r="E34" s="20">
        <f>$M19*C34+$N19*C35+$Q19</f>
        <v>1.9435713022768826E-4</v>
      </c>
      <c r="F34" s="43" t="s">
        <v>67</v>
      </c>
      <c r="G34" s="51">
        <f>H9/1000</f>
        <v>7.94E-4</v>
      </c>
      <c r="H34" s="44" t="s">
        <v>68</v>
      </c>
      <c r="I34" s="20">
        <f>$M19*G34+$N19*G35+$Q19</f>
        <v>9.6893527692126021E-4</v>
      </c>
      <c r="J34" s="43" t="s">
        <v>67</v>
      </c>
      <c r="K34" s="51">
        <f>(P36-P45)/O45</f>
        <v>1.7399600569224479E-3</v>
      </c>
      <c r="L34" s="44" t="s">
        <v>68</v>
      </c>
      <c r="M34" s="20">
        <f>$M19*K34+$N19*K35+$Q19</f>
        <v>1.8917564201670228E-3</v>
      </c>
      <c r="Y34" s="5"/>
    </row>
    <row r="35" spans="2:29" ht="18" customHeight="1" x14ac:dyDescent="0.2">
      <c r="B35" s="43" t="s">
        <v>69</v>
      </c>
      <c r="C35" s="51">
        <v>0</v>
      </c>
      <c r="D35" s="44" t="s">
        <v>70</v>
      </c>
      <c r="E35" s="20">
        <f>$M20*C34+$N20*C35+$Q20</f>
        <v>-2438563.5901561747</v>
      </c>
      <c r="F35" s="43" t="s">
        <v>69</v>
      </c>
      <c r="G35" s="51">
        <v>0</v>
      </c>
      <c r="H35" s="44" t="s">
        <v>70</v>
      </c>
      <c r="I35" s="20">
        <f>$M20*G34+$N20*G35+$Q20</f>
        <v>-1178877.4533631273</v>
      </c>
      <c r="J35" s="43" t="s">
        <v>69</v>
      </c>
      <c r="K35" s="51">
        <v>0</v>
      </c>
      <c r="L35" s="44" t="s">
        <v>70</v>
      </c>
      <c r="M35" s="20">
        <f>$M20*K34+$N20*K35+$Q20</f>
        <v>321894.29684489453</v>
      </c>
    </row>
    <row r="36" spans="2:29" ht="18" customHeight="1" x14ac:dyDescent="0.2">
      <c r="B36" s="43" t="s">
        <v>71</v>
      </c>
      <c r="C36" s="34">
        <f t="shared" ref="C36:C43" si="8">E34</f>
        <v>1.9435713022768826E-4</v>
      </c>
      <c r="D36" s="44" t="s">
        <v>72</v>
      </c>
      <c r="E36" s="20">
        <f>$M21*C36+$N21*C37+$Q21</f>
        <v>5.243295925542416E-4</v>
      </c>
      <c r="F36" s="43" t="s">
        <v>71</v>
      </c>
      <c r="G36" s="34">
        <f>I34</f>
        <v>9.6893527692126021E-4</v>
      </c>
      <c r="H36" s="44" t="s">
        <v>72</v>
      </c>
      <c r="I36" s="20">
        <f>$M21*G36+$N21*G37+$Q21</f>
        <v>1.2907483899640788E-3</v>
      </c>
      <c r="J36" s="43" t="s">
        <v>71</v>
      </c>
      <c r="K36" s="34">
        <f>M34</f>
        <v>1.8917564201670228E-3</v>
      </c>
      <c r="L36" s="44" t="s">
        <v>72</v>
      </c>
      <c r="M36" s="20">
        <f>$M21*K36+$N21*K37+$Q21</f>
        <v>2.2038486030928487E-3</v>
      </c>
      <c r="O36" s="1" t="s">
        <v>73</v>
      </c>
      <c r="P36" s="74">
        <f>(C10+C11)/(PI()*H9)</f>
        <v>0</v>
      </c>
    </row>
    <row r="37" spans="2:29" ht="18" customHeight="1" x14ac:dyDescent="0.2">
      <c r="B37" s="43" t="s">
        <v>74</v>
      </c>
      <c r="C37" s="34">
        <f t="shared" si="8"/>
        <v>-2438563.5901561747</v>
      </c>
      <c r="D37" s="44" t="s">
        <v>75</v>
      </c>
      <c r="E37" s="20">
        <f>$M22*C36+$N22*C37+$Q22</f>
        <v>-4288274.0777213024</v>
      </c>
      <c r="F37" s="43" t="s">
        <v>74</v>
      </c>
      <c r="G37" s="34">
        <f t="shared" ref="G37:G43" si="9">I35</f>
        <v>-1178877.4533631273</v>
      </c>
      <c r="H37" s="44" t="s">
        <v>75</v>
      </c>
      <c r="I37" s="20">
        <f>$M22*G36+$N22*G37+$Q22</f>
        <v>-2111742.5007865913</v>
      </c>
      <c r="J37" s="43" t="s">
        <v>74</v>
      </c>
      <c r="K37" s="34">
        <f t="shared" ref="K37:K43" si="10">M35</f>
        <v>321894.29684489453</v>
      </c>
      <c r="L37" s="44" t="s">
        <v>75</v>
      </c>
      <c r="M37" s="20">
        <f>$M22*K36+$N22*K37+$Q22</f>
        <v>481345.57781626051</v>
      </c>
    </row>
    <row r="38" spans="2:29" ht="18" customHeight="1" x14ac:dyDescent="0.2">
      <c r="B38" s="43" t="s">
        <v>76</v>
      </c>
      <c r="C38" s="34">
        <f t="shared" si="8"/>
        <v>5.243295925542416E-4</v>
      </c>
      <c r="D38" s="44" t="s">
        <v>77</v>
      </c>
      <c r="E38" s="20">
        <f>$M23*C38+$N23*C39+$Q23</f>
        <v>9.5237953705872296E-4</v>
      </c>
      <c r="F38" s="43" t="s">
        <v>76</v>
      </c>
      <c r="G38" s="34">
        <f t="shared" si="9"/>
        <v>1.2907483899640788E-3</v>
      </c>
      <c r="H38" s="44" t="s">
        <v>77</v>
      </c>
      <c r="I38" s="20">
        <f>$M23*G38+$N23*G39+$Q23</f>
        <v>1.889576506058868E-3</v>
      </c>
      <c r="J38" s="43" t="s">
        <v>76</v>
      </c>
      <c r="K38" s="34">
        <f t="shared" si="10"/>
        <v>2.2038486030928487E-3</v>
      </c>
      <c r="L38" s="44" t="s">
        <v>77</v>
      </c>
      <c r="M38" s="20">
        <f>$M23*K38+$N23*K39+$Q23</f>
        <v>3.0061393500675866E-3</v>
      </c>
    </row>
    <row r="39" spans="2:29" ht="18" customHeight="1" x14ac:dyDescent="0.2">
      <c r="B39" s="43" t="s">
        <v>78</v>
      </c>
      <c r="C39" s="34">
        <f t="shared" si="8"/>
        <v>-4288274.0777213024</v>
      </c>
      <c r="D39" s="44" t="s">
        <v>79</v>
      </c>
      <c r="E39" s="20">
        <f>$M24*C38+$N24*C39+$Q24</f>
        <v>-4698632.5048320796</v>
      </c>
      <c r="F39" s="43" t="s">
        <v>78</v>
      </c>
      <c r="G39" s="34">
        <f t="shared" si="9"/>
        <v>-2111742.5007865913</v>
      </c>
      <c r="H39" s="44" t="s">
        <v>79</v>
      </c>
      <c r="I39" s="20">
        <f>$M24*G38+$N24*G39+$Q24</f>
        <v>-2393706.5394169125</v>
      </c>
      <c r="J39" s="43" t="s">
        <v>78</v>
      </c>
      <c r="K39" s="34">
        <f t="shared" si="10"/>
        <v>481345.57781626051</v>
      </c>
      <c r="L39" s="44" t="s">
        <v>79</v>
      </c>
      <c r="M39" s="20">
        <f>$M24*K38+$N24*K39+$Q24</f>
        <v>352348.74703920772</v>
      </c>
    </row>
    <row r="40" spans="2:29" ht="18" customHeight="1" x14ac:dyDescent="0.2">
      <c r="B40" s="43" t="s">
        <v>80</v>
      </c>
      <c r="C40" s="34">
        <f t="shared" si="8"/>
        <v>9.5237953705872296E-4</v>
      </c>
      <c r="D40" s="44" t="s">
        <v>81</v>
      </c>
      <c r="E40" s="20">
        <f>$M25*C40+$N25*C41+$Q25</f>
        <v>1.1038189130412389E-3</v>
      </c>
      <c r="F40" s="43" t="s">
        <v>80</v>
      </c>
      <c r="G40" s="34">
        <f t="shared" si="9"/>
        <v>1.889576506058868E-3</v>
      </c>
      <c r="H40" s="44" t="s">
        <v>81</v>
      </c>
      <c r="I40" s="20">
        <f>$M25*G40+$N25*G41+$Q25</f>
        <v>2.0374401709824389E-3</v>
      </c>
      <c r="J40" s="43" t="s">
        <v>80</v>
      </c>
      <c r="K40" s="34">
        <f t="shared" si="10"/>
        <v>3.0061393500675866E-3</v>
      </c>
      <c r="L40" s="44" t="s">
        <v>81</v>
      </c>
      <c r="M40" s="20">
        <f>$M25*K40+$N25*K41+$Q25</f>
        <v>3.1497429648187926E-3</v>
      </c>
    </row>
    <row r="41" spans="2:29" ht="18" customHeight="1" x14ac:dyDescent="0.2">
      <c r="B41" s="43" t="s">
        <v>82</v>
      </c>
      <c r="C41" s="34">
        <f t="shared" si="8"/>
        <v>-4698632.5048320796</v>
      </c>
      <c r="D41" s="44" t="s">
        <v>83</v>
      </c>
      <c r="E41" s="20">
        <f>$M26*C40+$N26*C41+$Q26</f>
        <v>-5693860.1290542409</v>
      </c>
      <c r="F41" s="43" t="s">
        <v>82</v>
      </c>
      <c r="G41" s="34">
        <f t="shared" si="9"/>
        <v>-2393706.5394169125</v>
      </c>
      <c r="H41" s="44" t="s">
        <v>83</v>
      </c>
      <c r="I41" s="20">
        <f>$M26*G40+$N26*G41+$Q26</f>
        <v>-3011225.9607998254</v>
      </c>
      <c r="J41" s="43" t="s">
        <v>82</v>
      </c>
      <c r="K41" s="34">
        <f t="shared" si="10"/>
        <v>352348.74703920772</v>
      </c>
      <c r="L41" s="44" t="s">
        <v>83</v>
      </c>
      <c r="M41" s="20">
        <f>$M26*K40+$N26*K41+$Q26</f>
        <v>184825.38744205167</v>
      </c>
    </row>
    <row r="42" spans="2:29" ht="18" customHeight="1" x14ac:dyDescent="0.2">
      <c r="B42" s="43" t="s">
        <v>84</v>
      </c>
      <c r="C42" s="34">
        <f t="shared" si="8"/>
        <v>1.1038189130412389E-3</v>
      </c>
      <c r="D42" s="44" t="s">
        <v>85</v>
      </c>
      <c r="E42" s="20">
        <f>$M27*C42+$N27*C43+$Q27</f>
        <v>1.1898333768213336E-3</v>
      </c>
      <c r="F42" s="43" t="s">
        <v>84</v>
      </c>
      <c r="G42" s="34">
        <f t="shared" si="9"/>
        <v>2.0374401709824389E-3</v>
      </c>
      <c r="H42" s="44" t="s">
        <v>85</v>
      </c>
      <c r="I42" s="20">
        <f>$M27*G42+$N27*G43+$Q27</f>
        <v>2.1202176016793671E-3</v>
      </c>
      <c r="J42" s="43" t="s">
        <v>84</v>
      </c>
      <c r="K42" s="34">
        <f t="shared" si="10"/>
        <v>3.1497429648187926E-3</v>
      </c>
      <c r="L42" s="44" t="s">
        <v>85</v>
      </c>
      <c r="M42" s="20">
        <f>$M27*K42+$N27*K43+$Q27</f>
        <v>3.2286638413600377E-3</v>
      </c>
      <c r="O42" s="1" t="s">
        <v>73</v>
      </c>
      <c r="P42" s="1" t="s">
        <v>67</v>
      </c>
    </row>
    <row r="43" spans="2:29" ht="18" customHeight="1" thickBot="1" x14ac:dyDescent="0.25">
      <c r="B43" s="45" t="s">
        <v>86</v>
      </c>
      <c r="C43" s="21">
        <f t="shared" si="8"/>
        <v>-5693860.1290542409</v>
      </c>
      <c r="D43" s="46" t="s">
        <v>73</v>
      </c>
      <c r="E43" s="22">
        <f>$M28*C42+$N28*C43+$Q28</f>
        <v>-6676851.5212640604</v>
      </c>
      <c r="F43" s="45" t="s">
        <v>86</v>
      </c>
      <c r="G43" s="21">
        <f t="shared" si="9"/>
        <v>-3011225.9607998254</v>
      </c>
      <c r="H43" s="46" t="s">
        <v>73</v>
      </c>
      <c r="I43" s="22">
        <f>$M28*G42+$N28*G43+$Q28</f>
        <v>-3629988.4126588292</v>
      </c>
      <c r="J43" s="45" t="s">
        <v>86</v>
      </c>
      <c r="K43" s="21">
        <f t="shared" si="10"/>
        <v>184825.38744205167</v>
      </c>
      <c r="L43" s="46" t="s">
        <v>73</v>
      </c>
      <c r="M43" s="73">
        <f>$M28*K42+$N28*K43+$Q28</f>
        <v>0</v>
      </c>
      <c r="O43" s="68">
        <f>E43</f>
        <v>-6676851.5212640604</v>
      </c>
      <c r="P43" s="68">
        <f>C34</f>
        <v>0</v>
      </c>
    </row>
    <row r="44" spans="2:29" ht="18" customHeight="1" x14ac:dyDescent="0.2">
      <c r="O44" s="68">
        <f>I43</f>
        <v>-3629988.4126588292</v>
      </c>
      <c r="P44" s="68">
        <f>G34</f>
        <v>7.94E-4</v>
      </c>
    </row>
    <row r="45" spans="2:29" ht="18" customHeight="1" x14ac:dyDescent="0.2">
      <c r="O45" s="1" cm="1">
        <f t="array" ref="O45:P45">LINEST(O43:O44,P43:P44)</f>
        <v>3837359078.8478985</v>
      </c>
      <c r="P45" s="1">
        <v>-6676851.5212640613</v>
      </c>
    </row>
    <row r="46" spans="2:29" ht="18" customHeight="1" x14ac:dyDescent="0.25">
      <c r="B46" s="90" t="s">
        <v>87</v>
      </c>
      <c r="C46" s="91"/>
      <c r="D46" s="91"/>
      <c r="E46" s="91"/>
      <c r="F46" s="91"/>
      <c r="G46" s="91"/>
      <c r="H46" s="91"/>
      <c r="I46" s="91"/>
      <c r="J46" s="91"/>
    </row>
    <row r="47" spans="2:29" ht="18" customHeight="1" x14ac:dyDescent="0.25">
      <c r="B47" s="37" t="s">
        <v>14</v>
      </c>
      <c r="C47" s="17" t="s">
        <v>88</v>
      </c>
      <c r="D47" s="17" t="s">
        <v>18</v>
      </c>
      <c r="E47" s="8" t="s">
        <v>12</v>
      </c>
      <c r="F47" s="10" t="s">
        <v>13</v>
      </c>
      <c r="G47" s="42" t="s">
        <v>89</v>
      </c>
      <c r="H47" s="42" t="s">
        <v>90</v>
      </c>
      <c r="I47" s="42" t="s">
        <v>91</v>
      </c>
      <c r="J47" s="17" t="s">
        <v>92</v>
      </c>
      <c r="K47" s="18" t="s">
        <v>93</v>
      </c>
      <c r="L47" s="1" t="s">
        <v>17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">
      <c r="B48" s="37" t="s">
        <v>22</v>
      </c>
      <c r="C48" s="17" t="s">
        <v>22</v>
      </c>
      <c r="D48" s="17" t="s">
        <v>23</v>
      </c>
      <c r="E48" s="13" t="s">
        <v>24</v>
      </c>
      <c r="F48" s="13" t="s">
        <v>25</v>
      </c>
      <c r="G48" s="17" t="s">
        <v>27</v>
      </c>
      <c r="H48" s="17" t="s">
        <v>27</v>
      </c>
      <c r="I48" s="17" t="s">
        <v>27</v>
      </c>
      <c r="J48" s="17" t="s">
        <v>34</v>
      </c>
      <c r="K48" s="18" t="s">
        <v>94</v>
      </c>
      <c r="L48" s="1" t="s">
        <v>27</v>
      </c>
      <c r="S48" s="1" cm="1">
        <f t="array" ref="S48:AC48">(_xlfn.ANCHORARRAY(S47)*O45+P45)</f>
        <v>-6676851.5212640613</v>
      </c>
      <c r="T48" s="1">
        <v>-5525643.7976096924</v>
      </c>
      <c r="U48" s="1">
        <v>-4374436.0739553226</v>
      </c>
      <c r="V48" s="1">
        <v>-3223228.3503009528</v>
      </c>
      <c r="W48" s="1">
        <v>-2072020.6266465839</v>
      </c>
      <c r="X48" s="1">
        <v>-920812.90299221408</v>
      </c>
      <c r="Y48" s="1">
        <v>230394.82066215482</v>
      </c>
      <c r="Z48" s="1">
        <v>1381602.5443165246</v>
      </c>
      <c r="AA48" s="1">
        <v>2532810.2679708935</v>
      </c>
      <c r="AB48" s="1">
        <v>3684017.9916252643</v>
      </c>
      <c r="AC48" s="1">
        <v>4835225.7152796332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 cm="1">
        <f t="array" ref="F49:F54">W15+V15*D49:D54</f>
        <v>1.4676386859477302E-5</v>
      </c>
      <c r="G49" s="54">
        <f>K35/C49*0.000001</f>
        <v>0</v>
      </c>
      <c r="H49" s="54">
        <f>(E49*(K34/B49-F49*(D49-20))+0.3*G49*1000000)*0.000001</f>
        <v>176.79066710429339</v>
      </c>
      <c r="I49" s="58">
        <f>(1/SQRT(2))*SQRT((G49-H49)^2+(G49-0)^2+(H49-0)^2)</f>
        <v>176.79066710429336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1.470523756019696E-5</v>
      </c>
      <c r="G50" s="54">
        <f>K37/C50*0.000001</f>
        <v>14.631558947495206</v>
      </c>
      <c r="H50" s="54">
        <f>(E50*(K36/B50-F50*(D50-20))+0.3*G50*1000000)*0.000001</f>
        <v>140.45463868775343</v>
      </c>
      <c r="I50" s="58">
        <f>(1/SQRT(2))*SQRT((H50-G50)^2+(G50-0)^2+(H50-0)^2)</f>
        <v>133.74048646813119</v>
      </c>
      <c r="J50" s="59">
        <f>(B50-B49)*(H50*C50+H49*C49)*1000000</f>
        <v>154105.07974154458</v>
      </c>
      <c r="K50" s="60">
        <f>(B50-B49)*(C50+C49)/2</f>
        <v>4.8575999999999974E-4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1.4786489740814892E-5</v>
      </c>
      <c r="G51" s="54">
        <f>K39/C51*0.000001</f>
        <v>106.96568395916901</v>
      </c>
      <c r="H51" s="54">
        <f>(E51*(K38/B51-F51*(D51-20))+0.3*G51*1000000)*0.000001</f>
        <v>91.452720946391835</v>
      </c>
      <c r="I51" s="58">
        <f>(1/SQRT(2))*SQRT((H51-G51)^2+(G51-0)^2+(H51-0)^2)</f>
        <v>100.11470854671464</v>
      </c>
      <c r="J51" s="59">
        <f>(B51-B50)*(H51*C51+H50*C50)*1000000</f>
        <v>149060.52780472423</v>
      </c>
      <c r="K51" s="60">
        <f>(B51-B50)*(C51+C50)/2</f>
        <v>5.6405250000000028E-4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1.5090139380985878E-5</v>
      </c>
      <c r="G52" s="54">
        <f>K41/C52*0.000001</f>
        <v>78.299721564268395</v>
      </c>
      <c r="H52" s="54">
        <f>(E52*(K40/B52-F52*(D52-20))+0.3*G52*1000000)*0.000001</f>
        <v>-103.63497245308336</v>
      </c>
      <c r="I52" s="58">
        <f>(1/SQRT(2))*SQRT((H52-G52)^2+(G52-0)^2+(H52-0)^2)</f>
        <v>158.0684769325951</v>
      </c>
      <c r="J52" s="59">
        <f>(B52-B51)*(H52*C52+H51*C51)*1000000</f>
        <v>-5047.2895329949033</v>
      </c>
      <c r="K52" s="60">
        <f>(B52-B51)*(C52+C51)/2</f>
        <v>4.143149999999999E-4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1.5158400776473136E-5</v>
      </c>
      <c r="G53" s="54">
        <f>K43/C53*0.000001</f>
        <v>3.8187063521085052</v>
      </c>
      <c r="H53" s="54">
        <f>(E53*(K42/B53-F53*(D53-20))+0.3*G53*1000000)*0.000001</f>
        <v>-167.11652900813678</v>
      </c>
      <c r="I53" s="58">
        <f>(1/SQRT(2))*SQRT((H53-G53)^2+(G53-0)^2+(H53-0)^2)</f>
        <v>169.05823179247068</v>
      </c>
      <c r="J53" s="59">
        <f>(B53-B52)*(H53*C53+H52*C52)*1000000</f>
        <v>-132513.81141670648</v>
      </c>
      <c r="K53" s="60">
        <f>(B53-B52)*(C53+C52)/2</f>
        <v>4.0971050000000004E-4</v>
      </c>
      <c r="L53" s="1">
        <f t="shared" si="12"/>
        <v>1108.5747281778663</v>
      </c>
    </row>
    <row r="54" spans="2:12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1.5196934792489585E-5</v>
      </c>
      <c r="G54" s="57">
        <f>M43/C54*0.000001</f>
        <v>0</v>
      </c>
      <c r="H54" s="57">
        <f>(E54*(M42/B54-F54*(D54-20))+0.3*G54*1000000)*0.000001</f>
        <v>-190.90852649435078</v>
      </c>
      <c r="I54" s="80">
        <f>(1/SQRT(2))*SQRT((H54-G54)^2+(G54-0)^2+(H54-0)^2)</f>
        <v>190.90852649435075</v>
      </c>
      <c r="J54" s="61">
        <f>(B54-B53)*(H54*C54+H53*C53)*1000000</f>
        <v>-143652.54116959643</v>
      </c>
      <c r="K54" s="62">
        <f>(B54-B53)*(C54+C53)/2</f>
        <v>4.0123600000000094E-4</v>
      </c>
      <c r="L54" s="1">
        <f t="shared" si="12"/>
        <v>1094.0795989128046</v>
      </c>
    </row>
    <row r="55" spans="2:12" ht="18" customHeight="1" x14ac:dyDescent="0.2">
      <c r="B55" s="1" t="s">
        <v>95</v>
      </c>
      <c r="D55" s="17"/>
      <c r="E55" s="17"/>
    </row>
    <row r="56" spans="2:12" ht="18" customHeight="1" x14ac:dyDescent="0.2">
      <c r="I56" s="41" t="s">
        <v>96</v>
      </c>
      <c r="J56" s="36">
        <f>SUM(J50:J54)</f>
        <v>21951.96542697103</v>
      </c>
      <c r="K56" s="36">
        <f>SUM(K50:K54)</f>
        <v>2.2750740000000011E-3</v>
      </c>
    </row>
    <row r="57" spans="2:12" ht="18" customHeight="1" x14ac:dyDescent="0.25">
      <c r="I57" s="32" t="s">
        <v>97</v>
      </c>
      <c r="J57" s="54">
        <f>J56/K56*0.000001</f>
        <v>9.6489017179094052</v>
      </c>
      <c r="K57" s="1" t="s">
        <v>27</v>
      </c>
    </row>
    <row r="58" spans="2:12" ht="18" customHeight="1" x14ac:dyDescent="0.2">
      <c r="I58" s="30" t="s">
        <v>17</v>
      </c>
      <c r="J58" s="54">
        <f>AVERAGE(S5:S9)</f>
        <v>1141.638735896563</v>
      </c>
      <c r="K58" s="1" t="s">
        <v>27</v>
      </c>
    </row>
    <row r="59" spans="2:12" ht="18" customHeight="1" x14ac:dyDescent="0.35">
      <c r="I59" s="30" t="s">
        <v>98</v>
      </c>
      <c r="J59" s="63">
        <f>C8*SQRT(J58/J57)</f>
        <v>39659.028458742578</v>
      </c>
      <c r="K59" s="1" t="s">
        <v>32</v>
      </c>
    </row>
    <row r="60" spans="2:12" ht="18" customHeight="1" x14ac:dyDescent="0.2"/>
    <row r="61" spans="2:12" ht="18" customHeight="1" x14ac:dyDescent="0.2"/>
    <row r="62" spans="2:12" ht="18" customHeight="1" x14ac:dyDescent="0.2"/>
    <row r="63" spans="2:12" ht="18" customHeight="1" x14ac:dyDescent="0.2"/>
    <row r="64" spans="2:12" ht="18" customHeight="1" x14ac:dyDescent="0.2"/>
    <row r="65" spans="5:12" ht="18" customHeight="1" x14ac:dyDescent="0.2"/>
    <row r="66" spans="5:12" ht="18" customHeight="1" x14ac:dyDescent="0.2"/>
    <row r="67" spans="5:12" ht="18" customHeight="1" x14ac:dyDescent="0.2">
      <c r="L67" s="1" t="s">
        <v>99</v>
      </c>
    </row>
    <row r="68" spans="5:12" ht="18" customHeight="1" x14ac:dyDescent="0.2">
      <c r="L68" s="68">
        <f>K34</f>
        <v>1.7399600569224479E-3</v>
      </c>
    </row>
    <row r="69" spans="5:12" ht="18" customHeight="1" x14ac:dyDescent="0.2">
      <c r="L69" s="68">
        <f>K36</f>
        <v>1.8917564201670228E-3</v>
      </c>
    </row>
    <row r="70" spans="5:12" ht="18" customHeight="1" x14ac:dyDescent="0.2">
      <c r="L70" s="68">
        <f>K38</f>
        <v>2.2038486030928487E-3</v>
      </c>
    </row>
    <row r="71" spans="5:12" ht="18" customHeight="1" x14ac:dyDescent="0.2">
      <c r="E71" s="17"/>
      <c r="L71" s="68">
        <f>K40</f>
        <v>3.0061393500675866E-3</v>
      </c>
    </row>
    <row r="72" spans="5:12" x14ac:dyDescent="0.2">
      <c r="L72" s="68">
        <f>K42</f>
        <v>3.1497429648187926E-3</v>
      </c>
    </row>
  </sheetData>
  <mergeCells count="20">
    <mergeCell ref="B2:D2"/>
    <mergeCell ref="F2:P2"/>
    <mergeCell ref="U2:W2"/>
    <mergeCell ref="B19:J19"/>
    <mergeCell ref="L19:L20"/>
    <mergeCell ref="P19:P20"/>
    <mergeCell ref="L21:L22"/>
    <mergeCell ref="P21:P22"/>
    <mergeCell ref="L23:L24"/>
    <mergeCell ref="P23:P24"/>
    <mergeCell ref="L25:L26"/>
    <mergeCell ref="P25:P26"/>
    <mergeCell ref="B46:J46"/>
    <mergeCell ref="L27:L28"/>
    <mergeCell ref="P27:P28"/>
    <mergeCell ref="B32:I32"/>
    <mergeCell ref="J32:M32"/>
    <mergeCell ref="B33:E33"/>
    <mergeCell ref="F33:I33"/>
    <mergeCell ref="J33:M33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F87B-FDE8-4BA8-9EFD-AFC453D1867B}">
  <dimension ref="A46:D56"/>
  <sheetViews>
    <sheetView zoomScale="48" zoomScaleNormal="48" workbookViewId="0">
      <selection activeCell="V46" sqref="V46"/>
    </sheetView>
  </sheetViews>
  <sheetFormatPr defaultRowHeight="12.75" x14ac:dyDescent="0.2"/>
  <sheetData>
    <row r="46" spans="1:4" x14ac:dyDescent="0.2">
      <c r="A46" t="s">
        <v>14</v>
      </c>
      <c r="B46" t="s">
        <v>18</v>
      </c>
      <c r="C46" t="s">
        <v>17</v>
      </c>
      <c r="D46" t="s">
        <v>20</v>
      </c>
    </row>
    <row r="47" spans="1:4" x14ac:dyDescent="0.2">
      <c r="A47">
        <v>0.2165</v>
      </c>
      <c r="B47">
        <v>499.59</v>
      </c>
      <c r="C47">
        <f>-0.00000000000012565*B47^6+0.00000000022356*B47^5-0.00000015398*B47^4+0.000051398*B47^3-0.0080253*B47^2+0.019273*B47+1341.2</f>
        <v>1168.5394144165828</v>
      </c>
      <c r="D47">
        <f>-0.0000000013339*B47^4+0.000000035732*B47^3+0.00092194*B47^2-0.56144*B47+1110.2</f>
        <v>981.1772347364199</v>
      </c>
    </row>
    <row r="48" spans="1:4" x14ac:dyDescent="0.2">
      <c r="A48">
        <v>0.2185</v>
      </c>
      <c r="B48">
        <v>500.47</v>
      </c>
      <c r="C48">
        <f t="shared" ref="C48:C56" si="0">-0.00000000000012565*B48^6+0.00000000022356*B48^5-0.00000015398*B48^4+0.000051398*B48^3-0.0080253*B48^2+0.019273*B48+1341.2</f>
        <v>1168.4123256738433</v>
      </c>
      <c r="D48">
        <f t="shared" ref="D48:D56" si="1">-0.0000000013339*B48^4+0.000000035732*B48^3+0.00092194*B48^2-0.56144*B48+1110.2</f>
        <v>980.93108726524497</v>
      </c>
    </row>
    <row r="49" spans="1:4" x14ac:dyDescent="0.2">
      <c r="A49">
        <v>0.23857999999999999</v>
      </c>
      <c r="B49">
        <v>506.83</v>
      </c>
      <c r="C49">
        <f t="shared" si="0"/>
        <v>1167.478645217853</v>
      </c>
      <c r="D49">
        <f t="shared" si="1"/>
        <v>979.10406248190156</v>
      </c>
    </row>
    <row r="50" spans="1:4" x14ac:dyDescent="0.2">
      <c r="A50">
        <v>0.28115000000000001</v>
      </c>
      <c r="B50">
        <v>527.22</v>
      </c>
      <c r="C50">
        <f t="shared" si="0"/>
        <v>1164.0915269624393</v>
      </c>
      <c r="D50">
        <f t="shared" si="1"/>
        <v>972.63715098830107</v>
      </c>
    </row>
    <row r="51" spans="1:4" x14ac:dyDescent="0.2">
      <c r="A51">
        <v>0.318</v>
      </c>
      <c r="B51">
        <v>552.45000000000005</v>
      </c>
      <c r="C51">
        <f t="shared" si="0"/>
        <v>1157.966124481133</v>
      </c>
      <c r="D51">
        <f t="shared" si="1"/>
        <v>963.1845428945918</v>
      </c>
    </row>
    <row r="52" spans="1:4" x14ac:dyDescent="0.2">
      <c r="A52">
        <v>0.37322</v>
      </c>
      <c r="B52">
        <v>603.41999999999996</v>
      </c>
      <c r="C52">
        <f t="shared" si="0"/>
        <v>1128.3363330383572</v>
      </c>
      <c r="D52">
        <f t="shared" si="1"/>
        <v>938.1107631452503</v>
      </c>
    </row>
    <row r="53" spans="1:4" x14ac:dyDescent="0.2">
      <c r="A53">
        <v>0.37946999999999997</v>
      </c>
      <c r="B53">
        <v>610.17999999999995</v>
      </c>
      <c r="C53">
        <f t="shared" si="0"/>
        <v>1121.3467470333221</v>
      </c>
      <c r="D53">
        <f t="shared" si="1"/>
        <v>934.08680570383274</v>
      </c>
    </row>
    <row r="54" spans="1:4" x14ac:dyDescent="0.2">
      <c r="A54">
        <v>0.38325999999999999</v>
      </c>
      <c r="B54">
        <v>614.38</v>
      </c>
      <c r="C54">
        <f t="shared" si="0"/>
        <v>1116.4912043160984</v>
      </c>
      <c r="D54">
        <f t="shared" si="1"/>
        <v>931.49537353371716</v>
      </c>
    </row>
    <row r="55" spans="1:4" x14ac:dyDescent="0.2">
      <c r="A55">
        <v>0.38871</v>
      </c>
      <c r="B55">
        <v>620.54999999999995</v>
      </c>
      <c r="C55">
        <f t="shared" si="0"/>
        <v>1108.5747281778663</v>
      </c>
      <c r="D55">
        <f t="shared" si="1"/>
        <v>927.55793587162691</v>
      </c>
    </row>
    <row r="56" spans="1:4" x14ac:dyDescent="0.2">
      <c r="A56">
        <v>0.39700000000000002</v>
      </c>
      <c r="B56">
        <v>630.22</v>
      </c>
      <c r="C56">
        <f t="shared" si="0"/>
        <v>1094.0795989128046</v>
      </c>
      <c r="D56">
        <f t="shared" si="1"/>
        <v>921.06450467333138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5de89f-89ba-4f04-9341-e2f29dbf2e3a">
      <Terms xmlns="http://schemas.microsoft.com/office/infopath/2007/PartnerControls"/>
    </lcf76f155ced4ddcb4097134ff3c332f>
    <TaxCatchAll xmlns="688d2c5b-d161-49ad-92bd-e5075a78a03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2A5B349D79B842AB990A57EDD05693" ma:contentTypeVersion="14" ma:contentTypeDescription="Creare un nuovo documento." ma:contentTypeScope="" ma:versionID="85496b22c97e92fda2f9e1a792351848">
  <xsd:schema xmlns:xsd="http://www.w3.org/2001/XMLSchema" xmlns:xs="http://www.w3.org/2001/XMLSchema" xmlns:p="http://schemas.microsoft.com/office/2006/metadata/properties" xmlns:ns2="c75de89f-89ba-4f04-9341-e2f29dbf2e3a" xmlns:ns3="688d2c5b-d161-49ad-92bd-e5075a78a038" targetNamespace="http://schemas.microsoft.com/office/2006/metadata/properties" ma:root="true" ma:fieldsID="f691ea6085b272e0fb7415b6929617a3" ns2:_="" ns3:_="">
    <xsd:import namespace="c75de89f-89ba-4f04-9341-e2f29dbf2e3a"/>
    <xsd:import namespace="688d2c5b-d161-49ad-92bd-e5075a78a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de89f-89ba-4f04-9341-e2f29dbf2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d2c5b-d161-49ad-92bd-e5075a78a03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a16fb0-be85-4ba5-b4c3-ed23e876be18}" ma:internalName="TaxCatchAll" ma:showField="CatchAllData" ma:web="688d2c5b-d161-49ad-92bd-e5075a78a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8464F-E16B-4585-B4C9-B4EB28F00F13}">
  <ds:schemaRefs>
    <ds:schemaRef ds:uri="http://schemas.microsoft.com/office/2006/documentManagement/types"/>
    <ds:schemaRef ds:uri="http://purl.org/dc/elements/1.1/"/>
    <ds:schemaRef ds:uri="c75de89f-89ba-4f04-9341-e2f29dbf2e3a"/>
    <ds:schemaRef ds:uri="http://purl.org/dc/dcmitype/"/>
    <ds:schemaRef ds:uri="http://purl.org/dc/terms/"/>
    <ds:schemaRef ds:uri="688d2c5b-d161-49ad-92bd-e5075a78a03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371539-9486-461C-9613-CD4F793B1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00EBA-39B9-403C-A94B-2775FB4F7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de89f-89ba-4f04-9341-e2f29dbf2e3a"/>
    <ds:schemaRef ds:uri="688d2c5b-d161-49ad-92bd-e5075a78a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Grammel</vt:lpstr>
      <vt:lpstr>pale</vt:lpstr>
      <vt:lpstr>disco</vt:lpstr>
      <vt:lpstr>temperatura</vt:lpstr>
      <vt:lpstr>grafici</vt:lpstr>
    </vt:vector>
  </TitlesOfParts>
  <Manager/>
  <Company>Dipartimento di Meccanica - POLITO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Zucca</dc:creator>
  <cp:keywords/>
  <dc:description/>
  <cp:lastModifiedBy>Francesco Doronzo</cp:lastModifiedBy>
  <cp:revision/>
  <dcterms:created xsi:type="dcterms:W3CDTF">2004-01-23T08:09:43Z</dcterms:created>
  <dcterms:modified xsi:type="dcterms:W3CDTF">2025-02-14T09:32:34Z</dcterms:modified>
  <cp:category/>
  <cp:contentStatus/>
</cp:coreProperties>
</file>