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drawings/drawing5.xml" ContentType="application/vnd.openxmlformats-officedocument.drawing+xml"/>
  <Override PartName="/xl/comments6.xml" ContentType="application/vnd.openxmlformats-officedocument.spreadsheetml.comments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/Users/francescopioparadiso/Downloads/"/>
    </mc:Choice>
  </mc:AlternateContent>
  <xr:revisionPtr revIDLastSave="0" documentId="8_{B17524E1-6D30-1748-876F-C0988E213A9C}" xr6:coauthVersionLast="47" xr6:coauthVersionMax="47" xr10:uidLastSave="{00000000-0000-0000-0000-000000000000}"/>
  <bookViews>
    <workbookView xWindow="0" yWindow="500" windowWidth="28720" windowHeight="17500" activeTab="1" xr2:uid="{00000000-000D-0000-FFFF-FFFF00000000}"/>
  </bookViews>
  <sheets>
    <sheet name="$_DATI_DI_BASE" sheetId="10" r:id="rId1"/>
    <sheet name="$_FABBISOGNI" sheetId="1" r:id="rId2"/>
    <sheet name="$_MACCHINE" sheetId="4" r:id="rId3"/>
    <sheet name="$_MAG_BUFFER" sheetId="6" r:id="rId4"/>
    <sheet name="$_MOV_MATERIALI" sheetId="8" r:id="rId5"/>
    <sheet name="$_OP_MONTAGGIO (TIPO A1)" sheetId="13" r:id="rId6"/>
    <sheet name="$_OP_MONTAGGIO (TIPO B)" sheetId="5" r:id="rId7"/>
  </sheets>
  <definedNames>
    <definedName name="_xlnm._FilterDatabase" localSheetId="1" hidden="1">'$_FABBISOGNI'!$A$1:$P$35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/>
  <c r="P17" i="6"/>
  <c r="P21" i="6"/>
  <c r="P20" i="6"/>
  <c r="U10" i="6"/>
  <c r="U11" i="6"/>
  <c r="U14" i="6"/>
  <c r="T14" i="6"/>
  <c r="T15" i="6"/>
  <c r="T13" i="6"/>
  <c r="U13" i="6"/>
  <c r="T12" i="6"/>
  <c r="U12" i="6"/>
  <c r="T11" i="6"/>
  <c r="T7" i="6"/>
  <c r="T8" i="6"/>
  <c r="T9" i="6"/>
  <c r="T10" i="6"/>
  <c r="T6" i="6"/>
  <c r="P18" i="6"/>
  <c r="Q17" i="6"/>
  <c r="Y19" i="4"/>
  <c r="D3" i="4"/>
  <c r="T7" i="4"/>
  <c r="T8" i="4"/>
  <c r="T11" i="4"/>
  <c r="U11" i="4"/>
  <c r="L25" i="4"/>
  <c r="T10" i="4"/>
  <c r="L18" i="4"/>
  <c r="D2" i="4"/>
  <c r="D1" i="4"/>
  <c r="E71" i="10"/>
  <c r="N14" i="6"/>
  <c r="N13" i="6"/>
  <c r="N11" i="6"/>
  <c r="N6" i="6"/>
  <c r="N18" i="6"/>
  <c r="BC42" i="1"/>
  <c r="BG42" i="1"/>
  <c r="BE42" i="1"/>
  <c r="BC14" i="1"/>
  <c r="AP37" i="5"/>
  <c r="BL50" i="1"/>
  <c r="BL47" i="1"/>
  <c r="BL23" i="1"/>
  <c r="BL20" i="1"/>
  <c r="BL22" i="1"/>
  <c r="BL19" i="1"/>
  <c r="R19" i="4"/>
  <c r="U18" i="4"/>
  <c r="U19" i="4"/>
  <c r="U17" i="4"/>
  <c r="H8" i="8"/>
  <c r="R17" i="4"/>
  <c r="C16" i="8"/>
  <c r="N17" i="4"/>
  <c r="X36" i="5"/>
  <c r="Z36" i="5"/>
  <c r="AB36" i="5"/>
  <c r="AD36" i="5"/>
  <c r="P9" i="5"/>
  <c r="S9" i="5"/>
  <c r="W31" i="5"/>
  <c r="P10" i="5"/>
  <c r="S10" i="5"/>
  <c r="W32" i="5"/>
  <c r="P11" i="5"/>
  <c r="S11" i="5"/>
  <c r="W33" i="5"/>
  <c r="W34" i="5"/>
  <c r="W35" i="5"/>
  <c r="W36" i="5"/>
  <c r="P12" i="5"/>
  <c r="S12" i="5"/>
  <c r="Y31" i="5"/>
  <c r="P13" i="5"/>
  <c r="S13" i="5"/>
  <c r="Y32" i="5"/>
  <c r="Y33" i="5"/>
  <c r="Y34" i="5"/>
  <c r="Y35" i="5"/>
  <c r="Y36" i="5"/>
  <c r="P14" i="5"/>
  <c r="S14" i="5"/>
  <c r="AA31" i="5"/>
  <c r="P15" i="5"/>
  <c r="S15" i="5"/>
  <c r="AA32" i="5"/>
  <c r="AA33" i="5"/>
  <c r="AA34" i="5"/>
  <c r="AA35" i="5"/>
  <c r="AA36" i="5"/>
  <c r="P16" i="5"/>
  <c r="S16" i="5"/>
  <c r="AC31" i="5"/>
  <c r="P17" i="5"/>
  <c r="S17" i="5"/>
  <c r="AC32" i="5"/>
  <c r="AC33" i="5"/>
  <c r="AC34" i="5"/>
  <c r="AC35" i="5"/>
  <c r="AC36" i="5"/>
  <c r="P18" i="5"/>
  <c r="S18" i="5"/>
  <c r="AE31" i="5"/>
  <c r="P19" i="5"/>
  <c r="S19" i="5"/>
  <c r="AE32" i="5"/>
  <c r="AE33" i="5"/>
  <c r="AE34" i="5"/>
  <c r="AE35" i="5"/>
  <c r="AE36" i="5"/>
  <c r="AF36" i="5"/>
  <c r="P20" i="5"/>
  <c r="S20" i="5"/>
  <c r="AG31" i="5"/>
  <c r="P21" i="5"/>
  <c r="S21" i="5"/>
  <c r="AG32" i="5"/>
  <c r="P22" i="5"/>
  <c r="S22" i="5"/>
  <c r="AG33" i="5"/>
  <c r="AG34" i="5"/>
  <c r="AG35" i="5"/>
  <c r="AG36" i="5"/>
  <c r="AH36" i="5"/>
  <c r="AI31" i="5"/>
  <c r="AI32" i="5"/>
  <c r="AI33" i="5"/>
  <c r="AI34" i="5"/>
  <c r="AI35" i="5"/>
  <c r="AI36" i="5"/>
  <c r="AJ36" i="5"/>
  <c r="AK31" i="5"/>
  <c r="AK32" i="5"/>
  <c r="P23" i="5"/>
  <c r="S23" i="5"/>
  <c r="AK33" i="5"/>
  <c r="AK34" i="5"/>
  <c r="AK35" i="5"/>
  <c r="AK36" i="5"/>
  <c r="AL36" i="5"/>
  <c r="P24" i="5"/>
  <c r="S24" i="5"/>
  <c r="AM31" i="5"/>
  <c r="P25" i="5"/>
  <c r="S25" i="5"/>
  <c r="AM32" i="5"/>
  <c r="AM33" i="5"/>
  <c r="AM34" i="5"/>
  <c r="AM35" i="5"/>
  <c r="AM36" i="5"/>
  <c r="AO37" i="5"/>
  <c r="P9" i="13"/>
  <c r="P22" i="13"/>
  <c r="L17" i="4" s="1"/>
  <c r="S9" i="13"/>
  <c r="S22" i="13" s="1"/>
  <c r="W27" i="13"/>
  <c r="W32" i="13" s="1"/>
  <c r="P10" i="13"/>
  <c r="S10" i="13"/>
  <c r="W28" i="13"/>
  <c r="P11" i="13"/>
  <c r="S11" i="13"/>
  <c r="W29" i="13" s="1"/>
  <c r="P12" i="13"/>
  <c r="S12" i="13"/>
  <c r="W30" i="13" s="1"/>
  <c r="W31" i="13"/>
  <c r="P13" i="13"/>
  <c r="S13" i="13"/>
  <c r="Y27" i="13"/>
  <c r="Y32" i="13" s="1"/>
  <c r="P14" i="13"/>
  <c r="S14" i="13"/>
  <c r="Y28" i="13"/>
  <c r="P15" i="13"/>
  <c r="S15" i="13"/>
  <c r="Y29" i="13"/>
  <c r="Y30" i="13"/>
  <c r="Y31" i="13"/>
  <c r="P16" i="13"/>
  <c r="S16" i="13"/>
  <c r="AA27" i="13"/>
  <c r="P17" i="13"/>
  <c r="S17" i="13"/>
  <c r="AA28" i="13"/>
  <c r="P18" i="13"/>
  <c r="S18" i="13"/>
  <c r="AA29" i="13" s="1"/>
  <c r="AA30" i="13"/>
  <c r="AA31" i="13"/>
  <c r="P19" i="13"/>
  <c r="S19" i="13"/>
  <c r="AC27" i="13"/>
  <c r="P20" i="13"/>
  <c r="S20" i="13"/>
  <c r="AC28" i="13" s="1"/>
  <c r="AC32" i="13" s="1"/>
  <c r="P21" i="13"/>
  <c r="S21" i="13"/>
  <c r="AC29" i="13" s="1"/>
  <c r="AC30" i="13"/>
  <c r="AC31" i="13"/>
  <c r="V32" i="13"/>
  <c r="X32" i="13"/>
  <c r="Z32" i="13"/>
  <c r="AB32" i="13"/>
  <c r="AD33" i="13"/>
  <c r="G3" i="4"/>
  <c r="O10" i="4"/>
  <c r="P10" i="4"/>
  <c r="D10" i="4"/>
  <c r="M10" i="4"/>
  <c r="Q10" i="4"/>
  <c r="R10" i="4"/>
  <c r="O11" i="4"/>
  <c r="P11" i="4"/>
  <c r="D11" i="4"/>
  <c r="M11" i="4"/>
  <c r="Q11" i="4"/>
  <c r="O7" i="4"/>
  <c r="P7" i="4"/>
  <c r="V36" i="5"/>
  <c r="AN37" i="5"/>
  <c r="P26" i="5"/>
  <c r="G2" i="6"/>
  <c r="U7" i="6"/>
  <c r="AA7" i="6"/>
  <c r="U24" i="4"/>
  <c r="R24" i="4"/>
  <c r="D8" i="4"/>
  <c r="J8" i="4"/>
  <c r="K8" i="4"/>
  <c r="D18" i="4"/>
  <c r="J18" i="4"/>
  <c r="K18" i="4"/>
  <c r="D7" i="4"/>
  <c r="L7" i="4"/>
  <c r="D17" i="4"/>
  <c r="I17" i="4"/>
  <c r="K17" i="4"/>
  <c r="I7" i="4"/>
  <c r="K7" i="4"/>
  <c r="Q7" i="4"/>
  <c r="O8" i="4"/>
  <c r="N7" i="4"/>
  <c r="O3" i="10"/>
  <c r="O2" i="10"/>
  <c r="AS39" i="1"/>
  <c r="T24" i="5"/>
  <c r="M25" i="1"/>
  <c r="M26" i="1"/>
  <c r="M27" i="1"/>
  <c r="H27" i="1"/>
  <c r="H26" i="1"/>
  <c r="H25" i="1"/>
  <c r="O25" i="1"/>
  <c r="Q8" i="4"/>
  <c r="H24" i="1"/>
  <c r="AB9" i="10"/>
  <c r="AA18" i="10"/>
  <c r="P8" i="4"/>
  <c r="N4" i="1"/>
  <c r="H18" i="1"/>
  <c r="H17" i="1"/>
  <c r="AH39" i="1"/>
  <c r="H16" i="1"/>
  <c r="AS11" i="1"/>
  <c r="BX41" i="1"/>
  <c r="BX13" i="1"/>
  <c r="AB18" i="10"/>
  <c r="L108" i="10"/>
  <c r="AA9" i="10"/>
  <c r="N20" i="1"/>
  <c r="N14" i="1"/>
  <c r="N15" i="1"/>
  <c r="N16" i="1"/>
  <c r="N17" i="1"/>
  <c r="N18" i="1"/>
  <c r="N19" i="1"/>
  <c r="N13" i="1"/>
  <c r="N5" i="1"/>
  <c r="N6" i="1"/>
  <c r="N7" i="1"/>
  <c r="N8" i="1"/>
  <c r="N9" i="1"/>
  <c r="N10" i="1"/>
  <c r="N11" i="1"/>
  <c r="I4" i="10"/>
  <c r="Y18" i="10"/>
  <c r="W18" i="10"/>
  <c r="H12" i="1"/>
  <c r="BN33" i="1"/>
  <c r="A1" i="13" a="1"/>
  <c r="A1" i="13" s="1"/>
  <c r="D15" i="6"/>
  <c r="N15" i="6"/>
  <c r="D14" i="6"/>
  <c r="C15" i="6"/>
  <c r="C14" i="6"/>
  <c r="D9" i="6"/>
  <c r="N9" i="6"/>
  <c r="C9" i="6"/>
  <c r="F20" i="1"/>
  <c r="F11" i="1"/>
  <c r="E106" i="10"/>
  <c r="J106" i="10"/>
  <c r="L106" i="10"/>
  <c r="E107" i="10"/>
  <c r="J107" i="10"/>
  <c r="E108" i="10"/>
  <c r="J108" i="10"/>
  <c r="E109" i="10"/>
  <c r="J109" i="10"/>
  <c r="B78" i="10"/>
  <c r="B99" i="10"/>
  <c r="E78" i="10"/>
  <c r="E99" i="10"/>
  <c r="B79" i="10"/>
  <c r="B100" i="10"/>
  <c r="B80" i="10"/>
  <c r="B101" i="10"/>
  <c r="B81" i="10"/>
  <c r="B102" i="10"/>
  <c r="E81" i="10"/>
  <c r="E102" i="10"/>
  <c r="E80" i="10"/>
  <c r="E101" i="10"/>
  <c r="E79" i="10"/>
  <c r="E100" i="10"/>
  <c r="B74" i="10"/>
  <c r="B95" i="10"/>
  <c r="E74" i="10"/>
  <c r="E95" i="10"/>
  <c r="E66" i="10"/>
  <c r="E87" i="10"/>
  <c r="E65" i="10"/>
  <c r="E86" i="10"/>
  <c r="D21" i="6"/>
  <c r="N21" i="6"/>
  <c r="C21" i="6"/>
  <c r="D20" i="6"/>
  <c r="L20" i="6"/>
  <c r="C20" i="6"/>
  <c r="D18" i="6"/>
  <c r="C18" i="6"/>
  <c r="D17" i="6"/>
  <c r="M17" i="6"/>
  <c r="C17" i="6"/>
  <c r="D13" i="6"/>
  <c r="C13" i="6"/>
  <c r="D12" i="6"/>
  <c r="J12" i="6"/>
  <c r="C12" i="6"/>
  <c r="D11" i="6"/>
  <c r="C11" i="6"/>
  <c r="D10" i="6"/>
  <c r="N10" i="6"/>
  <c r="C10" i="6"/>
  <c r="D8" i="6"/>
  <c r="N8" i="6"/>
  <c r="C8" i="6"/>
  <c r="D7" i="6"/>
  <c r="M7" i="6"/>
  <c r="C7" i="6"/>
  <c r="D6" i="6"/>
  <c r="C6" i="6"/>
  <c r="C10" i="4"/>
  <c r="C24" i="4"/>
  <c r="C8" i="4"/>
  <c r="C18" i="4"/>
  <c r="C11" i="4"/>
  <c r="C25" i="4"/>
  <c r="F19" i="1"/>
  <c r="F18" i="1"/>
  <c r="F17" i="1"/>
  <c r="F16" i="1"/>
  <c r="F15" i="1"/>
  <c r="F14" i="1"/>
  <c r="F13" i="1"/>
  <c r="G14" i="1"/>
  <c r="F12" i="1"/>
  <c r="G19" i="1"/>
  <c r="H19" i="1"/>
  <c r="AN39" i="1"/>
  <c r="BS41" i="1"/>
  <c r="BM41" i="1"/>
  <c r="H15" i="1"/>
  <c r="H14" i="1"/>
  <c r="H13" i="1"/>
  <c r="X39" i="1"/>
  <c r="F10" i="1"/>
  <c r="F9" i="1"/>
  <c r="F8" i="1"/>
  <c r="F7" i="1"/>
  <c r="F6" i="1"/>
  <c r="F5" i="1"/>
  <c r="F4" i="1"/>
  <c r="G6" i="1"/>
  <c r="F3" i="1"/>
  <c r="G11" i="1"/>
  <c r="G10" i="1"/>
  <c r="H10" i="1"/>
  <c r="AN11" i="1"/>
  <c r="H9" i="1"/>
  <c r="BP13" i="1"/>
  <c r="H8" i="1"/>
  <c r="AH11" i="1"/>
  <c r="H7" i="1"/>
  <c r="BJ13" i="1"/>
  <c r="H6" i="1"/>
  <c r="AB18" i="1"/>
  <c r="H5" i="1"/>
  <c r="X18" i="1"/>
  <c r="H4" i="1"/>
  <c r="H3" i="1"/>
  <c r="E77" i="10"/>
  <c r="E98" i="10"/>
  <c r="B77" i="10"/>
  <c r="B98" i="10"/>
  <c r="B75" i="10"/>
  <c r="B96" i="10"/>
  <c r="E75" i="10"/>
  <c r="E96" i="10"/>
  <c r="B73" i="10"/>
  <c r="B94" i="10"/>
  <c r="E73" i="10"/>
  <c r="E94" i="10"/>
  <c r="B72" i="10"/>
  <c r="B93" i="10"/>
  <c r="B71" i="10"/>
  <c r="B92" i="10"/>
  <c r="E72" i="10"/>
  <c r="E93" i="10"/>
  <c r="E92" i="10"/>
  <c r="B69" i="10"/>
  <c r="B90" i="10"/>
  <c r="B68" i="10"/>
  <c r="B89" i="10"/>
  <c r="E69" i="10"/>
  <c r="E90" i="10"/>
  <c r="E68" i="10"/>
  <c r="E89" i="10"/>
  <c r="B66" i="10"/>
  <c r="B87" i="10"/>
  <c r="B65" i="10"/>
  <c r="B86" i="10"/>
  <c r="N8" i="10"/>
  <c r="G1" i="4"/>
  <c r="G17" i="1"/>
  <c r="G13" i="1"/>
  <c r="G16" i="1"/>
  <c r="G4" i="1"/>
  <c r="BG24" i="1"/>
  <c r="BC52" i="1"/>
  <c r="BS13" i="1"/>
  <c r="G15" i="1"/>
  <c r="I5" i="10"/>
  <c r="I7" i="10"/>
  <c r="L109" i="10"/>
  <c r="L107" i="10"/>
  <c r="O24" i="1"/>
  <c r="J11" i="10"/>
  <c r="J9" i="10"/>
  <c r="O3" i="1"/>
  <c r="P3" i="1" a="1"/>
  <c r="P3" i="1"/>
  <c r="AH12" i="1"/>
  <c r="AH13" i="1"/>
  <c r="G9" i="1"/>
  <c r="AK11" i="1"/>
  <c r="X41" i="1"/>
  <c r="X40" i="1"/>
  <c r="X46" i="1"/>
  <c r="AN12" i="1"/>
  <c r="AN13" i="1"/>
  <c r="G7" i="1"/>
  <c r="X19" i="1"/>
  <c r="X20" i="1"/>
  <c r="AU40" i="1"/>
  <c r="AP40" i="1"/>
  <c r="AU41" i="1"/>
  <c r="AP41" i="1"/>
  <c r="AI33" i="1"/>
  <c r="AI34" i="1"/>
  <c r="C7" i="4"/>
  <c r="C17" i="4"/>
  <c r="G8" i="1"/>
  <c r="G20" i="1"/>
  <c r="AN40" i="1"/>
  <c r="AN41" i="1"/>
  <c r="BJ41" i="1"/>
  <c r="AE39" i="1"/>
  <c r="BM13" i="1"/>
  <c r="AB19" i="1"/>
  <c r="AB20" i="1"/>
  <c r="AH41" i="1"/>
  <c r="AH40" i="1"/>
  <c r="BG52" i="1"/>
  <c r="AB46" i="1"/>
  <c r="AE11" i="1"/>
  <c r="BP41" i="1"/>
  <c r="AK39" i="1"/>
  <c r="AS40" i="1"/>
  <c r="BN5" i="1"/>
  <c r="Z40" i="1"/>
  <c r="AB40" i="1"/>
  <c r="AU12" i="1"/>
  <c r="AU13" i="1"/>
  <c r="AS12" i="1"/>
  <c r="AP13" i="1"/>
  <c r="Z12" i="1"/>
  <c r="AS13" i="1"/>
  <c r="AB12" i="1"/>
  <c r="O12" i="1"/>
  <c r="P12" i="1" a="1"/>
  <c r="P12" i="1"/>
  <c r="AS41" i="1"/>
  <c r="O26" i="1"/>
  <c r="O27" i="1"/>
  <c r="M24" i="1"/>
  <c r="BC24" i="1"/>
  <c r="G18" i="1"/>
  <c r="X11" i="1"/>
  <c r="BC41" i="1"/>
  <c r="BC13" i="1"/>
  <c r="AI5" i="1"/>
  <c r="AI6" i="1"/>
  <c r="G5" i="1"/>
  <c r="O17" i="1"/>
  <c r="P17" i="1" a="1"/>
  <c r="P17" i="1"/>
  <c r="BM42" i="1"/>
  <c r="O16" i="1"/>
  <c r="P16" i="1" a="1"/>
  <c r="P16" i="1"/>
  <c r="BJ42" i="1"/>
  <c r="O13" i="1"/>
  <c r="P13" i="1" a="1"/>
  <c r="P13" i="1"/>
  <c r="O20" i="1"/>
  <c r="P20" i="1" a="1"/>
  <c r="P20" i="1"/>
  <c r="BX42" i="1"/>
  <c r="O19" i="1"/>
  <c r="P19" i="1" a="1"/>
  <c r="P19" i="1"/>
  <c r="BS42" i="1"/>
  <c r="O18" i="1"/>
  <c r="P18" i="1" a="1"/>
  <c r="P18" i="1"/>
  <c r="BP42" i="1"/>
  <c r="O11" i="1"/>
  <c r="P11" i="1" a="1"/>
  <c r="P11" i="1"/>
  <c r="BX14" i="1"/>
  <c r="O10" i="1"/>
  <c r="P10" i="1" a="1"/>
  <c r="P10" i="1"/>
  <c r="BS14" i="1"/>
  <c r="O9" i="1"/>
  <c r="P9" i="1" a="1"/>
  <c r="P9" i="1"/>
  <c r="BP14" i="1"/>
  <c r="O8" i="1"/>
  <c r="P8" i="1" a="1"/>
  <c r="P8" i="1"/>
  <c r="BM14" i="1"/>
  <c r="O7" i="1"/>
  <c r="P7" i="1" a="1"/>
  <c r="P7" i="1"/>
  <c r="BJ14" i="1"/>
  <c r="AK13" i="1"/>
  <c r="AK12" i="1"/>
  <c r="AK40" i="1"/>
  <c r="AK41" i="1"/>
  <c r="P24" i="1"/>
  <c r="AE12" i="1"/>
  <c r="AE13" i="1"/>
  <c r="AE40" i="1"/>
  <c r="AE41" i="1"/>
  <c r="X13" i="1"/>
  <c r="X12" i="1"/>
  <c r="P25" i="1"/>
  <c r="BN34" i="1"/>
  <c r="BN6" i="1"/>
  <c r="D3" i="6"/>
  <c r="AB47" i="1"/>
  <c r="AB48" i="1"/>
  <c r="X48" i="1"/>
  <c r="X47" i="1"/>
  <c r="D2" i="6"/>
  <c r="D1" i="6"/>
  <c r="G1" i="6"/>
  <c r="O15" i="1"/>
  <c r="P15" i="1" a="1"/>
  <c r="P15" i="1"/>
  <c r="O14" i="1"/>
  <c r="P27" i="1"/>
  <c r="P14" i="1" a="1"/>
  <c r="P14" i="1"/>
  <c r="BG53" i="1"/>
  <c r="BL51" i="1"/>
  <c r="BC53" i="1"/>
  <c r="BL48" i="1"/>
  <c r="T23" i="5"/>
  <c r="T22" i="5"/>
  <c r="T21" i="5"/>
  <c r="T20" i="5"/>
  <c r="T19" i="5"/>
  <c r="T18" i="5"/>
  <c r="T17" i="5"/>
  <c r="T16" i="5"/>
  <c r="T15" i="5"/>
  <c r="T14" i="5"/>
  <c r="T13" i="5"/>
  <c r="T12" i="5"/>
  <c r="T11" i="5"/>
  <c r="T10" i="5"/>
  <c r="T9" i="5"/>
  <c r="S26" i="5"/>
  <c r="P4" i="1" a="1"/>
  <c r="P4" i="1"/>
  <c r="O5" i="1"/>
  <c r="P5" i="1" a="1"/>
  <c r="P5" i="1"/>
  <c r="P26" i="1"/>
  <c r="O6" i="1"/>
  <c r="P6" i="1" a="1"/>
  <c r="P6" i="1"/>
  <c r="BG25" i="1"/>
  <c r="BC25" i="1"/>
  <c r="I6" i="6"/>
  <c r="K6" i="6"/>
  <c r="I10" i="4"/>
  <c r="K10" i="4"/>
  <c r="D24" i="4"/>
  <c r="I24" i="4"/>
  <c r="K24" i="4"/>
  <c r="L10" i="4"/>
  <c r="N10" i="4"/>
  <c r="R7" i="4"/>
  <c r="S7" i="4"/>
  <c r="U7" i="4"/>
  <c r="V7" i="4"/>
  <c r="M17" i="4"/>
  <c r="R8" i="4"/>
  <c r="S8" i="4"/>
  <c r="R11" i="4"/>
  <c r="S11" i="4"/>
  <c r="S10" i="4"/>
  <c r="J11" i="4"/>
  <c r="K11" i="4"/>
  <c r="L11" i="4"/>
  <c r="N11" i="4"/>
  <c r="N8" i="4"/>
  <c r="U8" i="4"/>
  <c r="V8" i="4"/>
  <c r="M18" i="4"/>
  <c r="D25" i="4"/>
  <c r="J25" i="4"/>
  <c r="K25" i="4"/>
  <c r="L8" i="4"/>
  <c r="M6" i="6"/>
  <c r="L6" i="6"/>
  <c r="J6" i="6"/>
  <c r="M8" i="6"/>
  <c r="L8" i="6"/>
  <c r="J10" i="6"/>
  <c r="I10" i="6"/>
  <c r="K10" i="6"/>
  <c r="M11" i="6"/>
  <c r="L11" i="6"/>
  <c r="J11" i="6"/>
  <c r="I11" i="6"/>
  <c r="K11" i="6"/>
  <c r="L12" i="6"/>
  <c r="M13" i="6"/>
  <c r="L13" i="6"/>
  <c r="J13" i="6"/>
  <c r="I13" i="6"/>
  <c r="K13" i="6"/>
  <c r="Q13" i="6"/>
  <c r="L17" i="6"/>
  <c r="I17" i="6"/>
  <c r="I20" i="6"/>
  <c r="M18" i="6"/>
  <c r="L18" i="6"/>
  <c r="J18" i="6"/>
  <c r="K18" i="6"/>
  <c r="O18" i="6"/>
  <c r="I18" i="6"/>
  <c r="M21" i="6"/>
  <c r="L21" i="6"/>
  <c r="I21" i="6"/>
  <c r="M9" i="6"/>
  <c r="L9" i="6"/>
  <c r="J9" i="6"/>
  <c r="I9" i="6"/>
  <c r="K9" i="6"/>
  <c r="M14" i="6"/>
  <c r="L14" i="6"/>
  <c r="J14" i="6"/>
  <c r="I14" i="6"/>
  <c r="K14" i="6"/>
  <c r="M15" i="6"/>
  <c r="L15" i="6"/>
  <c r="I15" i="6"/>
  <c r="Q21" i="6"/>
  <c r="R21" i="6"/>
  <c r="Q20" i="6"/>
  <c r="R20" i="6"/>
  <c r="Q18" i="6"/>
  <c r="R18" i="6"/>
  <c r="S18" i="6"/>
  <c r="P10" i="6"/>
  <c r="O10" i="6"/>
  <c r="Q10" i="6"/>
  <c r="Q6" i="6"/>
  <c r="O6" i="6"/>
  <c r="P6" i="6"/>
  <c r="Q9" i="6"/>
  <c r="P9" i="6"/>
  <c r="O9" i="6"/>
  <c r="O14" i="6"/>
  <c r="Q14" i="6"/>
  <c r="P14" i="6"/>
  <c r="P11" i="6"/>
  <c r="R11" i="6"/>
  <c r="S11" i="6"/>
  <c r="O11" i="6"/>
  <c r="Q11" i="6"/>
  <c r="O13" i="6"/>
  <c r="J21" i="6"/>
  <c r="K21" i="6"/>
  <c r="M12" i="6"/>
  <c r="I7" i="6"/>
  <c r="J15" i="6"/>
  <c r="K15" i="6"/>
  <c r="L10" i="6"/>
  <c r="J7" i="6"/>
  <c r="N7" i="6"/>
  <c r="N12" i="6"/>
  <c r="M10" i="6"/>
  <c r="L7" i="6"/>
  <c r="N17" i="6"/>
  <c r="P13" i="6"/>
  <c r="R13" i="6"/>
  <c r="S13" i="6"/>
  <c r="J20" i="6"/>
  <c r="K20" i="6"/>
  <c r="M20" i="6"/>
  <c r="J17" i="6"/>
  <c r="K17" i="6"/>
  <c r="J8" i="6"/>
  <c r="N20" i="6"/>
  <c r="U9" i="6"/>
  <c r="U6" i="6"/>
  <c r="U8" i="6"/>
  <c r="S20" i="6"/>
  <c r="I12" i="6"/>
  <c r="K12" i="6"/>
  <c r="S21" i="6"/>
  <c r="I8" i="6"/>
  <c r="K8" i="6"/>
  <c r="U15" i="6"/>
  <c r="U18" i="6"/>
  <c r="T18" i="6"/>
  <c r="U17" i="6"/>
  <c r="T17" i="6"/>
  <c r="AA14" i="6"/>
  <c r="R14" i="6"/>
  <c r="S14" i="6"/>
  <c r="AA12" i="6"/>
  <c r="AA10" i="6"/>
  <c r="R10" i="6"/>
  <c r="S10" i="6"/>
  <c r="AA6" i="6"/>
  <c r="AA8" i="6"/>
  <c r="R17" i="6"/>
  <c r="S17" i="6"/>
  <c r="AA11" i="6"/>
  <c r="AA15" i="6"/>
  <c r="AA13" i="6"/>
  <c r="P18" i="4"/>
  <c r="O18" i="4"/>
  <c r="S18" i="4"/>
  <c r="T18" i="4"/>
  <c r="O17" i="4"/>
  <c r="P17" i="4"/>
  <c r="Q17" i="4"/>
  <c r="P19" i="4"/>
  <c r="O19" i="4"/>
  <c r="U10" i="4"/>
  <c r="L24" i="4"/>
  <c r="O20" i="6"/>
  <c r="U20" i="6"/>
  <c r="T20" i="6"/>
  <c r="O21" i="6"/>
  <c r="U21" i="6"/>
  <c r="T21" i="6"/>
  <c r="O15" i="6"/>
  <c r="Q15" i="6"/>
  <c r="P15" i="6"/>
  <c r="R15" i="6"/>
  <c r="S15" i="6"/>
  <c r="I22" i="8"/>
  <c r="K7" i="6"/>
  <c r="R6" i="6"/>
  <c r="S6" i="6"/>
  <c r="O8" i="6"/>
  <c r="Q8" i="6"/>
  <c r="P8" i="6"/>
  <c r="E22" i="8"/>
  <c r="E6" i="8"/>
  <c r="P12" i="6"/>
  <c r="R12" i="6"/>
  <c r="S12" i="6"/>
  <c r="Q12" i="6"/>
  <c r="O12" i="6"/>
  <c r="R9" i="6"/>
  <c r="S9" i="6"/>
  <c r="O17" i="6"/>
  <c r="AA9" i="6"/>
  <c r="AB6" i="6" a="1"/>
  <c r="Q19" i="4"/>
  <c r="Q18" i="4"/>
  <c r="V18" i="4"/>
  <c r="V10" i="4"/>
  <c r="M24" i="4"/>
  <c r="O24" i="4"/>
  <c r="D10" i="8"/>
  <c r="D16" i="8" s="1"/>
  <c r="C26" i="8"/>
  <c r="R8" i="6"/>
  <c r="S8" i="6"/>
  <c r="Q7" i="6"/>
  <c r="O7" i="6"/>
  <c r="P7" i="6"/>
  <c r="R7" i="6"/>
  <c r="S7" i="6"/>
  <c r="F14" i="8"/>
  <c r="H14" i="8" s="1"/>
  <c r="E12" i="8"/>
  <c r="E16" i="8" s="1"/>
  <c r="Z15" i="6"/>
  <c r="Z13" i="6"/>
  <c r="Z10" i="6"/>
  <c r="Z7" i="6"/>
  <c r="Z14" i="6"/>
  <c r="AB6" i="6"/>
  <c r="Z8" i="6"/>
  <c r="Z12" i="6"/>
  <c r="Z9" i="6"/>
  <c r="Z11" i="6"/>
  <c r="S24" i="4"/>
  <c r="T24" i="4"/>
  <c r="G22" i="8"/>
  <c r="G6" i="8"/>
  <c r="G16" i="8" s="1"/>
  <c r="H12" i="8"/>
  <c r="Z6" i="6"/>
  <c r="AB16" i="6"/>
  <c r="P24" i="4"/>
  <c r="Q24" i="4"/>
  <c r="V24" i="4"/>
  <c r="AC6" i="6"/>
  <c r="AD6" i="6"/>
  <c r="AC8" i="6"/>
  <c r="AC10" i="6"/>
  <c r="AC11" i="6"/>
  <c r="AC9" i="6"/>
  <c r="AC12" i="6"/>
  <c r="AC15" i="6"/>
  <c r="AC7" i="6"/>
  <c r="AC14" i="6"/>
  <c r="AC13" i="6"/>
  <c r="AD7" i="6"/>
  <c r="AD8" i="6"/>
  <c r="AD9" i="6"/>
  <c r="AD10" i="6"/>
  <c r="AD11" i="6"/>
  <c r="AD12" i="6"/>
  <c r="AD13" i="6"/>
  <c r="AD14" i="6"/>
  <c r="AD15" i="6"/>
  <c r="AE33" i="13" l="1"/>
  <c r="AF33" i="13" s="1"/>
  <c r="AA32" i="13"/>
  <c r="S19" i="4"/>
  <c r="T19" i="4" s="1"/>
  <c r="V19" i="4" s="1"/>
  <c r="S17" i="4"/>
  <c r="T17" i="4" s="1"/>
  <c r="V17" i="4" s="1"/>
  <c r="F16" i="8"/>
  <c r="H17" i="8" s="1"/>
  <c r="T21" i="13"/>
  <c r="T20" i="13" s="1"/>
  <c r="T19" i="13" s="1"/>
  <c r="T18" i="13" s="1"/>
  <c r="T17" i="13" s="1"/>
  <c r="T16" i="13" s="1"/>
  <c r="T15" i="13" s="1"/>
  <c r="T14" i="13" s="1"/>
  <c r="T13" i="13" s="1"/>
  <c r="T12" i="13" s="1"/>
  <c r="T11" i="13" s="1"/>
  <c r="T10" i="13" s="1"/>
  <c r="T9" i="13" s="1"/>
  <c r="H6" i="8"/>
  <c r="H16" i="8" s="1"/>
  <c r="H10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L105" authorId="0" shapeId="0" xr:uid="{6F9F46D8-1F28-4C7A-A770-C89E061BC9D7}">
      <text>
        <r>
          <rPr>
            <b/>
            <sz val="9"/>
            <color rgb="FF000000"/>
            <rFont val="Tahoma"/>
            <family val="2"/>
          </rPr>
          <t xml:space="preserve">Per ASSEMBLAGGIO = Nm
</t>
        </r>
        <r>
          <rPr>
            <b/>
            <sz val="9"/>
            <color rgb="FF000000"/>
            <rFont val="Tahoma"/>
            <family val="2"/>
          </rPr>
          <t xml:space="preserve">Per SALDATURA = Nm/2
</t>
        </r>
        <r>
          <rPr>
            <b/>
            <sz val="9"/>
            <color rgb="FF000000"/>
            <rFont val="Tahoma"/>
            <family val="2"/>
          </rPr>
          <t xml:space="preserve">Arrotondato per eccesso al numero intero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Daniele Palandri</author>
  </authors>
  <commentList>
    <comment ref="P4" authorId="0" shapeId="0" xr:uid="{30F93715-D098-AF43-8AD7-F2D04735877F}">
      <text>
        <r>
          <rPr>
            <b/>
            <sz val="10"/>
            <color rgb="FF000000"/>
            <rFont val="Tahoma"/>
            <family val="2"/>
          </rPr>
          <t>Daniele Palandri: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Differenza lordo/netto qui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tc={D8EC12CC-464C-450B-9C80-456B860DC46A}</author>
    <author>Daniele Palandri</author>
    <author>tc={807A2CC7-7FE7-401D-9643-EF0797A0DFE9}</author>
  </authors>
  <commentList>
    <comment ref="D2" authorId="0" shapeId="0" xr:uid="{D8EC12CC-464C-450B-9C80-456B860DC46A}">
      <text>
        <t>[Threaded comment]
Your version of Excel allows you to read this threaded comment; however, any edits to it will get removed if the file is opened in a newer version of Excel. Learn more: https://go.microsoft.com/fwlink/?linkid=870924
Comment:
    GIA’ CAMBIATO</t>
      </text>
    </comment>
    <comment ref="G2" authorId="1" shapeId="0" xr:uid="{EF437394-89B3-1B45-AA99-59C7691CCE4D}">
      <text>
        <r>
          <rPr>
            <b/>
            <sz val="10"/>
            <color rgb="FF000000"/>
            <rFont val="Tahoma"/>
            <family val="2"/>
          </rPr>
          <t>Daniele Palandri: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Si può cambiare per migliorare l'OEE complessivo
</t>
        </r>
      </text>
    </comment>
    <comment ref="Q7" authorId="1" shapeId="0" xr:uid="{8D8A593F-13AD-0E4E-8726-2A854D255213}">
      <text>
        <r>
          <rPr>
            <b/>
            <sz val="10"/>
            <color rgb="FF000000"/>
            <rFont val="Tahoma"/>
            <family val="2"/>
          </rPr>
          <t>Daniele Palandri: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Da mettere 0 perché si usano linee separate per cicli troppo diversi</t>
        </r>
      </text>
    </comment>
    <comment ref="V10" authorId="1" shapeId="0" xr:uid="{B60B77FF-E75F-9B4B-9E8A-9B3837A18EEC}">
      <text>
        <r>
          <rPr>
            <b/>
            <sz val="10"/>
            <color rgb="FF000000"/>
            <rFont val="Tahoma"/>
            <family val="2"/>
          </rPr>
          <t>Daniele Palandri: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Qua ci vuole la somma
</t>
        </r>
      </text>
    </comment>
    <comment ref="S17" authorId="2" shapeId="0" xr:uid="{807A2CC7-7FE7-401D-9643-EF0797A0DFE9}">
      <text>
        <t>[Threaded comment]
Your version of Excel allows you to read this threaded comment; however, any edits to it will get removed if the file is opened in a newer version of Excel. Learn more: https://go.microsoft.com/fwlink/?linkid=870924
Comment:
    DA DIVIDERE ANCHE PER M17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P21" authorId="0" shapeId="0" xr:uid="{23327B57-2254-4CE9-8712-6BEEF8AC7138}">
      <text>
        <r>
          <rPr>
            <b/>
            <sz val="9"/>
            <color rgb="FF000000"/>
            <rFont val="Tahoma"/>
            <family val="2"/>
          </rPr>
          <t>Lotti immagazzinati al netto degli scarti TRANNE MMP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P8" authorId="0" shapeId="0" xr:uid="{E4C6F362-D812-420B-AD30-0C3870921A66}">
      <text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T_BASE MOLTIPLICATI PER K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P8" authorId="0" shapeId="0" xr:uid="{19BCDAC1-6231-449F-AAC2-37ED0C314FB5}">
      <text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T_BASE MOLTIPLICATI PER K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<sst xmlns="http://schemas.openxmlformats.org/spreadsheetml/2006/main" count="650" uniqueCount="329">
  <si>
    <t>Cm</t>
  </si>
  <si>
    <t>GRUPPO</t>
  </si>
  <si>
    <t>Palmisano</t>
  </si>
  <si>
    <t>Alessio</t>
  </si>
  <si>
    <t xml:space="preserve">PRODUZIONE BASE ANNUA PLANCIA </t>
  </si>
  <si>
    <t>GG/ANNO</t>
  </si>
  <si>
    <t>Nm</t>
  </si>
  <si>
    <t>Palandri</t>
  </si>
  <si>
    <t>Daniele</t>
  </si>
  <si>
    <t xml:space="preserve">PRODUZIONE BASE GIORNALIERA PLANCIA </t>
  </si>
  <si>
    <t>Santacroce</t>
  </si>
  <si>
    <t>Gabriele</t>
  </si>
  <si>
    <t>PRODUZIONE MESE PLANCIA  (Cm E Nm)</t>
  </si>
  <si>
    <t>Regis Milano</t>
  </si>
  <si>
    <t>Carlo</t>
  </si>
  <si>
    <t>GG/MESE</t>
  </si>
  <si>
    <t>Scarcina</t>
  </si>
  <si>
    <t xml:space="preserve">DOMANDA COMPLESSIVA PER PLANCIA </t>
  </si>
  <si>
    <t>PZ/MESE</t>
  </si>
  <si>
    <t>ORE/G.</t>
  </si>
  <si>
    <t>Zocco</t>
  </si>
  <si>
    <t>Stefano</t>
  </si>
  <si>
    <t>ORE/MESE</t>
  </si>
  <si>
    <t>Paradiso</t>
  </si>
  <si>
    <t>Francesco Pio</t>
  </si>
  <si>
    <t>Team A</t>
  </si>
  <si>
    <t>PLANCIA SEGMENTO A1</t>
  </si>
  <si>
    <t>Pellicanò</t>
  </si>
  <si>
    <t>Clarissa</t>
  </si>
  <si>
    <t>Zannotti</t>
  </si>
  <si>
    <t>Nicola</t>
  </si>
  <si>
    <t>PLANCIA SEGMENTO B</t>
  </si>
  <si>
    <t>Ruggirello</t>
  </si>
  <si>
    <t>Gioacchino</t>
  </si>
  <si>
    <t>Sinatra</t>
  </si>
  <si>
    <t>Giuseppe</t>
  </si>
  <si>
    <t>Ore Flores</t>
  </si>
  <si>
    <t>Akil</t>
  </si>
  <si>
    <t>Turzo</t>
  </si>
  <si>
    <t>Costantino</t>
  </si>
  <si>
    <t>COD.</t>
  </si>
  <si>
    <t>DESCRIZIONE CENTRI DI LAVORO PER MOTOSEGHE</t>
  </si>
  <si>
    <t>DISP
(A*)</t>
  </si>
  <si>
    <t>PERF
(P*)</t>
  </si>
  <si>
    <t>QUAL
(Q)</t>
  </si>
  <si>
    <t>A*</t>
  </si>
  <si>
    <t>disponibilità helle macchine/linee che tiene conto delle sole fermate per guasto/manutenzione</t>
  </si>
  <si>
    <t>Zanco</t>
  </si>
  <si>
    <t>Nicholas</t>
  </si>
  <si>
    <t>Tigri</t>
  </si>
  <si>
    <t>Andrea</t>
  </si>
  <si>
    <t>ASS_FIN</t>
  </si>
  <si>
    <t>ASSEMBLAGGIO FINALE</t>
  </si>
  <si>
    <t>P*</t>
  </si>
  <si>
    <t>Performance delle macchine/linee che tiene conto dei soli cli di velocità</t>
  </si>
  <si>
    <t>Palla</t>
  </si>
  <si>
    <t>Federico</t>
  </si>
  <si>
    <t>Team B</t>
  </si>
  <si>
    <t>SAL</t>
  </si>
  <si>
    <t>SALDATURA</t>
  </si>
  <si>
    <t>FREQUENZE DI RIFORN. E SS DEI MATER. A MAG. MP</t>
  </si>
  <si>
    <t>INTERVALLO
RIORDINO
[G]</t>
  </si>
  <si>
    <t>SCORTA
SICUREZZA
[G]</t>
  </si>
  <si>
    <t>COMP.STAMP. PLANCIA</t>
  </si>
  <si>
    <t>COMPONENTI SICUREZZA</t>
  </si>
  <si>
    <t>IMPIANTO ELETTRICO</t>
  </si>
  <si>
    <t>BULLONERIA</t>
  </si>
  <si>
    <t>DISTINTA BASE PRODOTTI</t>
  </si>
  <si>
    <t>LIVELLO DISTINTA BASE</t>
  </si>
  <si>
    <t>COD_ARTICOLO</t>
  </si>
  <si>
    <t>TIPO</t>
  </si>
  <si>
    <t>DESCRIZIONE</t>
  </si>
  <si>
    <t>COEFF.</t>
  </si>
  <si>
    <t>INT_ASS_001</t>
  </si>
  <si>
    <t>INT</t>
  </si>
  <si>
    <t>INT_SAL_001</t>
  </si>
  <si>
    <t>(CORPO + INSERTO) PLANCIA SEGMENTO A1</t>
  </si>
  <si>
    <t>EST_STAMP_001</t>
  </si>
  <si>
    <t>EST</t>
  </si>
  <si>
    <t>CORPO PLANCIA A1</t>
  </si>
  <si>
    <t>EST_STAMP_003</t>
  </si>
  <si>
    <t>INSERTO PLANCIA A1</t>
  </si>
  <si>
    <t>EST_STAMP_009</t>
  </si>
  <si>
    <t>CUPOLOTTO</t>
  </si>
  <si>
    <t>EST_SICUR_001</t>
  </si>
  <si>
    <t>CORPO AIR BAG</t>
  </si>
  <si>
    <t>EST_SICUR_002</t>
  </si>
  <si>
    <t>CORNICE AIR BAG</t>
  </si>
  <si>
    <t>EST_ELETTR_001</t>
  </si>
  <si>
    <t>CENTRALINA ELETTRONICA A1</t>
  </si>
  <si>
    <t>EST_ELETTR_005</t>
  </si>
  <si>
    <t>CAVO ELETTRICO COMPLETO</t>
  </si>
  <si>
    <t>INT_ASS_002</t>
  </si>
  <si>
    <t>INT_SAL_002</t>
  </si>
  <si>
    <t>(CORPO + INSERTO) PLANCIA SEGMENTO B</t>
  </si>
  <si>
    <t>EST_STAMP_002</t>
  </si>
  <si>
    <t>CORPO PLANCIA B</t>
  </si>
  <si>
    <t>EST_STAMP_004</t>
  </si>
  <si>
    <t>INSERTO PLANCIA B</t>
  </si>
  <si>
    <t>EST_ELETTR_003</t>
  </si>
  <si>
    <t>CENTRALINA ELETTRONICA B</t>
  </si>
  <si>
    <t>TIPO UDC</t>
  </si>
  <si>
    <t>UNITA' DI CARICO DEI SINGOLI ARTICOLI</t>
  </si>
  <si>
    <t>DIMENSIONI
Prof x Largh x Alt</t>
  </si>
  <si>
    <t>PZ/
UDC</t>
  </si>
  <si>
    <t>SOVRAPPONIBILI</t>
  </si>
  <si>
    <t>PED+SCA</t>
  </si>
  <si>
    <t>1800x800x800</t>
  </si>
  <si>
    <t>SPEC</t>
  </si>
  <si>
    <t>1600x800x600</t>
  </si>
  <si>
    <t>1400x800x600</t>
  </si>
  <si>
    <t>1000x800x800</t>
  </si>
  <si>
    <t>ODETTE</t>
  </si>
  <si>
    <t>600x400x320</t>
  </si>
  <si>
    <t>PESI  DEI SINGOLI ARTICOLI</t>
  </si>
  <si>
    <t>PESO UN. [kg]</t>
  </si>
  <si>
    <t>LAVORAZIONE</t>
  </si>
  <si>
    <t>N° LOTTI/MESE</t>
  </si>
  <si>
    <t>SET UP [min]</t>
  </si>
  <si>
    <t>TC [min]</t>
  </si>
  <si>
    <t>UN.</t>
  </si>
  <si>
    <t>IMPORTO</t>
  </si>
  <si>
    <t>Box di saldatura completi</t>
  </si>
  <si>
    <t>€/cad</t>
  </si>
  <si>
    <t>Linea di montaggio</t>
  </si>
  <si>
    <t>€/m</t>
  </si>
  <si>
    <t>Edificio industriale</t>
  </si>
  <si>
    <t>€/m2</t>
  </si>
  <si>
    <t>Impianti generali</t>
  </si>
  <si>
    <t>Scaffalature tradizionali</t>
  </si>
  <si>
    <t>€/vano</t>
  </si>
  <si>
    <t xml:space="preserve">Scaffalature drive in </t>
  </si>
  <si>
    <t>Scaffalature a gravità</t>
  </si>
  <si>
    <t>Carrelli a forche h sollev. 3m</t>
  </si>
  <si>
    <t>Carrelli a forche h sollev.  6m</t>
  </si>
  <si>
    <t>Carrelli trilaterali h soll &gt; 10 m</t>
  </si>
  <si>
    <t>Trasportatori a rulli folli</t>
  </si>
  <si>
    <t>Trasportatori a rulli motorizzati</t>
  </si>
  <si>
    <t>Trasportatori aerei a catena</t>
  </si>
  <si>
    <t>Portoni</t>
  </si>
  <si>
    <t>Bocche di carico</t>
  </si>
  <si>
    <t>Porte di sicurezza</t>
  </si>
  <si>
    <t>CODICE</t>
  </si>
  <si>
    <t>PADRE</t>
  </si>
  <si>
    <t>COEFF</t>
  </si>
  <si>
    <t>Q.TA' NETTA
[PZ/MESE]</t>
  </si>
  <si>
    <t>Q.TA' LORDA
[PZ/MESE]</t>
  </si>
  <si>
    <t>LIVELLI DI DISTINTA BASE</t>
  </si>
  <si>
    <t>DISTINTA BASE</t>
  </si>
  <si>
    <t>PROCESSI PRODUTTIVI</t>
  </si>
  <si>
    <t>ASSEMBLAGGIO</t>
  </si>
  <si>
    <t>SCARTI</t>
  </si>
  <si>
    <t>N°LOTTI/MESE</t>
  </si>
  <si>
    <t>LOTTO [PZ]</t>
  </si>
  <si>
    <t>Q.TA' PF (L=1500 + L=1750) [pz/mese]</t>
  </si>
  <si>
    <t>Ore Lavoro/mese</t>
  </si>
  <si>
    <t xml:space="preserve">LOTTO
[pz]
</t>
  </si>
  <si>
    <t xml:space="preserve">SET_UP
[min]
</t>
  </si>
  <si>
    <t xml:space="preserve">TC 
[min/pz]
</t>
  </si>
  <si>
    <t>T_POT
[min]</t>
  </si>
  <si>
    <t>T_DISP
[min]</t>
  </si>
  <si>
    <t>T_setup
[min]</t>
  </si>
  <si>
    <t>T_DISP_NETTO
[min]</t>
  </si>
  <si>
    <t>T_PROD
[min]</t>
  </si>
  <si>
    <t>TAKT
TIME
[min/pz]</t>
  </si>
  <si>
    <t>NUM
POST (LINEE)
TEORICO</t>
  </si>
  <si>
    <t>NUM
POST (LINEE)
EFFETIVO</t>
  </si>
  <si>
    <t>Q.TA' PF L=1500 [pz/mese]</t>
  </si>
  <si>
    <t>GG Lavoro/mese</t>
  </si>
  <si>
    <t>Q.TA' PF L=1750 [pz/mese]</t>
  </si>
  <si>
    <t>Ore/ giorno</t>
  </si>
  <si>
    <t>TIPO PLANCIA</t>
  </si>
  <si>
    <t>TOTALE</t>
  </si>
  <si>
    <t>A1</t>
  </si>
  <si>
    <t>B</t>
  </si>
  <si>
    <t>N. POST
TEORICO</t>
  </si>
  <si>
    <t>N. LINEE
EFFETTIVO</t>
  </si>
  <si>
    <t>N. POST/LINEA
EFFETTIVO</t>
  </si>
  <si>
    <t>T_POT linea</t>
  </si>
  <si>
    <t>T_netto linea</t>
  </si>
  <si>
    <t>A_linea</t>
  </si>
  <si>
    <t>P</t>
  </si>
  <si>
    <t>SATURAZ%
linea</t>
  </si>
  <si>
    <t>P_linea</t>
  </si>
  <si>
    <t>Q</t>
  </si>
  <si>
    <t xml:space="preserve">OEE
linea
</t>
  </si>
  <si>
    <t>REPARTO</t>
  </si>
  <si>
    <t>N. POST
EFFETTIVO</t>
  </si>
  <si>
    <t>T_POT Reparto</t>
  </si>
  <si>
    <t>T_netto reparto</t>
  </si>
  <si>
    <t>A_rep</t>
  </si>
  <si>
    <t>SATURAZ%</t>
  </si>
  <si>
    <t>P_rep</t>
  </si>
  <si>
    <t>OEE</t>
  </si>
  <si>
    <t>Q.TA' PF (B + D)</t>
  </si>
  <si>
    <t>PZ/G.</t>
  </si>
  <si>
    <r>
      <t xml:space="preserve">FABBISOGNI MENSILI
</t>
    </r>
    <r>
      <rPr>
        <sz val="12"/>
        <color theme="1"/>
        <rFont val="Calibri"/>
        <family val="2"/>
        <scheme val="minor"/>
      </rPr>
      <t>(UDC MOVIMENTATE IN UN MESE)</t>
    </r>
  </si>
  <si>
    <r>
      <t xml:space="preserve">CAPACITA' MAGAZZINI E BUFFER
</t>
    </r>
    <r>
      <rPr>
        <sz val="12"/>
        <color theme="1"/>
        <rFont val="Calibri"/>
        <family val="2"/>
        <scheme val="minor"/>
      </rPr>
      <t>(Q.TA' MAX PER IL DIMENSIONAMENTO)</t>
    </r>
  </si>
  <si>
    <t>Q.TA' PF B</t>
  </si>
  <si>
    <t>GG LAVORO/MESE</t>
  </si>
  <si>
    <t>Q.TA' PF D</t>
  </si>
  <si>
    <t>%S.S.</t>
  </si>
  <si>
    <t>TIPO
UDC</t>
  </si>
  <si>
    <t>DIM 
UDC</t>
  </si>
  <si>
    <t>PZ/UDC</t>
  </si>
  <si>
    <t>NUM.
UDC</t>
  </si>
  <si>
    <t xml:space="preserve">LOTTO </t>
  </si>
  <si>
    <t>SS</t>
  </si>
  <si>
    <t>GG cop</t>
  </si>
  <si>
    <t>IR</t>
  </si>
  <si>
    <t>codici ord.</t>
  </si>
  <si>
    <t>Ir</t>
  </si>
  <si>
    <t>Ir ord.</t>
  </si>
  <si>
    <t>percentuale</t>
  </si>
  <si>
    <t>cumulata</t>
  </si>
  <si>
    <t>ARTICOLI A MAGAZZINO MATERIE PRIME</t>
  </si>
  <si>
    <t>somma</t>
  </si>
  <si>
    <t>ARTICOLI A MAGAZZINO PF</t>
  </si>
  <si>
    <t>CODICI NEL BUFFER SEMILAVORATI</t>
  </si>
  <si>
    <t>MOVIMENTI MENSILI [UDC pieni]</t>
  </si>
  <si>
    <t xml:space="preserve">DA / A </t>
  </si>
  <si>
    <t>MAG. MP</t>
  </si>
  <si>
    <t>MAG. PF</t>
  </si>
  <si>
    <t>BUFF_SALD</t>
  </si>
  <si>
    <t>SALD</t>
  </si>
  <si>
    <t>Con Odette NON pallettizzate</t>
  </si>
  <si>
    <t>INGRESSI A MAG_MP
UDC/MESE</t>
  </si>
  <si>
    <t>UDC SPEC
1600X800X600</t>
  </si>
  <si>
    <t>UDC PED+SCA
1000X800X800</t>
  </si>
  <si>
    <t>UDC PED+SCA
1400X800X600</t>
  </si>
  <si>
    <t>ODETTE
600X400X320</t>
  </si>
  <si>
    <t>….</t>
  </si>
  <si>
    <t>USCITE DA 
MAG_PF
UDC/MESE</t>
  </si>
  <si>
    <t>UDC PED+SCA
1800X800X800</t>
  </si>
  <si>
    <t>COD</t>
  </si>
  <si>
    <t>DESCRIZIONE OPERAZIONI</t>
  </si>
  <si>
    <t>PREC.</t>
  </si>
  <si>
    <t>T_base
[min]</t>
  </si>
  <si>
    <t>T_op
[min]</t>
  </si>
  <si>
    <t>RPW</t>
  </si>
  <si>
    <t>SUCCESSORI</t>
  </si>
  <si>
    <t>A</t>
  </si>
  <si>
    <t>Prelevare complessivo semilavorato saldato da contenitore e posizionare su attrezzatura</t>
  </si>
  <si>
    <t>-</t>
  </si>
  <si>
    <t>B,C,D,E,F,G,H,I,L,M,N,S</t>
  </si>
  <si>
    <t>Prelevare componenti vari e fissare su semilavorato saldato</t>
  </si>
  <si>
    <t>C,D,E,F,G,H,I,L,M,N,S</t>
  </si>
  <si>
    <t>Grafo operazioni A1</t>
  </si>
  <si>
    <t>C</t>
  </si>
  <si>
    <t>Prelevare componenti e avvitare componenti e supporti su semilavorato saldato</t>
  </si>
  <si>
    <t>D,E,F,G,H,I,L,M,N,S</t>
  </si>
  <si>
    <t>D</t>
  </si>
  <si>
    <t>Prelevare cupolotto e fissare</t>
  </si>
  <si>
    <t>E,F,G,H,I,L,M,N,S</t>
  </si>
  <si>
    <t>E</t>
  </si>
  <si>
    <t>Rovesciare semilavorato complessivo con cupolotto</t>
  </si>
  <si>
    <t>F,G,H,I,L,M,N,S</t>
  </si>
  <si>
    <t>F</t>
  </si>
  <si>
    <t>Prelevare centralina elettronica e posizionare su semilavorato</t>
  </si>
  <si>
    <t>G,H,I,L,M,N,S</t>
  </si>
  <si>
    <t>G</t>
  </si>
  <si>
    <t>Prelevare cavo elettrico completo e posizionare su semilavorato</t>
  </si>
  <si>
    <t>H,I,L,M,N,S</t>
  </si>
  <si>
    <t>H</t>
  </si>
  <si>
    <t>Prelevare viti di bloccaggio e chiudere</t>
  </si>
  <si>
    <t>G,F</t>
  </si>
  <si>
    <t>I,L,M,N,S</t>
  </si>
  <si>
    <t>I</t>
  </si>
  <si>
    <t>Rovesciare complessivo semilavorato</t>
  </si>
  <si>
    <t>L,M,N,S</t>
  </si>
  <si>
    <t>L</t>
  </si>
  <si>
    <t>Prelevare corpo air bag e posizionare su semialvorato</t>
  </si>
  <si>
    <t>M,N,S</t>
  </si>
  <si>
    <t>M</t>
  </si>
  <si>
    <t>Prelevare cornice air bag e posizionare su semialvorato</t>
  </si>
  <si>
    <t>N,S</t>
  </si>
  <si>
    <t>N</t>
  </si>
  <si>
    <t>L,M</t>
  </si>
  <si>
    <t>S</t>
  </si>
  <si>
    <t>Prelevare scatola e inserire Plancia</t>
  </si>
  <si>
    <t>/</t>
  </si>
  <si>
    <t>PST_10</t>
  </si>
  <si>
    <t>PST_20</t>
  </si>
  <si>
    <t>PST_30</t>
  </si>
  <si>
    <t>PST_40</t>
  </si>
  <si>
    <t>LA COSTRUZIONE DEL GRAFO DELLE OPERAZIONI E' A CURA DEGLI STUDENTI</t>
  </si>
  <si>
    <t>COEFFICIENTE PER DIVERSIFICARE I TEMPI DELLE OPERAZIONI SULLE LINEE DI ASSEMBLAGGIO</t>
  </si>
  <si>
    <t>Σ TC</t>
  </si>
  <si>
    <t>Σ TLAV</t>
  </si>
  <si>
    <t>TC reale</t>
  </si>
  <si>
    <t>TC</t>
  </si>
  <si>
    <t>TLAV</t>
  </si>
  <si>
    <t>GRUPPO_1</t>
  </si>
  <si>
    <t>GRUPPO_2</t>
  </si>
  <si>
    <t>GRUPPO_3</t>
  </si>
  <si>
    <t>ATTENZIONE L'ALLOCAZIONE DELLE OPERAZIONI DI MONTAGGIO ALLE STAZIONI DELLA LINEA DEVE ESSERE FATTO DAGLI STUDENTI</t>
  </si>
  <si>
    <t>GRUPPO_4</t>
  </si>
  <si>
    <t>GRUPPO_5</t>
  </si>
  <si>
    <t>GRUPPO_6</t>
  </si>
  <si>
    <t>GRUPPO_7</t>
  </si>
  <si>
    <t>GRUPPO_8</t>
  </si>
  <si>
    <t>GRUPPO_9</t>
  </si>
  <si>
    <t>GRUPPO_10</t>
  </si>
  <si>
    <t>Grafo operazioni B</t>
  </si>
  <si>
    <t>B,C,D,E,F,G,H,I,L,M,N,O,P,Q,R,S</t>
  </si>
  <si>
    <t>C,D,E,F,G,H,I,L,M,N,O,P,Q,R,S</t>
  </si>
  <si>
    <t>D,E,F,G,H,I,L,M,N,O,P,Q,R,S</t>
  </si>
  <si>
    <t>E,F,G,H,I,L,M,N,O,P,Q,R,S</t>
  </si>
  <si>
    <t>F,G,H,I,L,M,N,O,P,Q,R,S</t>
  </si>
  <si>
    <t>G,H,I,L,M,N,O,P,Q,R,S</t>
  </si>
  <si>
    <t>H,I,L,M,N,O,P,Q,R,S</t>
  </si>
  <si>
    <t>I,L,M,N,O,P,Q,R,S</t>
  </si>
  <si>
    <t>L,M,N,O,P,Q,R,S</t>
  </si>
  <si>
    <t>M,N,O,P,Q,R,S</t>
  </si>
  <si>
    <t>N,O,P,Q,R,S</t>
  </si>
  <si>
    <t>O,P,Q,R,S</t>
  </si>
  <si>
    <t>O</t>
  </si>
  <si>
    <t>Prelevare componenti di climatizzazione</t>
  </si>
  <si>
    <t>P,Q,R,S</t>
  </si>
  <si>
    <t>Q,R,S</t>
  </si>
  <si>
    <t>Prelevare cassetto laterale e montare</t>
  </si>
  <si>
    <t>R,S</t>
  </si>
  <si>
    <t>R</t>
  </si>
  <si>
    <t xml:space="preserve">S </t>
  </si>
  <si>
    <t>PST_50</t>
  </si>
  <si>
    <t>PST_60</t>
  </si>
  <si>
    <t>PST_70</t>
  </si>
  <si>
    <t>PST_80</t>
  </si>
  <si>
    <t>PST_90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</si>
</sst>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"/>
    <numFmt numFmtId="166" formatCode="0.0000"/>
    <numFmt numFmtId="167" formatCode="#,##0.000"/>
    <numFmt numFmtId="168" formatCode="0.000"/>
  </numFmts>
  <fonts count="3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6"/>
      <color theme="1"/>
      <name val="Calibri"/>
      <family val="2"/>
      <scheme val="minor"/>
    </font>
    <font>
      <b/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DD7EE"/>
        <bgColor rgb="FF000000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dashDot">
        <color indexed="64"/>
      </left>
      <right/>
      <top style="dashDot">
        <color indexed="64"/>
      </top>
      <bottom/>
      <diagonal/>
    </border>
    <border>
      <left/>
      <right/>
      <top style="dashDot">
        <color indexed="64"/>
      </top>
      <bottom/>
      <diagonal/>
    </border>
    <border>
      <left/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/>
      <top/>
      <bottom/>
      <diagonal/>
    </border>
    <border>
      <left/>
      <right style="dashDot">
        <color indexed="64"/>
      </right>
      <top/>
      <bottom/>
      <diagonal/>
    </border>
    <border>
      <left style="dashDot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dashDot">
        <color indexed="64"/>
      </right>
      <top/>
      <bottom style="dashDot">
        <color indexed="64"/>
      </bottom>
      <diagonal/>
    </border>
    <border>
      <left/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ashDot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9" fontId="18" fillId="0" borderId="0" applyFont="0" applyFill="0" applyBorder="0" applyAlignment="0" applyProtection="0"/>
  </cellStyleXfs>
  <cellXfs count="557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64" fontId="0" fillId="2" borderId="0" xfId="0" applyNumberFormat="1" applyFill="1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3" fillId="0" borderId="0" xfId="0" applyFont="1" applyAlignment="1">
      <alignment vertical="center" textRotation="90" wrapText="1"/>
    </xf>
    <xf numFmtId="0" fontId="0" fillId="0" borderId="1" xfId="0" applyBorder="1"/>
    <xf numFmtId="2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3" fontId="0" fillId="0" borderId="1" xfId="0" applyNumberForma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2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1" xfId="0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3" fontId="8" fillId="0" borderId="0" xfId="0" applyNumberFormat="1" applyFont="1" applyAlignment="1">
      <alignment horizontal="center"/>
    </xf>
    <xf numFmtId="3" fontId="0" fillId="0" borderId="14" xfId="0" applyNumberFormat="1" applyBorder="1" applyAlignment="1">
      <alignment horizontal="center" vertical="center"/>
    </xf>
    <xf numFmtId="3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6" fontId="0" fillId="0" borderId="15" xfId="0" applyNumberFormat="1" applyBorder="1"/>
    <xf numFmtId="0" fontId="0" fillId="0" borderId="11" xfId="0" applyBorder="1"/>
    <xf numFmtId="0" fontId="3" fillId="2" borderId="1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2" fontId="12" fillId="0" borderId="42" xfId="0" applyNumberFormat="1" applyFont="1" applyBorder="1" applyAlignment="1">
      <alignment horizontal="center" vertical="center"/>
    </xf>
    <xf numFmtId="166" fontId="0" fillId="0" borderId="16" xfId="0" applyNumberFormat="1" applyBorder="1"/>
    <xf numFmtId="0" fontId="0" fillId="8" borderId="1" xfId="0" applyFill="1" applyBorder="1" applyAlignment="1">
      <alignment horizontal="center" vertical="center"/>
    </xf>
    <xf numFmtId="10" fontId="0" fillId="0" borderId="0" xfId="0" applyNumberFormat="1"/>
    <xf numFmtId="0" fontId="0" fillId="0" borderId="0" xfId="0" applyAlignment="1">
      <alignment horizontal="left"/>
    </xf>
    <xf numFmtId="0" fontId="15" fillId="0" borderId="0" xfId="0" applyFont="1" applyAlignment="1">
      <alignment horizontal="center"/>
    </xf>
    <xf numFmtId="166" fontId="0" fillId="0" borderId="0" xfId="0" applyNumberFormat="1"/>
    <xf numFmtId="0" fontId="0" fillId="0" borderId="15" xfId="0" applyBorder="1"/>
    <xf numFmtId="0" fontId="19" fillId="3" borderId="1" xfId="0" applyFont="1" applyFill="1" applyBorder="1" applyAlignment="1">
      <alignment horizontal="center" vertical="center"/>
    </xf>
    <xf numFmtId="0" fontId="19" fillId="0" borderId="0" xfId="0" applyFont="1"/>
    <xf numFmtId="2" fontId="19" fillId="3" borderId="20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2" fontId="0" fillId="0" borderId="0" xfId="0" applyNumberFormat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2" fontId="7" fillId="0" borderId="10" xfId="0" applyNumberFormat="1" applyFont="1" applyBorder="1" applyAlignment="1">
      <alignment horizontal="center" vertical="center"/>
    </xf>
    <xf numFmtId="2" fontId="7" fillId="8" borderId="16" xfId="0" applyNumberFormat="1" applyFont="1" applyFill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4" fontId="0" fillId="0" borderId="15" xfId="0" applyNumberFormat="1" applyBorder="1" applyAlignment="1">
      <alignment horizontal="center" vertical="center"/>
    </xf>
    <xf numFmtId="0" fontId="16" fillId="8" borderId="11" xfId="0" applyFont="1" applyFill="1" applyBorder="1" applyAlignment="1">
      <alignment horizontal="center" vertical="center"/>
    </xf>
    <xf numFmtId="4" fontId="0" fillId="0" borderId="16" xfId="0" applyNumberForma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164" fontId="0" fillId="2" borderId="15" xfId="0" applyNumberFormat="1" applyFill="1" applyBorder="1"/>
    <xf numFmtId="0" fontId="0" fillId="0" borderId="9" xfId="0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164" fontId="0" fillId="8" borderId="15" xfId="0" applyNumberForma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2" fontId="7" fillId="0" borderId="12" xfId="0" applyNumberFormat="1" applyFont="1" applyBorder="1" applyAlignment="1">
      <alignment horizontal="center" vertical="center"/>
    </xf>
    <xf numFmtId="2" fontId="7" fillId="0" borderId="14" xfId="0" applyNumberFormat="1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0" fillId="0" borderId="43" xfId="0" applyBorder="1"/>
    <xf numFmtId="0" fontId="0" fillId="0" borderId="28" xfId="0" applyBorder="1"/>
    <xf numFmtId="0" fontId="0" fillId="0" borderId="8" xfId="0" applyBorder="1"/>
    <xf numFmtId="0" fontId="0" fillId="0" borderId="2" xfId="0" applyBorder="1"/>
    <xf numFmtId="0" fontId="0" fillId="9" borderId="1" xfId="0" applyFill="1" applyBorder="1"/>
    <xf numFmtId="0" fontId="0" fillId="10" borderId="1" xfId="0" applyFill="1" applyBorder="1"/>
    <xf numFmtId="0" fontId="4" fillId="0" borderId="0" xfId="0" applyFont="1"/>
    <xf numFmtId="0" fontId="0" fillId="0" borderId="57" xfId="0" applyBorder="1"/>
    <xf numFmtId="0" fontId="0" fillId="0" borderId="58" xfId="0" applyBorder="1"/>
    <xf numFmtId="0" fontId="0" fillId="0" borderId="60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30" xfId="0" applyBorder="1"/>
    <xf numFmtId="0" fontId="3" fillId="2" borderId="0" xfId="0" applyFont="1" applyFill="1"/>
    <xf numFmtId="0" fontId="0" fillId="0" borderId="67" xfId="0" applyBorder="1"/>
    <xf numFmtId="0" fontId="3" fillId="0" borderId="0" xfId="0" applyFont="1"/>
    <xf numFmtId="0" fontId="3" fillId="0" borderId="0" xfId="0" applyFont="1" applyAlignment="1">
      <alignment vertical="center"/>
    </xf>
    <xf numFmtId="168" fontId="0" fillId="0" borderId="0" xfId="0" applyNumberFormat="1"/>
    <xf numFmtId="165" fontId="0" fillId="0" borderId="0" xfId="0" applyNumberFormat="1"/>
    <xf numFmtId="2" fontId="19" fillId="3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3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Alignment="1">
      <alignment vertical="center" wrapText="1"/>
    </xf>
    <xf numFmtId="0" fontId="3" fillId="10" borderId="13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3" fontId="0" fillId="10" borderId="0" xfId="0" applyNumberFormat="1" applyFill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3" fontId="0" fillId="10" borderId="15" xfId="0" applyNumberFormat="1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3" fontId="0" fillId="10" borderId="16" xfId="0" applyNumberFormat="1" applyFill="1" applyBorder="1" applyAlignment="1">
      <alignment horizontal="center" vertical="center"/>
    </xf>
    <xf numFmtId="3" fontId="0" fillId="10" borderId="1" xfId="0" applyNumberFormat="1" applyFill="1" applyBorder="1"/>
    <xf numFmtId="3" fontId="0" fillId="10" borderId="1" xfId="0" applyNumberFormat="1" applyFill="1" applyBorder="1" applyAlignment="1">
      <alignment horizontal="center" vertical="center"/>
    </xf>
    <xf numFmtId="2" fontId="0" fillId="10" borderId="1" xfId="0" applyNumberFormat="1" applyFill="1" applyBorder="1" applyAlignment="1">
      <alignment horizontal="center" vertical="center"/>
    </xf>
    <xf numFmtId="3" fontId="0" fillId="10" borderId="1" xfId="0" applyNumberFormat="1" applyFill="1" applyBorder="1" applyAlignment="1">
      <alignment horizontal="center"/>
    </xf>
    <xf numFmtId="4" fontId="0" fillId="10" borderId="1" xfId="0" applyNumberFormat="1" applyFill="1" applyBorder="1" applyAlignment="1">
      <alignment horizontal="center"/>
    </xf>
    <xf numFmtId="4" fontId="0" fillId="10" borderId="1" xfId="0" applyNumberFormat="1" applyFill="1" applyBorder="1" applyAlignment="1">
      <alignment horizontal="center" vertical="center"/>
    </xf>
    <xf numFmtId="166" fontId="0" fillId="10" borderId="1" xfId="0" applyNumberFormat="1" applyFill="1" applyBorder="1" applyAlignment="1">
      <alignment horizontal="center" vertical="center"/>
    </xf>
    <xf numFmtId="2" fontId="12" fillId="10" borderId="1" xfId="0" applyNumberFormat="1" applyFont="1" applyFill="1" applyBorder="1" applyAlignment="1">
      <alignment horizontal="center" vertical="center"/>
    </xf>
    <xf numFmtId="3" fontId="15" fillId="10" borderId="1" xfId="0" applyNumberFormat="1" applyFont="1" applyFill="1" applyBorder="1" applyAlignment="1">
      <alignment horizontal="center"/>
    </xf>
    <xf numFmtId="2" fontId="0" fillId="10" borderId="1" xfId="0" applyNumberFormat="1" applyFill="1" applyBorder="1" applyAlignment="1">
      <alignment vertical="center"/>
    </xf>
    <xf numFmtId="10" fontId="16" fillId="10" borderId="1" xfId="0" applyNumberFormat="1" applyFont="1" applyFill="1" applyBorder="1" applyAlignment="1">
      <alignment vertical="center"/>
    </xf>
    <xf numFmtId="0" fontId="15" fillId="10" borderId="1" xfId="0" applyFont="1" applyFill="1" applyBorder="1" applyAlignment="1">
      <alignment horizontal="center"/>
    </xf>
    <xf numFmtId="2" fontId="3" fillId="10" borderId="1" xfId="0" applyNumberFormat="1" applyFont="1" applyFill="1" applyBorder="1" applyAlignment="1">
      <alignment vertical="center"/>
    </xf>
    <xf numFmtId="10" fontId="16" fillId="10" borderId="1" xfId="1" applyNumberFormat="1" applyFont="1" applyFill="1" applyBorder="1" applyAlignment="1">
      <alignment horizontal="center" vertical="center"/>
    </xf>
    <xf numFmtId="168" fontId="0" fillId="10" borderId="1" xfId="0" applyNumberFormat="1" applyFill="1" applyBorder="1" applyAlignment="1">
      <alignment horizontal="center" vertical="center"/>
    </xf>
    <xf numFmtId="9" fontId="16" fillId="10" borderId="41" xfId="0" applyNumberFormat="1" applyFont="1" applyFill="1" applyBorder="1" applyAlignment="1">
      <alignment horizontal="center" vertical="center"/>
    </xf>
    <xf numFmtId="2" fontId="19" fillId="10" borderId="1" xfId="0" applyNumberFormat="1" applyFont="1" applyFill="1" applyBorder="1" applyAlignment="1">
      <alignment horizontal="center" vertical="center"/>
    </xf>
    <xf numFmtId="0" fontId="7" fillId="10" borderId="12" xfId="0" applyFont="1" applyFill="1" applyBorder="1" applyAlignment="1">
      <alignment horizontal="center" vertical="center"/>
    </xf>
    <xf numFmtId="2" fontId="0" fillId="10" borderId="14" xfId="0" applyNumberForma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2" fontId="0" fillId="10" borderId="15" xfId="0" applyNumberFormat="1" applyFill="1" applyBorder="1" applyAlignment="1">
      <alignment horizontal="center" vertical="center"/>
    </xf>
    <xf numFmtId="0" fontId="7" fillId="10" borderId="10" xfId="0" applyFont="1" applyFill="1" applyBorder="1" applyAlignment="1">
      <alignment horizontal="center" vertical="center"/>
    </xf>
    <xf numFmtId="2" fontId="0" fillId="10" borderId="16" xfId="0" applyNumberFormat="1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0" xfId="0" applyFill="1" applyBorder="1"/>
    <xf numFmtId="0" fontId="0" fillId="10" borderId="16" xfId="0" applyFill="1" applyBorder="1"/>
    <xf numFmtId="2" fontId="0" fillId="10" borderId="52" xfId="0" applyNumberFormat="1" applyFill="1" applyBorder="1" applyAlignment="1">
      <alignment horizontal="center" vertical="center"/>
    </xf>
    <xf numFmtId="0" fontId="0" fillId="10" borderId="15" xfId="0" applyFill="1" applyBorder="1"/>
    <xf numFmtId="2" fontId="0" fillId="10" borderId="54" xfId="0" applyNumberFormat="1" applyFill="1" applyBorder="1" applyAlignment="1">
      <alignment horizontal="center" vertical="center"/>
    </xf>
    <xf numFmtId="0" fontId="0" fillId="0" borderId="0" xfId="0" applyAlignment="1">
      <alignment wrapText="1"/>
    </xf>
    <xf numFmtId="9" fontId="16" fillId="10" borderId="1" xfId="0" applyNumberFormat="1" applyFont="1" applyFill="1" applyBorder="1" applyAlignment="1">
      <alignment horizontal="center" vertical="center"/>
    </xf>
    <xf numFmtId="10" fontId="16" fillId="10" borderId="5" xfId="1" applyNumberFormat="1" applyFont="1" applyFill="1" applyBorder="1" applyAlignment="1">
      <alignment vertical="center"/>
    </xf>
    <xf numFmtId="10" fontId="16" fillId="10" borderId="18" xfId="1" applyNumberFormat="1" applyFont="1" applyFill="1" applyBorder="1" applyAlignment="1">
      <alignment vertical="center"/>
    </xf>
    <xf numFmtId="10" fontId="16" fillId="10" borderId="1" xfId="1" applyNumberFormat="1" applyFont="1" applyFill="1" applyBorder="1" applyAlignment="1">
      <alignment vertical="center"/>
    </xf>
    <xf numFmtId="1" fontId="0" fillId="10" borderId="1" xfId="0" applyNumberFormat="1" applyFill="1" applyBorder="1" applyAlignment="1">
      <alignment vertical="center"/>
    </xf>
    <xf numFmtId="1" fontId="16" fillId="10" borderId="1" xfId="1" applyNumberFormat="1" applyFont="1" applyFill="1" applyBorder="1" applyAlignment="1">
      <alignment vertical="center"/>
    </xf>
    <xf numFmtId="167" fontId="0" fillId="10" borderId="1" xfId="0" applyNumberFormat="1" applyFill="1" applyBorder="1" applyAlignment="1">
      <alignment horizontal="center" vertical="center"/>
    </xf>
    <xf numFmtId="0" fontId="34" fillId="0" borderId="0" xfId="0" applyFont="1"/>
    <xf numFmtId="2" fontId="34" fillId="0" borderId="0" xfId="0" applyNumberFormat="1" applyFont="1"/>
    <xf numFmtId="10" fontId="34" fillId="0" borderId="0" xfId="0" applyNumberFormat="1" applyFont="1"/>
    <xf numFmtId="0" fontId="0" fillId="10" borderId="4" xfId="0" applyFill="1" applyBorder="1" applyAlignment="1">
      <alignment horizontal="center" vertical="center"/>
    </xf>
    <xf numFmtId="3" fontId="0" fillId="10" borderId="8" xfId="0" applyNumberFormat="1" applyFill="1" applyBorder="1" applyAlignment="1">
      <alignment horizontal="center"/>
    </xf>
    <xf numFmtId="3" fontId="0" fillId="10" borderId="30" xfId="0" applyNumberFormat="1" applyFill="1" applyBorder="1" applyAlignment="1">
      <alignment horizontal="center"/>
    </xf>
    <xf numFmtId="3" fontId="0" fillId="10" borderId="43" xfId="0" applyNumberForma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0" borderId="30" xfId="0" applyBorder="1" applyAlignment="1">
      <alignment horizontal="center"/>
    </xf>
    <xf numFmtId="3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3" fontId="0" fillId="10" borderId="0" xfId="0" applyNumberFormat="1" applyFill="1" applyAlignment="1">
      <alignment horizontal="center"/>
    </xf>
    <xf numFmtId="3" fontId="27" fillId="10" borderId="0" xfId="0" applyNumberFormat="1" applyFont="1" applyFill="1" applyAlignment="1">
      <alignment horizontal="center"/>
    </xf>
    <xf numFmtId="1" fontId="27" fillId="10" borderId="0" xfId="0" applyNumberFormat="1" applyFont="1" applyFill="1" applyAlignment="1">
      <alignment horizontal="center" vertical="center"/>
    </xf>
    <xf numFmtId="165" fontId="0" fillId="10" borderId="0" xfId="0" applyNumberFormat="1" applyFill="1" applyAlignment="1">
      <alignment horizontal="center" vertical="center"/>
    </xf>
    <xf numFmtId="0" fontId="0" fillId="0" borderId="4" xfId="0" applyBorder="1" applyAlignment="1">
      <alignment horizontal="center"/>
    </xf>
    <xf numFmtId="3" fontId="0" fillId="10" borderId="4" xfId="0" applyNumberFormat="1" applyFill="1" applyBorder="1" applyAlignment="1">
      <alignment horizontal="center"/>
    </xf>
    <xf numFmtId="3" fontId="0" fillId="10" borderId="4" xfId="0" applyNumberFormat="1" applyFill="1" applyBorder="1" applyAlignment="1">
      <alignment horizontal="center" vertical="center"/>
    </xf>
    <xf numFmtId="3" fontId="27" fillId="10" borderId="4" xfId="0" applyNumberFormat="1" applyFont="1" applyFill="1" applyBorder="1" applyAlignment="1">
      <alignment horizontal="center"/>
    </xf>
    <xf numFmtId="1" fontId="27" fillId="10" borderId="4" xfId="0" applyNumberFormat="1" applyFont="1" applyFill="1" applyBorder="1" applyAlignment="1">
      <alignment horizontal="center" vertical="center"/>
    </xf>
    <xf numFmtId="165" fontId="0" fillId="10" borderId="4" xfId="0" applyNumberFormat="1" applyFill="1" applyBorder="1" applyAlignment="1">
      <alignment horizontal="center" vertical="center"/>
    </xf>
    <xf numFmtId="2" fontId="0" fillId="10" borderId="7" xfId="0" applyNumberFormat="1" applyFill="1" applyBorder="1" applyAlignment="1">
      <alignment horizontal="center"/>
    </xf>
    <xf numFmtId="2" fontId="0" fillId="10" borderId="28" xfId="0" applyNumberFormat="1" applyFill="1" applyBorder="1" applyAlignment="1">
      <alignment horizontal="center"/>
    </xf>
    <xf numFmtId="3" fontId="0" fillId="10" borderId="30" xfId="0" applyNumberFormat="1" applyFill="1" applyBorder="1" applyAlignment="1">
      <alignment horizontal="center" vertical="center"/>
    </xf>
    <xf numFmtId="3" fontId="27" fillId="10" borderId="30" xfId="0" applyNumberFormat="1" applyFont="1" applyFill="1" applyBorder="1" applyAlignment="1">
      <alignment horizontal="center"/>
    </xf>
    <xf numFmtId="1" fontId="27" fillId="10" borderId="30" xfId="0" applyNumberFormat="1" applyFont="1" applyFill="1" applyBorder="1" applyAlignment="1">
      <alignment horizontal="center" vertical="center"/>
    </xf>
    <xf numFmtId="165" fontId="0" fillId="10" borderId="30" xfId="0" applyNumberFormat="1" applyFill="1" applyBorder="1" applyAlignment="1">
      <alignment horizontal="center" vertical="center"/>
    </xf>
    <xf numFmtId="2" fontId="0" fillId="10" borderId="2" xfId="0" applyNumberFormat="1" applyFill="1" applyBorder="1" applyAlignment="1">
      <alignment horizontal="center"/>
    </xf>
    <xf numFmtId="1" fontId="0" fillId="10" borderId="4" xfId="0" applyNumberFormat="1" applyFill="1" applyBorder="1" applyAlignment="1">
      <alignment horizontal="center" vertical="center"/>
    </xf>
    <xf numFmtId="1" fontId="0" fillId="10" borderId="4" xfId="0" applyNumberFormat="1" applyFill="1" applyBorder="1" applyAlignment="1">
      <alignment horizontal="center"/>
    </xf>
    <xf numFmtId="1" fontId="0" fillId="10" borderId="30" xfId="0" applyNumberFormat="1" applyFill="1" applyBorder="1" applyAlignment="1">
      <alignment horizontal="center" vertical="center"/>
    </xf>
    <xf numFmtId="1" fontId="0" fillId="10" borderId="30" xfId="0" applyNumberFormat="1" applyFill="1" applyBorder="1" applyAlignment="1">
      <alignment horizontal="center"/>
    </xf>
    <xf numFmtId="3" fontId="0" fillId="10" borderId="6" xfId="0" applyNumberFormat="1" applyFill="1" applyBorder="1" applyAlignment="1">
      <alignment horizontal="center"/>
    </xf>
    <xf numFmtId="3" fontId="27" fillId="10" borderId="6" xfId="0" applyNumberFormat="1" applyFont="1" applyFill="1" applyBorder="1" applyAlignment="1">
      <alignment horizontal="center"/>
    </xf>
    <xf numFmtId="3" fontId="27" fillId="10" borderId="43" xfId="0" applyNumberFormat="1" applyFont="1" applyFill="1" applyBorder="1" applyAlignment="1">
      <alignment horizontal="center"/>
    </xf>
    <xf numFmtId="3" fontId="27" fillId="10" borderId="8" xfId="0" applyNumberFormat="1" applyFont="1" applyFill="1" applyBorder="1" applyAlignment="1">
      <alignment horizontal="center"/>
    </xf>
    <xf numFmtId="1" fontId="0" fillId="10" borderId="6" xfId="0" applyNumberFormat="1" applyFill="1" applyBorder="1" applyAlignment="1">
      <alignment horizontal="center" vertical="center"/>
    </xf>
    <xf numFmtId="1" fontId="0" fillId="10" borderId="8" xfId="0" applyNumberFormat="1" applyFill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4" fillId="0" borderId="5" xfId="0" applyFont="1" applyBorder="1" applyAlignment="1">
      <alignment horizontal="left" vertical="center"/>
    </xf>
    <xf numFmtId="0" fontId="24" fillId="0" borderId="3" xfId="0" applyFont="1" applyBorder="1" applyAlignment="1">
      <alignment horizontal="left" vertical="center"/>
    </xf>
    <xf numFmtId="0" fontId="24" fillId="0" borderId="18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" fontId="0" fillId="0" borderId="1" xfId="0" applyNumberFormat="1" applyBorder="1" applyAlignment="1">
      <alignment horizontal="right" vertical="center"/>
    </xf>
    <xf numFmtId="4" fontId="0" fillId="0" borderId="15" xfId="0" applyNumberFormat="1" applyBorder="1" applyAlignment="1">
      <alignment horizontal="righ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6" fillId="0" borderId="1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/>
    </xf>
    <xf numFmtId="0" fontId="24" fillId="0" borderId="18" xfId="0" applyFont="1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4" fontId="0" fillId="0" borderId="11" xfId="0" applyNumberFormat="1" applyBorder="1" applyAlignment="1">
      <alignment horizontal="right" vertical="center"/>
    </xf>
    <xf numFmtId="4" fontId="0" fillId="0" borderId="16" xfId="0" applyNumberFormat="1" applyBorder="1" applyAlignment="1">
      <alignment horizontal="right" vertic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1" fillId="0" borderId="12" xfId="0" applyFont="1" applyBorder="1" applyAlignment="1">
      <alignment horizontal="left" vertical="center" wrapText="1"/>
    </xf>
    <xf numFmtId="0" fontId="21" fillId="0" borderId="13" xfId="0" applyFont="1" applyBorder="1" applyAlignment="1">
      <alignment horizontal="left" vertical="center" wrapText="1"/>
    </xf>
    <xf numFmtId="0" fontId="21" fillId="0" borderId="9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3" fontId="22" fillId="0" borderId="13" xfId="0" applyNumberFormat="1" applyFont="1" applyBorder="1" applyAlignment="1">
      <alignment horizontal="center" vertical="center"/>
    </xf>
    <xf numFmtId="3" fontId="22" fillId="0" borderId="1" xfId="0" applyNumberFormat="1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11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/>
    </xf>
    <xf numFmtId="9" fontId="0" fillId="0" borderId="16" xfId="0" applyNumberForma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4" xfId="0" applyBorder="1" applyAlignment="1">
      <alignment horizontal="right" vertical="center"/>
    </xf>
    <xf numFmtId="0" fontId="0" fillId="0" borderId="35" xfId="0" applyBorder="1" applyAlignment="1">
      <alignment horizontal="right" vertical="center"/>
    </xf>
    <xf numFmtId="0" fontId="0" fillId="0" borderId="36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0" fillId="0" borderId="37" xfId="0" applyBorder="1" applyAlignment="1">
      <alignment horizontal="right" vertical="center"/>
    </xf>
    <xf numFmtId="0" fontId="0" fillId="0" borderId="38" xfId="0" applyBorder="1" applyAlignment="1">
      <alignment horizontal="right" vertical="center"/>
    </xf>
    <xf numFmtId="0" fontId="6" fillId="0" borderId="14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164" fontId="22" fillId="0" borderId="1" xfId="0" applyNumberFormat="1" applyFont="1" applyBorder="1" applyAlignment="1">
      <alignment horizontal="center" vertical="center"/>
    </xf>
    <xf numFmtId="3" fontId="22" fillId="0" borderId="65" xfId="0" applyNumberFormat="1" applyFont="1" applyBorder="1" applyAlignment="1">
      <alignment horizontal="center" vertical="center"/>
    </xf>
    <xf numFmtId="3" fontId="22" fillId="0" borderId="23" xfId="0" applyNumberFormat="1" applyFont="1" applyBorder="1" applyAlignment="1">
      <alignment horizontal="center" vertical="center"/>
    </xf>
    <xf numFmtId="0" fontId="32" fillId="0" borderId="45" xfId="0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0" fontId="32" fillId="0" borderId="7" xfId="0" applyFont="1" applyBorder="1" applyAlignment="1">
      <alignment horizontal="center" vertical="center"/>
    </xf>
    <xf numFmtId="0" fontId="32" fillId="0" borderId="46" xfId="0" applyFont="1" applyBorder="1" applyAlignment="1">
      <alignment horizontal="center" vertical="center"/>
    </xf>
    <xf numFmtId="0" fontId="32" fillId="0" borderId="47" xfId="0" applyFont="1" applyBorder="1" applyAlignment="1">
      <alignment horizontal="center" vertical="center"/>
    </xf>
    <xf numFmtId="0" fontId="32" fillId="0" borderId="48" xfId="0" applyFont="1" applyBorder="1" applyAlignment="1">
      <alignment horizontal="center" vertical="center"/>
    </xf>
    <xf numFmtId="164" fontId="22" fillId="0" borderId="11" xfId="0" applyNumberFormat="1" applyFont="1" applyBorder="1" applyAlignment="1">
      <alignment horizontal="center" vertical="center"/>
    </xf>
    <xf numFmtId="3" fontId="22" fillId="0" borderId="66" xfId="0" applyNumberFormat="1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0" fillId="8" borderId="1" xfId="0" applyFill="1" applyBorder="1" applyAlignment="1">
      <alignment horizontal="center" vertical="center"/>
    </xf>
    <xf numFmtId="0" fontId="25" fillId="0" borderId="14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3" fillId="0" borderId="4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/>
    </xf>
    <xf numFmtId="0" fontId="24" fillId="0" borderId="38" xfId="0" applyFont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15" fillId="0" borderId="5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15" fillId="0" borderId="38" xfId="0" applyFont="1" applyBorder="1" applyAlignment="1">
      <alignment horizontal="center" vertical="center"/>
    </xf>
    <xf numFmtId="0" fontId="24" fillId="0" borderId="40" xfId="0" applyFont="1" applyBorder="1" applyAlignment="1">
      <alignment horizontal="left" vertical="center"/>
    </xf>
    <xf numFmtId="0" fontId="24" fillId="0" borderId="39" xfId="0" applyFont="1" applyBorder="1" applyAlignment="1">
      <alignment horizontal="left" vertical="center"/>
    </xf>
    <xf numFmtId="0" fontId="24" fillId="0" borderId="38" xfId="0" applyFont="1" applyBorder="1" applyAlignment="1">
      <alignment horizontal="left" vertical="center"/>
    </xf>
    <xf numFmtId="0" fontId="3" fillId="0" borderId="34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5" fillId="0" borderId="11" xfId="0" applyFont="1" applyBorder="1" applyAlignment="1">
      <alignment horizontal="left" vertical="center"/>
    </xf>
    <xf numFmtId="0" fontId="0" fillId="8" borderId="1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1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0" fontId="3" fillId="0" borderId="49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49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165" fontId="0" fillId="0" borderId="5" xfId="0" applyNumberFormat="1" applyBorder="1" applyAlignment="1">
      <alignment horizontal="center" vertical="center"/>
    </xf>
    <xf numFmtId="165" fontId="0" fillId="0" borderId="18" xfId="0" applyNumberFormat="1" applyBorder="1" applyAlignment="1">
      <alignment horizontal="center" vertical="center"/>
    </xf>
    <xf numFmtId="165" fontId="0" fillId="0" borderId="40" xfId="0" applyNumberFormat="1" applyBorder="1" applyAlignment="1">
      <alignment horizontal="center" vertical="center"/>
    </xf>
    <xf numFmtId="165" fontId="0" fillId="0" borderId="38" xfId="0" applyNumberForma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3" fillId="10" borderId="6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30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3" fontId="0" fillId="10" borderId="43" xfId="0" applyNumberFormat="1" applyFill="1" applyBorder="1" applyAlignment="1">
      <alignment horizontal="center"/>
    </xf>
    <xf numFmtId="3" fontId="0" fillId="10" borderId="0" xfId="0" applyNumberFormat="1" applyFill="1" applyAlignment="1">
      <alignment horizontal="center"/>
    </xf>
    <xf numFmtId="3" fontId="0" fillId="10" borderId="28" xfId="0" applyNumberFormat="1" applyFill="1" applyBorder="1" applyAlignment="1">
      <alignment horizontal="center"/>
    </xf>
    <xf numFmtId="0" fontId="0" fillId="10" borderId="4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0" xfId="0" applyBorder="1" applyAlignment="1">
      <alignment horizontal="center"/>
    </xf>
    <xf numFmtId="3" fontId="0" fillId="0" borderId="30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8" fillId="0" borderId="56" xfId="0" applyFont="1" applyBorder="1" applyAlignment="1">
      <alignment horizontal="center" vertical="center" textRotation="45"/>
    </xf>
    <xf numFmtId="0" fontId="8" fillId="0" borderId="57" xfId="0" applyFont="1" applyBorder="1" applyAlignment="1">
      <alignment horizontal="center" vertical="center" textRotation="45"/>
    </xf>
    <xf numFmtId="0" fontId="8" fillId="0" borderId="59" xfId="0" applyFont="1" applyBorder="1" applyAlignment="1">
      <alignment horizontal="center" vertical="center" textRotation="45"/>
    </xf>
    <xf numFmtId="0" fontId="8" fillId="0" borderId="0" xfId="0" applyFont="1" applyAlignment="1">
      <alignment horizontal="center" vertical="center" textRotation="45"/>
    </xf>
    <xf numFmtId="0" fontId="8" fillId="0" borderId="61" xfId="0" applyFont="1" applyBorder="1" applyAlignment="1">
      <alignment horizontal="center" vertical="center" textRotation="45"/>
    </xf>
    <xf numFmtId="0" fontId="8" fillId="0" borderId="62" xfId="0" applyFont="1" applyBorder="1" applyAlignment="1">
      <alignment horizontal="center" vertical="center" textRotation="45"/>
    </xf>
    <xf numFmtId="0" fontId="3" fillId="10" borderId="6" xfId="0" applyFont="1" applyFill="1" applyBorder="1" applyAlignment="1">
      <alignment horizontal="center"/>
    </xf>
    <xf numFmtId="0" fontId="3" fillId="10" borderId="7" xfId="0" applyFont="1" applyFill="1" applyBorder="1" applyAlignment="1">
      <alignment horizontal="center"/>
    </xf>
    <xf numFmtId="3" fontId="27" fillId="12" borderId="8" xfId="0" applyNumberFormat="1" applyFont="1" applyFill="1" applyBorder="1" applyAlignment="1">
      <alignment horizontal="center"/>
    </xf>
    <xf numFmtId="3" fontId="27" fillId="12" borderId="68" xfId="0" applyNumberFormat="1" applyFont="1" applyFill="1" applyBorder="1" applyAlignment="1">
      <alignment horizontal="center"/>
    </xf>
    <xf numFmtId="0" fontId="0" fillId="10" borderId="8" xfId="0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33" fillId="10" borderId="6" xfId="0" applyFont="1" applyFill="1" applyBorder="1" applyAlignment="1">
      <alignment horizontal="center" vertical="center"/>
    </xf>
    <xf numFmtId="0" fontId="33" fillId="10" borderId="4" xfId="0" applyFont="1" applyFill="1" applyBorder="1" applyAlignment="1">
      <alignment horizontal="center" vertical="center"/>
    </xf>
    <xf numFmtId="0" fontId="33" fillId="10" borderId="7" xfId="0" applyFont="1" applyFill="1" applyBorder="1" applyAlignment="1">
      <alignment horizontal="center" vertical="center"/>
    </xf>
    <xf numFmtId="3" fontId="3" fillId="10" borderId="6" xfId="0" applyNumberFormat="1" applyFont="1" applyFill="1" applyBorder="1" applyAlignment="1">
      <alignment horizontal="center" vertical="center"/>
    </xf>
    <xf numFmtId="3" fontId="3" fillId="10" borderId="7" xfId="0" applyNumberFormat="1" applyFont="1" applyFill="1" applyBorder="1" applyAlignment="1">
      <alignment horizontal="center" vertical="center"/>
    </xf>
    <xf numFmtId="3" fontId="0" fillId="10" borderId="8" xfId="0" applyNumberFormat="1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3" fontId="0" fillId="10" borderId="30" xfId="0" applyNumberFormat="1" applyFill="1" applyBorder="1" applyAlignment="1">
      <alignment horizontal="center"/>
    </xf>
    <xf numFmtId="3" fontId="0" fillId="10" borderId="2" xfId="0" applyNumberFormat="1" applyFill="1" applyBorder="1" applyAlignment="1">
      <alignment horizontal="center"/>
    </xf>
    <xf numFmtId="0" fontId="27" fillId="0" borderId="6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  <xf numFmtId="0" fontId="28" fillId="3" borderId="0" xfId="0" applyFont="1" applyFill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3" fillId="0" borderId="12" xfId="0" applyFont="1" applyBorder="1" applyAlignment="1">
      <alignment horizontal="center" vertical="center"/>
    </xf>
    <xf numFmtId="0" fontId="0" fillId="3" borderId="0" xfId="0" applyFill="1" applyAlignment="1">
      <alignment horizontal="center"/>
    </xf>
    <xf numFmtId="10" fontId="0" fillId="10" borderId="41" xfId="0" applyNumberFormat="1" applyFill="1" applyBorder="1" applyAlignment="1">
      <alignment horizontal="center" vertical="center"/>
    </xf>
    <xf numFmtId="10" fontId="0" fillId="10" borderId="17" xfId="0" applyNumberFormat="1" applyFill="1" applyBorder="1" applyAlignment="1">
      <alignment horizontal="center" vertical="center"/>
    </xf>
    <xf numFmtId="9" fontId="16" fillId="10" borderId="41" xfId="0" applyNumberFormat="1" applyFont="1" applyFill="1" applyBorder="1" applyAlignment="1">
      <alignment horizontal="center" vertical="center"/>
    </xf>
    <xf numFmtId="9" fontId="16" fillId="10" borderId="17" xfId="0" applyNumberFormat="1" applyFont="1" applyFill="1" applyBorder="1" applyAlignment="1">
      <alignment horizontal="center" vertical="center"/>
    </xf>
    <xf numFmtId="0" fontId="3" fillId="0" borderId="41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1" fontId="0" fillId="10" borderId="1" xfId="0" applyNumberFormat="1" applyFill="1" applyBorder="1" applyAlignment="1">
      <alignment horizontal="center" vertical="center"/>
    </xf>
    <xf numFmtId="1" fontId="0" fillId="10" borderId="41" xfId="1" applyNumberFormat="1" applyFont="1" applyFill="1" applyBorder="1" applyAlignment="1">
      <alignment horizontal="center" vertical="center"/>
    </xf>
    <xf numFmtId="1" fontId="0" fillId="10" borderId="17" xfId="1" applyNumberFormat="1" applyFont="1" applyFill="1" applyBorder="1" applyAlignment="1">
      <alignment horizontal="center" vertical="center"/>
    </xf>
    <xf numFmtId="10" fontId="0" fillId="10" borderId="41" xfId="1" applyNumberFormat="1" applyFont="1" applyFill="1" applyBorder="1" applyAlignment="1">
      <alignment horizontal="center" vertical="center"/>
    </xf>
    <xf numFmtId="10" fontId="0" fillId="10" borderId="17" xfId="1" applyNumberFormat="1" applyFont="1" applyFill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0" fontId="16" fillId="10" borderId="41" xfId="1" applyNumberFormat="1" applyFont="1" applyFill="1" applyBorder="1" applyAlignment="1">
      <alignment horizontal="center" vertical="center"/>
    </xf>
    <xf numFmtId="10" fontId="16" fillId="10" borderId="17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8" xfId="0" applyBorder="1" applyAlignment="1">
      <alignment horizontal="left"/>
    </xf>
    <xf numFmtId="0" fontId="17" fillId="8" borderId="41" xfId="0" applyFont="1" applyFill="1" applyBorder="1" applyAlignment="1">
      <alignment horizontal="center" vertical="center" wrapText="1"/>
    </xf>
    <xf numFmtId="0" fontId="17" fillId="8" borderId="20" xfId="0" applyFont="1" applyFill="1" applyBorder="1" applyAlignment="1">
      <alignment horizontal="center" vertical="center" wrapText="1"/>
    </xf>
    <xf numFmtId="0" fontId="17" fillId="8" borderId="1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right"/>
    </xf>
    <xf numFmtId="0" fontId="3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 wrapText="1"/>
    </xf>
    <xf numFmtId="0" fontId="3" fillId="8" borderId="20" xfId="0" applyFont="1" applyFill="1" applyBorder="1" applyAlignment="1">
      <alignment horizontal="center" vertical="center" wrapText="1"/>
    </xf>
    <xf numFmtId="0" fontId="3" fillId="8" borderId="17" xfId="0" applyFont="1" applyFill="1" applyBorder="1" applyAlignment="1">
      <alignment horizontal="center" vertical="center" wrapText="1"/>
    </xf>
    <xf numFmtId="3" fontId="0" fillId="0" borderId="0" xfId="0" applyNumberFormat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2" fontId="12" fillId="10" borderId="41" xfId="0" applyNumberFormat="1" applyFont="1" applyFill="1" applyBorder="1" applyAlignment="1">
      <alignment horizontal="center" vertical="center"/>
    </xf>
    <xf numFmtId="2" fontId="12" fillId="10" borderId="17" xfId="0" applyNumberFormat="1" applyFont="1" applyFill="1" applyBorder="1" applyAlignment="1">
      <alignment horizontal="center" vertical="center"/>
    </xf>
    <xf numFmtId="2" fontId="0" fillId="10" borderId="1" xfId="0" applyNumberForma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/>
    </xf>
    <xf numFmtId="164" fontId="3" fillId="0" borderId="30" xfId="0" applyNumberFormat="1" applyFont="1" applyBorder="1" applyAlignment="1">
      <alignment horizontal="center" vertical="center"/>
    </xf>
    <xf numFmtId="0" fontId="0" fillId="0" borderId="3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164" fontId="6" fillId="0" borderId="43" xfId="0" applyNumberFormat="1" applyFont="1" applyBorder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164" fontId="6" fillId="0" borderId="28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3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3" fontId="0" fillId="10" borderId="11" xfId="0" applyNumberFormat="1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3" fontId="7" fillId="6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0" fillId="0" borderId="55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3" fontId="6" fillId="10" borderId="1" xfId="0" applyNumberFormat="1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3" fontId="6" fillId="4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3" fontId="12" fillId="6" borderId="1" xfId="0" applyNumberFormat="1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7" fillId="8" borderId="25" xfId="0" applyFont="1" applyFill="1" applyBorder="1" applyAlignment="1">
      <alignment horizontal="center" vertical="center"/>
    </xf>
    <xf numFmtId="0" fontId="7" fillId="8" borderId="50" xfId="0" applyFont="1" applyFill="1" applyBorder="1" applyAlignment="1">
      <alignment horizontal="center" vertical="center"/>
    </xf>
    <xf numFmtId="0" fontId="7" fillId="8" borderId="51" xfId="0" applyFont="1" applyFill="1" applyBorder="1" applyAlignment="1">
      <alignment horizontal="center" vertical="center"/>
    </xf>
    <xf numFmtId="0" fontId="7" fillId="8" borderId="21" xfId="0" applyFont="1" applyFill="1" applyBorder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0" fillId="0" borderId="0" xfId="0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2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0" fontId="7" fillId="0" borderId="0" xfId="1" applyNumberFormat="1" applyFont="1" applyFill="1" applyBorder="1" applyAlignment="1">
      <alignment horizontal="center" vertical="center"/>
    </xf>
    <xf numFmtId="0" fontId="31" fillId="11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2">
    <dxf>
      <font>
        <color theme="4" tint="0.59996337778862885"/>
      </font>
    </dxf>
    <dxf>
      <font>
        <color theme="4" tint="0.5999633777886288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Indice di rotazione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'$_MAG_BUFFER'!$Z$6:$Z$15</c:f>
              <c:strCache>
                <c:ptCount val="10"/>
                <c:pt idx="0">
                  <c:v>EST_STAMP_001</c:v>
                </c:pt>
                <c:pt idx="1">
                  <c:v>EST_STAMP_001</c:v>
                </c:pt>
                <c:pt idx="2">
                  <c:v>EST_STAMP_001</c:v>
                </c:pt>
                <c:pt idx="3">
                  <c:v>EST_STAMP_001</c:v>
                </c:pt>
                <c:pt idx="4">
                  <c:v>EST_STAMP_001</c:v>
                </c:pt>
                <c:pt idx="5">
                  <c:v>EST_STAMP_001</c:v>
                </c:pt>
                <c:pt idx="6">
                  <c:v>EST_STAMP_001</c:v>
                </c:pt>
                <c:pt idx="7">
                  <c:v>EST_STAMP_001</c:v>
                </c:pt>
                <c:pt idx="8">
                  <c:v>EST_SICUR_001</c:v>
                </c:pt>
                <c:pt idx="9">
                  <c:v>EST_SICUR_001</c:v>
                </c:pt>
              </c:strCache>
            </c:strRef>
          </c:xVal>
          <c:yVal>
            <c:numRef>
              <c:f>'$_MAG_BUFFER'!$AD$6:$AD$15</c:f>
              <c:numCache>
                <c:formatCode>0.00%</c:formatCode>
                <c:ptCount val="10"/>
                <c:pt idx="0">
                  <c:v>0.10975609756097564</c:v>
                </c:pt>
                <c:pt idx="1">
                  <c:v>0.21951219512195128</c:v>
                </c:pt>
                <c:pt idx="2">
                  <c:v>0.3292682926829269</c:v>
                </c:pt>
                <c:pt idx="3">
                  <c:v>0.43902439024390255</c:v>
                </c:pt>
                <c:pt idx="4">
                  <c:v>0.5487804878048782</c:v>
                </c:pt>
                <c:pt idx="5">
                  <c:v>0.6585365853658538</c:v>
                </c:pt>
                <c:pt idx="6">
                  <c:v>0.7682926829268294</c:v>
                </c:pt>
                <c:pt idx="7">
                  <c:v>0.87804878048780499</c:v>
                </c:pt>
                <c:pt idx="8">
                  <c:v>0.93902439024390261</c:v>
                </c:pt>
                <c:pt idx="9">
                  <c:v>1.0000000000000002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676-40F3-8F29-B711539FC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774600"/>
        <c:axId val="593388552"/>
      </c:scatterChart>
      <c:valAx>
        <c:axId val="545774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388552"/>
        <c:crosses val="autoZero"/>
        <c:crossBetween val="midCat"/>
      </c:valAx>
      <c:valAx>
        <c:axId val="59338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774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361950</xdr:colOff>
      <xdr:row>7</xdr:row>
      <xdr:rowOff>133350</xdr:rowOff>
    </xdr:from>
    <xdr:to>
      <xdr:col>54</xdr:col>
      <xdr:colOff>361950</xdr:colOff>
      <xdr:row>7</xdr:row>
      <xdr:rowOff>133350</xdr:rowOff>
    </xdr:to>
    <xdr:sp macro="" textlink="">
      <xdr:nvSpPr>
        <xdr:cNvPr id="84" name="CasellaDiTesto 53">
          <a:extLst>
            <a:ext uri="{FF2B5EF4-FFF2-40B4-BE49-F238E27FC236}">
              <a16:creationId xmlns:a16="http://schemas.microsoft.com/office/drawing/2014/main" id="{C5D83345-ADF0-2F9E-EF3D-BB70D4035B47}"/>
            </a:ext>
            <a:ext uri="{147F2762-F138-4A5C-976F-8EAC2B608ADB}">
              <a16:predDERef xmlns:a16="http://schemas.microsoft.com/office/drawing/2014/main" pred="{8FAF38CB-423E-A2A3-2301-3C1039301CE7}"/>
            </a:ext>
          </a:extLst>
        </xdr:cNvPr>
        <xdr:cNvSpPr txBox="1"/>
      </xdr:nvSpPr>
      <xdr:spPr>
        <a:xfrm>
          <a:off x="17554575" y="5314950"/>
          <a:ext cx="0" cy="0"/>
        </a:xfrm>
        <a:prstGeom prst="rect">
          <a:avLst/>
        </a:prstGeom>
        <a:solidFill>
          <a:srgbClr val="9BC2E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tx1">
                  <a:lumMod val="95000"/>
                  <a:lumOff val="5000"/>
                </a:schemeClr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                                                                                                           SALDATURA</a:t>
          </a:r>
        </a:p>
      </xdr:txBody>
    </xdr:sp>
    <xdr:clientData/>
  </xdr:twoCellAnchor>
  <xdr:twoCellAnchor>
    <xdr:from>
      <xdr:col>58</xdr:col>
      <xdr:colOff>557213</xdr:colOff>
      <xdr:row>6</xdr:row>
      <xdr:rowOff>0</xdr:rowOff>
    </xdr:from>
    <xdr:to>
      <xdr:col>58</xdr:col>
      <xdr:colOff>557213</xdr:colOff>
      <xdr:row>6</xdr:row>
      <xdr:rowOff>0</xdr:rowOff>
    </xdr:to>
    <xdr:cxnSp macro="">
      <xdr:nvCxnSpPr>
        <xdr:cNvPr id="218" name="Connettore dritto 157">
          <a:extLst>
            <a:ext uri="{FF2B5EF4-FFF2-40B4-BE49-F238E27FC236}">
              <a16:creationId xmlns:a16="http://schemas.microsoft.com/office/drawing/2014/main" id="{80FE6905-079C-2DC8-17C2-43CC54325602}"/>
            </a:ext>
            <a:ext uri="{147F2762-F138-4A5C-976F-8EAC2B608ADB}">
              <a16:predDERef xmlns:a16="http://schemas.microsoft.com/office/drawing/2014/main" pred="{439133D5-7EF1-4EF6-A3EF-62C0AACECF85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44DE9DD6-2566-8E92-861A-869742AF45A3}" end="{44DE9DD6-2566-8E92-861A-869742AF45A3}"/>
            </a:ext>
          </a:extLst>
        </xdr:cNvCxnSpPr>
      </xdr:nvCxnSpPr>
      <xdr:spPr>
        <a:xfrm>
          <a:off x="20645438" y="13306425"/>
          <a:ext cx="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52</xdr:row>
      <xdr:rowOff>0</xdr:rowOff>
    </xdr:from>
    <xdr:to>
      <xdr:col>4</xdr:col>
      <xdr:colOff>76200</xdr:colOff>
      <xdr:row>52</xdr:row>
      <xdr:rowOff>0</xdr:rowOff>
    </xdr:to>
    <xdr:sp macro="" textlink="">
      <xdr:nvSpPr>
        <xdr:cNvPr id="167" name="CasellaDiTesto 158">
          <a:extLst>
            <a:ext uri="{FF2B5EF4-FFF2-40B4-BE49-F238E27FC236}">
              <a16:creationId xmlns:a16="http://schemas.microsoft.com/office/drawing/2014/main" id="{83790BB7-6901-E395-9AD2-87B7EEEA8E68}"/>
            </a:ext>
            <a:ext uri="{147F2762-F138-4A5C-976F-8EAC2B608ADB}">
              <a16:predDERef xmlns:a16="http://schemas.microsoft.com/office/drawing/2014/main" pred="{80FE6905-079C-2DC8-17C2-43CC54325602}"/>
            </a:ext>
          </a:extLst>
        </xdr:cNvPr>
        <xdr:cNvSpPr txBox="1"/>
      </xdr:nvSpPr>
      <xdr:spPr>
        <a:xfrm>
          <a:off x="1257300" y="10258425"/>
          <a:ext cx="0" cy="0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CORPO PLANCIA B </a:t>
          </a:r>
        </a:p>
      </xdr:txBody>
    </xdr:sp>
    <xdr:clientData/>
  </xdr:twoCellAnchor>
  <xdr:twoCellAnchor>
    <xdr:from>
      <xdr:col>0</xdr:col>
      <xdr:colOff>-409575</xdr:colOff>
      <xdr:row>59</xdr:row>
      <xdr:rowOff>66675</xdr:rowOff>
    </xdr:from>
    <xdr:to>
      <xdr:col>0</xdr:col>
      <xdr:colOff>-409575</xdr:colOff>
      <xdr:row>59</xdr:row>
      <xdr:rowOff>66675</xdr:rowOff>
    </xdr:to>
    <xdr:sp macro="" textlink="">
      <xdr:nvSpPr>
        <xdr:cNvPr id="175" name="CasellaDiTesto 159">
          <a:extLst>
            <a:ext uri="{FF2B5EF4-FFF2-40B4-BE49-F238E27FC236}">
              <a16:creationId xmlns:a16="http://schemas.microsoft.com/office/drawing/2014/main" id="{351BB2CA-E84C-7697-1825-98C4E7944815}"/>
            </a:ext>
            <a:ext uri="{147F2762-F138-4A5C-976F-8EAC2B608ADB}">
              <a16:predDERef xmlns:a16="http://schemas.microsoft.com/office/drawing/2014/main" pred="{83790BB7-6901-E395-9AD2-87B7EEEA8E68}"/>
            </a:ext>
          </a:extLst>
        </xdr:cNvPr>
        <xdr:cNvSpPr txBox="1"/>
      </xdr:nvSpPr>
      <xdr:spPr>
        <a:xfrm>
          <a:off x="-409575" y="11658600"/>
          <a:ext cx="0" cy="0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CORPO PLANCIA B </a:t>
          </a:r>
        </a:p>
      </xdr:txBody>
    </xdr:sp>
    <xdr:clientData/>
  </xdr:twoCellAnchor>
  <xdr:twoCellAnchor>
    <xdr:from>
      <xdr:col>0</xdr:col>
      <xdr:colOff>-409575</xdr:colOff>
      <xdr:row>46</xdr:row>
      <xdr:rowOff>152400</xdr:rowOff>
    </xdr:from>
    <xdr:to>
      <xdr:col>0</xdr:col>
      <xdr:colOff>-409575</xdr:colOff>
      <xdr:row>46</xdr:row>
      <xdr:rowOff>152400</xdr:rowOff>
    </xdr:to>
    <xdr:sp macro="" textlink="">
      <xdr:nvSpPr>
        <xdr:cNvPr id="169" name="Rettangolo 168">
          <a:extLst>
            <a:ext uri="{FF2B5EF4-FFF2-40B4-BE49-F238E27FC236}">
              <a16:creationId xmlns:a16="http://schemas.microsoft.com/office/drawing/2014/main" id="{833FB0C6-CE94-1FBF-0AA2-C4DCCC5D12DB}"/>
            </a:ext>
            <a:ext uri="{147F2762-F138-4A5C-976F-8EAC2B608ADB}">
              <a16:predDERef xmlns:a16="http://schemas.microsoft.com/office/drawing/2014/main" pred="{351BB2CA-E84C-7697-1825-98C4E7944815}"/>
            </a:ext>
          </a:extLst>
        </xdr:cNvPr>
        <xdr:cNvSpPr/>
      </xdr:nvSpPr>
      <xdr:spPr>
        <a:xfrm rot="10849819" flipV="1">
          <a:off x="-409575" y="9267825"/>
          <a:ext cx="0" cy="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CORPO + INSERTO PLACIA B</a:t>
          </a:r>
        </a:p>
      </xdr:txBody>
    </xdr:sp>
    <xdr:clientData/>
  </xdr:twoCellAnchor>
  <xdr:twoCellAnchor>
    <xdr:from>
      <xdr:col>6</xdr:col>
      <xdr:colOff>457200</xdr:colOff>
      <xdr:row>52</xdr:row>
      <xdr:rowOff>161925</xdr:rowOff>
    </xdr:from>
    <xdr:to>
      <xdr:col>6</xdr:col>
      <xdr:colOff>457200</xdr:colOff>
      <xdr:row>52</xdr:row>
      <xdr:rowOff>161925</xdr:rowOff>
    </xdr:to>
    <xdr:sp macro="" textlink="">
      <xdr:nvSpPr>
        <xdr:cNvPr id="182" name="Rettangolo 181">
          <a:extLst>
            <a:ext uri="{FF2B5EF4-FFF2-40B4-BE49-F238E27FC236}">
              <a16:creationId xmlns:a16="http://schemas.microsoft.com/office/drawing/2014/main" id="{A721CD13-3CB7-21BD-90CB-633EA8BE2DE1}"/>
            </a:ext>
            <a:ext uri="{147F2762-F138-4A5C-976F-8EAC2B608ADB}">
              <a16:predDERef xmlns:a16="http://schemas.microsoft.com/office/drawing/2014/main" pred="{81789115-F2EA-BD42-1C1E-C8C435DF7B19}"/>
            </a:ext>
          </a:extLst>
        </xdr:cNvPr>
        <xdr:cNvSpPr/>
      </xdr:nvSpPr>
      <xdr:spPr>
        <a:xfrm>
          <a:off x="3009900" y="10420350"/>
          <a:ext cx="0" cy="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CORPO + INSERTO PLANCIA B</a:t>
          </a:r>
        </a:p>
      </xdr:txBody>
    </xdr:sp>
    <xdr:clientData/>
  </xdr:twoCellAnchor>
  <xdr:twoCellAnchor>
    <xdr:from>
      <xdr:col>0</xdr:col>
      <xdr:colOff>-409575</xdr:colOff>
      <xdr:row>50</xdr:row>
      <xdr:rowOff>152400</xdr:rowOff>
    </xdr:from>
    <xdr:to>
      <xdr:col>0</xdr:col>
      <xdr:colOff>-409575</xdr:colOff>
      <xdr:row>50</xdr:row>
      <xdr:rowOff>152400</xdr:rowOff>
    </xdr:to>
    <xdr:sp macro="" textlink="">
      <xdr:nvSpPr>
        <xdr:cNvPr id="188" name="Rettangolo 187">
          <a:extLst>
            <a:ext uri="{FF2B5EF4-FFF2-40B4-BE49-F238E27FC236}">
              <a16:creationId xmlns:a16="http://schemas.microsoft.com/office/drawing/2014/main" id="{6E119F19-9D74-00EB-0850-27C2265DD7DF}"/>
            </a:ext>
            <a:ext uri="{147F2762-F138-4A5C-976F-8EAC2B608ADB}">
              <a16:predDERef xmlns:a16="http://schemas.microsoft.com/office/drawing/2014/main" pred="{44DE9DD6-2566-8E92-861A-869742AF45A3}"/>
            </a:ext>
          </a:extLst>
        </xdr:cNvPr>
        <xdr:cNvSpPr/>
      </xdr:nvSpPr>
      <xdr:spPr>
        <a:xfrm>
          <a:off x="-409575" y="10029825"/>
          <a:ext cx="0" cy="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CORPO + INSERTO PLANCIA B</a:t>
          </a:r>
        </a:p>
      </xdr:txBody>
    </xdr:sp>
    <xdr:clientData/>
  </xdr:twoCellAnchor>
  <xdr:twoCellAnchor>
    <xdr:from>
      <xdr:col>1</xdr:col>
      <xdr:colOff>190500</xdr:colOff>
      <xdr:row>40</xdr:row>
      <xdr:rowOff>47625</xdr:rowOff>
    </xdr:from>
    <xdr:to>
      <xdr:col>1</xdr:col>
      <xdr:colOff>190500</xdr:colOff>
      <xdr:row>40</xdr:row>
      <xdr:rowOff>47625</xdr:rowOff>
    </xdr:to>
    <xdr:sp macro="" textlink="">
      <xdr:nvSpPr>
        <xdr:cNvPr id="199" name="Rettangolo 198">
          <a:extLst>
            <a:ext uri="{FF2B5EF4-FFF2-40B4-BE49-F238E27FC236}">
              <a16:creationId xmlns:a16="http://schemas.microsoft.com/office/drawing/2014/main" id="{1EE46CC4-9F1A-7DAC-A2DE-C0A88F2A460F}"/>
            </a:ext>
            <a:ext uri="{147F2762-F138-4A5C-976F-8EAC2B608ADB}">
              <a16:predDERef xmlns:a16="http://schemas.microsoft.com/office/drawing/2014/main" pred="{6E119F19-9D74-00EB-0850-27C2265DD7DF}"/>
            </a:ext>
          </a:extLst>
        </xdr:cNvPr>
        <xdr:cNvSpPr/>
      </xdr:nvSpPr>
      <xdr:spPr>
        <a:xfrm>
          <a:off x="485775" y="8010525"/>
          <a:ext cx="0" cy="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 b="0" i="0" u="none" strike="noStrike">
            <a:solidFill>
              <a:schemeClr val="lt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12</xdr:col>
      <xdr:colOff>66675</xdr:colOff>
      <xdr:row>26</xdr:row>
      <xdr:rowOff>38100</xdr:rowOff>
    </xdr:from>
    <xdr:to>
      <xdr:col>12</xdr:col>
      <xdr:colOff>66675</xdr:colOff>
      <xdr:row>26</xdr:row>
      <xdr:rowOff>38100</xdr:rowOff>
    </xdr:to>
    <xdr:sp macro="" textlink="">
      <xdr:nvSpPr>
        <xdr:cNvPr id="10" name="Rettangolo 207">
          <a:extLst>
            <a:ext uri="{FF2B5EF4-FFF2-40B4-BE49-F238E27FC236}">
              <a16:creationId xmlns:a16="http://schemas.microsoft.com/office/drawing/2014/main" id="{B8B406BC-1F61-787F-DC49-D32230768A6A}"/>
            </a:ext>
            <a:ext uri="{147F2762-F138-4A5C-976F-8EAC2B608ADB}">
              <a16:predDERef xmlns:a16="http://schemas.microsoft.com/office/drawing/2014/main" pred="{1EE46CC4-9F1A-7DAC-A2DE-C0A88F2A460F}"/>
            </a:ext>
          </a:extLst>
        </xdr:cNvPr>
        <xdr:cNvSpPr/>
      </xdr:nvSpPr>
      <xdr:spPr>
        <a:xfrm>
          <a:off x="7934325" y="7229475"/>
          <a:ext cx="0" cy="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CORPO + INSERTO PLANCIA SEGMENTO B</a:t>
          </a:r>
        </a:p>
      </xdr:txBody>
    </xdr:sp>
    <xdr:clientData/>
  </xdr:twoCellAnchor>
  <xdr:twoCellAnchor>
    <xdr:from>
      <xdr:col>13</xdr:col>
      <xdr:colOff>66675</xdr:colOff>
      <xdr:row>59</xdr:row>
      <xdr:rowOff>47625</xdr:rowOff>
    </xdr:from>
    <xdr:to>
      <xdr:col>13</xdr:col>
      <xdr:colOff>66675</xdr:colOff>
      <xdr:row>59</xdr:row>
      <xdr:rowOff>47625</xdr:rowOff>
    </xdr:to>
    <xdr:sp macro="" textlink="">
      <xdr:nvSpPr>
        <xdr:cNvPr id="240" name="Rettangolo 239">
          <a:extLst>
            <a:ext uri="{FF2B5EF4-FFF2-40B4-BE49-F238E27FC236}">
              <a16:creationId xmlns:a16="http://schemas.microsoft.com/office/drawing/2014/main" id="{F5718018-4214-4256-9B95-5B999F574ED4}"/>
            </a:ext>
            <a:ext uri="{147F2762-F138-4A5C-976F-8EAC2B608ADB}">
              <a16:predDERef xmlns:a16="http://schemas.microsoft.com/office/drawing/2014/main" pred="{39C85E4B-B4C5-CF13-C9AA-7E5DCF431DD9}"/>
            </a:ext>
          </a:extLst>
        </xdr:cNvPr>
        <xdr:cNvSpPr/>
      </xdr:nvSpPr>
      <xdr:spPr>
        <a:xfrm>
          <a:off x="7934325" y="11639550"/>
          <a:ext cx="0" cy="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 b="0" i="0" u="none" strike="noStrike">
            <a:solidFill>
              <a:schemeClr val="dk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54</xdr:col>
      <xdr:colOff>361950</xdr:colOff>
      <xdr:row>35</xdr:row>
      <xdr:rowOff>133350</xdr:rowOff>
    </xdr:from>
    <xdr:to>
      <xdr:col>54</xdr:col>
      <xdr:colOff>361950</xdr:colOff>
      <xdr:row>35</xdr:row>
      <xdr:rowOff>133350</xdr:rowOff>
    </xdr:to>
    <xdr:sp macro="" textlink="">
      <xdr:nvSpPr>
        <xdr:cNvPr id="2" name="CasellaDiTesto 53">
          <a:extLst>
            <a:ext uri="{FF2B5EF4-FFF2-40B4-BE49-F238E27FC236}">
              <a16:creationId xmlns:a16="http://schemas.microsoft.com/office/drawing/2014/main" id="{D07ACFD4-40B1-054B-BC76-F2BA7BF80075}"/>
            </a:ext>
            <a:ext uri="{147F2762-F138-4A5C-976F-8EAC2B608ADB}">
              <a16:predDERef xmlns:a16="http://schemas.microsoft.com/office/drawing/2014/main" pred="{8FAF38CB-423E-A2A3-2301-3C1039301CE7}"/>
            </a:ext>
          </a:extLst>
        </xdr:cNvPr>
        <xdr:cNvSpPr txBox="1"/>
      </xdr:nvSpPr>
      <xdr:spPr>
        <a:xfrm>
          <a:off x="21278850" y="7029450"/>
          <a:ext cx="0" cy="0"/>
        </a:xfrm>
        <a:prstGeom prst="rect">
          <a:avLst/>
        </a:prstGeom>
        <a:solidFill>
          <a:srgbClr val="9BC2E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tx1">
                  <a:lumMod val="95000"/>
                  <a:lumOff val="5000"/>
                </a:schemeClr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                                                                                                           SALDATURA</a:t>
          </a:r>
        </a:p>
      </xdr:txBody>
    </xdr:sp>
    <xdr:clientData/>
  </xdr:twoCellAnchor>
  <xdr:twoCellAnchor>
    <xdr:from>
      <xdr:col>58</xdr:col>
      <xdr:colOff>557213</xdr:colOff>
      <xdr:row>34</xdr:row>
      <xdr:rowOff>0</xdr:rowOff>
    </xdr:from>
    <xdr:to>
      <xdr:col>58</xdr:col>
      <xdr:colOff>557213</xdr:colOff>
      <xdr:row>34</xdr:row>
      <xdr:rowOff>0</xdr:rowOff>
    </xdr:to>
    <xdr:cxnSp macro="">
      <xdr:nvCxnSpPr>
        <xdr:cNvPr id="4" name="Connettore dritto 157">
          <a:extLst>
            <a:ext uri="{FF2B5EF4-FFF2-40B4-BE49-F238E27FC236}">
              <a16:creationId xmlns:a16="http://schemas.microsoft.com/office/drawing/2014/main" id="{02DB6567-E6E1-5F46-BB7F-0E11BFE5C79C}"/>
            </a:ext>
            <a:ext uri="{147F2762-F138-4A5C-976F-8EAC2B608ADB}">
              <a16:predDERef xmlns:a16="http://schemas.microsoft.com/office/drawing/2014/main" pred="{439133D5-7EF1-4EF6-A3EF-62C0AACECF85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44DE9DD6-2566-8E92-861A-869742AF45A3}" end="{44DE9DD6-2566-8E92-861A-869742AF45A3}"/>
            </a:ext>
          </a:extLst>
        </xdr:cNvCxnSpPr>
      </xdr:nvCxnSpPr>
      <xdr:spPr>
        <a:xfrm>
          <a:off x="24166513" y="6692900"/>
          <a:ext cx="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361950</xdr:colOff>
      <xdr:row>5</xdr:row>
      <xdr:rowOff>133350</xdr:rowOff>
    </xdr:from>
    <xdr:to>
      <xdr:col>23</xdr:col>
      <xdr:colOff>361950</xdr:colOff>
      <xdr:row>5</xdr:row>
      <xdr:rowOff>133350</xdr:rowOff>
    </xdr:to>
    <xdr:sp macro="" textlink="">
      <xdr:nvSpPr>
        <xdr:cNvPr id="5" name="CasellaDiTesto 53">
          <a:extLst>
            <a:ext uri="{FF2B5EF4-FFF2-40B4-BE49-F238E27FC236}">
              <a16:creationId xmlns:a16="http://schemas.microsoft.com/office/drawing/2014/main" id="{D097A1F9-0836-0143-999B-795B8426A727}"/>
            </a:ext>
            <a:ext uri="{147F2762-F138-4A5C-976F-8EAC2B608ADB}">
              <a16:predDERef xmlns:a16="http://schemas.microsoft.com/office/drawing/2014/main" pred="{8FAF38CB-423E-A2A3-2301-3C1039301CE7}"/>
            </a:ext>
          </a:extLst>
        </xdr:cNvPr>
        <xdr:cNvSpPr txBox="1"/>
      </xdr:nvSpPr>
      <xdr:spPr>
        <a:xfrm>
          <a:off x="21253450" y="7038975"/>
          <a:ext cx="0" cy="0"/>
        </a:xfrm>
        <a:prstGeom prst="rect">
          <a:avLst/>
        </a:prstGeom>
        <a:solidFill>
          <a:srgbClr val="9BC2E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tx1">
                  <a:lumMod val="95000"/>
                  <a:lumOff val="5000"/>
                </a:schemeClr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                                                                                                           SALDATURA</a:t>
          </a:r>
        </a:p>
      </xdr:txBody>
    </xdr:sp>
    <xdr:clientData/>
  </xdr:twoCellAnchor>
  <xdr:twoCellAnchor>
    <xdr:from>
      <xdr:col>24</xdr:col>
      <xdr:colOff>557213</xdr:colOff>
      <xdr:row>6</xdr:row>
      <xdr:rowOff>0</xdr:rowOff>
    </xdr:from>
    <xdr:to>
      <xdr:col>24</xdr:col>
      <xdr:colOff>557213</xdr:colOff>
      <xdr:row>6</xdr:row>
      <xdr:rowOff>0</xdr:rowOff>
    </xdr:to>
    <xdr:cxnSp macro="">
      <xdr:nvCxnSpPr>
        <xdr:cNvPr id="7" name="Connettore dritto 157">
          <a:extLst>
            <a:ext uri="{FF2B5EF4-FFF2-40B4-BE49-F238E27FC236}">
              <a16:creationId xmlns:a16="http://schemas.microsoft.com/office/drawing/2014/main" id="{192C6EDA-E783-BF40-B0AB-6030634A8C05}"/>
            </a:ext>
            <a:ext uri="{147F2762-F138-4A5C-976F-8EAC2B608ADB}">
              <a16:predDERef xmlns:a16="http://schemas.microsoft.com/office/drawing/2014/main" pred="{439133D5-7EF1-4EF6-A3EF-62C0AACECF85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44DE9DD6-2566-8E92-861A-869742AF45A3}" end="{44DE9DD6-2566-8E92-861A-869742AF45A3}"/>
            </a:ext>
          </a:extLst>
        </xdr:cNvCxnSpPr>
      </xdr:nvCxnSpPr>
      <xdr:spPr>
        <a:xfrm>
          <a:off x="24115713" y="6699250"/>
          <a:ext cx="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361950</xdr:colOff>
      <xdr:row>35</xdr:row>
      <xdr:rowOff>133350</xdr:rowOff>
    </xdr:from>
    <xdr:to>
      <xdr:col>23</xdr:col>
      <xdr:colOff>361950</xdr:colOff>
      <xdr:row>35</xdr:row>
      <xdr:rowOff>133350</xdr:rowOff>
    </xdr:to>
    <xdr:sp macro="" textlink="">
      <xdr:nvSpPr>
        <xdr:cNvPr id="8" name="CasellaDiTesto 53">
          <a:extLst>
            <a:ext uri="{FF2B5EF4-FFF2-40B4-BE49-F238E27FC236}">
              <a16:creationId xmlns:a16="http://schemas.microsoft.com/office/drawing/2014/main" id="{216C2417-6A2F-B143-BC20-2ECA2BE5CD63}"/>
            </a:ext>
            <a:ext uri="{147F2762-F138-4A5C-976F-8EAC2B608ADB}">
              <a16:predDERef xmlns:a16="http://schemas.microsoft.com/office/drawing/2014/main" pred="{8FAF38CB-423E-A2A3-2301-3C1039301CE7}"/>
            </a:ext>
          </a:extLst>
        </xdr:cNvPr>
        <xdr:cNvSpPr txBox="1"/>
      </xdr:nvSpPr>
      <xdr:spPr>
        <a:xfrm>
          <a:off x="21280664" y="12797064"/>
          <a:ext cx="0" cy="0"/>
        </a:xfrm>
        <a:prstGeom prst="rect">
          <a:avLst/>
        </a:prstGeom>
        <a:solidFill>
          <a:srgbClr val="9BC2E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tx1">
                  <a:lumMod val="95000"/>
                  <a:lumOff val="5000"/>
                </a:schemeClr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                                                                                                           SALDATURA</a:t>
          </a:r>
        </a:p>
      </xdr:txBody>
    </xdr:sp>
    <xdr:clientData/>
  </xdr:twoCellAnchor>
  <xdr:twoCellAnchor>
    <xdr:from>
      <xdr:col>27</xdr:col>
      <xdr:colOff>557213</xdr:colOff>
      <xdr:row>34</xdr:row>
      <xdr:rowOff>0</xdr:rowOff>
    </xdr:from>
    <xdr:to>
      <xdr:col>27</xdr:col>
      <xdr:colOff>557213</xdr:colOff>
      <xdr:row>34</xdr:row>
      <xdr:rowOff>0</xdr:rowOff>
    </xdr:to>
    <xdr:cxnSp macro="">
      <xdr:nvCxnSpPr>
        <xdr:cNvPr id="9" name="Connettore dritto 157">
          <a:extLst>
            <a:ext uri="{FF2B5EF4-FFF2-40B4-BE49-F238E27FC236}">
              <a16:creationId xmlns:a16="http://schemas.microsoft.com/office/drawing/2014/main" id="{F35D9029-E77D-4C4D-91BD-EF36EA68968A}"/>
            </a:ext>
            <a:ext uri="{147F2762-F138-4A5C-976F-8EAC2B608ADB}">
              <a16:predDERef xmlns:a16="http://schemas.microsoft.com/office/drawing/2014/main" pred="{439133D5-7EF1-4EF6-A3EF-62C0AACECF85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44DE9DD6-2566-8E92-861A-869742AF45A3}" end="{44DE9DD6-2566-8E92-861A-869742AF45A3}"/>
            </a:ext>
          </a:extLst>
        </xdr:cNvCxnSpPr>
      </xdr:nvCxnSpPr>
      <xdr:spPr>
        <a:xfrm>
          <a:off x="24161070" y="12464143"/>
          <a:ext cx="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361950</xdr:colOff>
      <xdr:row>33</xdr:row>
      <xdr:rowOff>133350</xdr:rowOff>
    </xdr:from>
    <xdr:to>
      <xdr:col>23</xdr:col>
      <xdr:colOff>361950</xdr:colOff>
      <xdr:row>33</xdr:row>
      <xdr:rowOff>133350</xdr:rowOff>
    </xdr:to>
    <xdr:sp macro="" textlink="">
      <xdr:nvSpPr>
        <xdr:cNvPr id="3" name="CasellaDiTesto 53">
          <a:extLst>
            <a:ext uri="{FF2B5EF4-FFF2-40B4-BE49-F238E27FC236}">
              <a16:creationId xmlns:a16="http://schemas.microsoft.com/office/drawing/2014/main" id="{64FB57BD-CC89-CE49-B5CE-06FD5449D4EE}"/>
            </a:ext>
            <a:ext uri="{147F2762-F138-4A5C-976F-8EAC2B608ADB}">
              <a16:predDERef xmlns:a16="http://schemas.microsoft.com/office/drawing/2014/main" pred="{8FAF38CB-423E-A2A3-2301-3C1039301CE7}"/>
            </a:ext>
          </a:extLst>
        </xdr:cNvPr>
        <xdr:cNvSpPr txBox="1"/>
      </xdr:nvSpPr>
      <xdr:spPr>
        <a:xfrm>
          <a:off x="19221450" y="1308100"/>
          <a:ext cx="0" cy="0"/>
        </a:xfrm>
        <a:prstGeom prst="rect">
          <a:avLst/>
        </a:prstGeom>
        <a:solidFill>
          <a:srgbClr val="9BC2E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tx1">
                  <a:lumMod val="95000"/>
                  <a:lumOff val="5000"/>
                </a:schemeClr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                                                                                                           SALDATURA</a:t>
          </a:r>
        </a:p>
      </xdr:txBody>
    </xdr:sp>
    <xdr:clientData/>
  </xdr:twoCellAnchor>
  <xdr:twoCellAnchor>
    <xdr:from>
      <xdr:col>24</xdr:col>
      <xdr:colOff>557213</xdr:colOff>
      <xdr:row>34</xdr:row>
      <xdr:rowOff>0</xdr:rowOff>
    </xdr:from>
    <xdr:to>
      <xdr:col>24</xdr:col>
      <xdr:colOff>557213</xdr:colOff>
      <xdr:row>34</xdr:row>
      <xdr:rowOff>0</xdr:rowOff>
    </xdr:to>
    <xdr:cxnSp macro="">
      <xdr:nvCxnSpPr>
        <xdr:cNvPr id="6" name="Connettore dritto 157">
          <a:extLst>
            <a:ext uri="{FF2B5EF4-FFF2-40B4-BE49-F238E27FC236}">
              <a16:creationId xmlns:a16="http://schemas.microsoft.com/office/drawing/2014/main" id="{BE2C96AE-BFE4-0546-8904-EAA3FCEE4A29}"/>
            </a:ext>
            <a:ext uri="{147F2762-F138-4A5C-976F-8EAC2B608ADB}">
              <a16:predDERef xmlns:a16="http://schemas.microsoft.com/office/drawing/2014/main" pred="{439133D5-7EF1-4EF6-A3EF-62C0AACECF85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44DE9DD6-2566-8E92-861A-869742AF45A3}" end="{44DE9DD6-2566-8E92-861A-869742AF45A3}"/>
            </a:ext>
          </a:extLst>
        </xdr:cNvCxnSpPr>
      </xdr:nvCxnSpPr>
      <xdr:spPr>
        <a:xfrm>
          <a:off x="20083463" y="1365250"/>
          <a:ext cx="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571500</xdr:colOff>
      <xdr:row>4</xdr:row>
      <xdr:rowOff>161925</xdr:rowOff>
    </xdr:from>
    <xdr:to>
      <xdr:col>36</xdr:col>
      <xdr:colOff>352425</xdr:colOff>
      <xdr:row>19</xdr:row>
      <xdr:rowOff>66675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E8769AE3-E4A5-6BDD-DF2A-EB772FE36B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323850</xdr:colOff>
      <xdr:row>1</xdr:row>
      <xdr:rowOff>0</xdr:rowOff>
    </xdr:from>
    <xdr:to>
      <xdr:col>22</xdr:col>
      <xdr:colOff>219967</xdr:colOff>
      <xdr:row>17</xdr:row>
      <xdr:rowOff>38516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3BC019-6A04-D2A3-A347-404796B67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0025" y="190500"/>
          <a:ext cx="6392167" cy="298174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257175</xdr:colOff>
      <xdr:row>11</xdr:row>
      <xdr:rowOff>104775</xdr:rowOff>
    </xdr:from>
    <xdr:to>
      <xdr:col>29</xdr:col>
      <xdr:colOff>66675</xdr:colOff>
      <xdr:row>12</xdr:row>
      <xdr:rowOff>123825</xdr:rowOff>
    </xdr:to>
    <xdr:sp macro="" textlink="">
      <xdr:nvSpPr>
        <xdr:cNvPr id="3" name="Freccia DESTRA 2">
          <a:extLst>
            <a:ext uri="{FF2B5EF4-FFF2-40B4-BE49-F238E27FC236}">
              <a16:creationId xmlns:a16="http://schemas.microsoft.com/office/drawing/2014/main" id="{F13AF29F-E1BC-5369-100F-68BFD68DCDB2}"/>
            </a:ext>
            <a:ext uri="{147F2762-F138-4A5C-976F-8EAC2B608ADB}">
              <a16:predDERef xmlns:a16="http://schemas.microsoft.com/office/drawing/2014/main" pred="{7285FBEA-EC1B-5E48-F691-186CC8BDA161}"/>
            </a:ext>
          </a:extLst>
        </xdr:cNvPr>
        <xdr:cNvSpPr/>
      </xdr:nvSpPr>
      <xdr:spPr>
        <a:xfrm>
          <a:off x="17468850" y="2552700"/>
          <a:ext cx="400050" cy="22860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31</xdr:col>
      <xdr:colOff>85725</xdr:colOff>
      <xdr:row>11</xdr:row>
      <xdr:rowOff>9525</xdr:rowOff>
    </xdr:from>
    <xdr:to>
      <xdr:col>31</xdr:col>
      <xdr:colOff>514350</xdr:colOff>
      <xdr:row>13</xdr:row>
      <xdr:rowOff>19050</xdr:rowOff>
    </xdr:to>
    <xdr:sp macro="" textlink="">
      <xdr:nvSpPr>
        <xdr:cNvPr id="6" name="Diagramma di flusso: processo alternativo 5">
          <a:extLst>
            <a:ext uri="{FF2B5EF4-FFF2-40B4-BE49-F238E27FC236}">
              <a16:creationId xmlns:a16="http://schemas.microsoft.com/office/drawing/2014/main" id="{5E869176-80F3-D380-908C-E84847C0A883}"/>
            </a:ext>
            <a:ext uri="{147F2762-F138-4A5C-976F-8EAC2B608ADB}">
              <a16:predDERef xmlns:a16="http://schemas.microsoft.com/office/drawing/2014/main" pred="{F13AF29F-E1BC-5369-100F-68BFD68DCDB2}"/>
            </a:ext>
          </a:extLst>
        </xdr:cNvPr>
        <xdr:cNvSpPr/>
      </xdr:nvSpPr>
      <xdr:spPr>
        <a:xfrm>
          <a:off x="19164300" y="2457450"/>
          <a:ext cx="428625" cy="428625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800" b="0" i="0" u="none" strike="noStrike">
              <a:solidFill>
                <a:schemeClr val="dk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C</a:t>
          </a:r>
        </a:p>
      </xdr:txBody>
    </xdr:sp>
    <xdr:clientData/>
  </xdr:twoCellAnchor>
  <xdr:twoCellAnchor>
    <xdr:from>
      <xdr:col>27</xdr:col>
      <xdr:colOff>342900</xdr:colOff>
      <xdr:row>11</xdr:row>
      <xdr:rowOff>0</xdr:rowOff>
    </xdr:from>
    <xdr:to>
      <xdr:col>28</xdr:col>
      <xdr:colOff>85725</xdr:colOff>
      <xdr:row>13</xdr:row>
      <xdr:rowOff>9525</xdr:rowOff>
    </xdr:to>
    <xdr:sp macro="" textlink="">
      <xdr:nvSpPr>
        <xdr:cNvPr id="8" name="Diagramma di flusso: processo alternativo 7">
          <a:extLst>
            <a:ext uri="{FF2B5EF4-FFF2-40B4-BE49-F238E27FC236}">
              <a16:creationId xmlns:a16="http://schemas.microsoft.com/office/drawing/2014/main" id="{5BC60DED-9F54-4569-B8A0-02DEC6CB81A7}"/>
            </a:ext>
            <a:ext uri="{147F2762-F138-4A5C-976F-8EAC2B608ADB}">
              <a16:predDERef xmlns:a16="http://schemas.microsoft.com/office/drawing/2014/main" pred="{5E869176-80F3-D380-908C-E84847C0A883}"/>
            </a:ext>
          </a:extLst>
        </xdr:cNvPr>
        <xdr:cNvSpPr/>
      </xdr:nvSpPr>
      <xdr:spPr>
        <a:xfrm>
          <a:off x="16868775" y="2447925"/>
          <a:ext cx="428625" cy="428625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dk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A</a:t>
          </a:r>
        </a:p>
      </xdr:txBody>
    </xdr:sp>
    <xdr:clientData/>
  </xdr:twoCellAnchor>
  <xdr:twoCellAnchor>
    <xdr:from>
      <xdr:col>29</xdr:col>
      <xdr:colOff>228600</xdr:colOff>
      <xdr:row>11</xdr:row>
      <xdr:rowOff>19050</xdr:rowOff>
    </xdr:from>
    <xdr:to>
      <xdr:col>29</xdr:col>
      <xdr:colOff>657225</xdr:colOff>
      <xdr:row>13</xdr:row>
      <xdr:rowOff>28575</xdr:rowOff>
    </xdr:to>
    <xdr:sp macro="" textlink="">
      <xdr:nvSpPr>
        <xdr:cNvPr id="9" name="Diagramma di flusso: processo alternativo 8">
          <a:extLst>
            <a:ext uri="{FF2B5EF4-FFF2-40B4-BE49-F238E27FC236}">
              <a16:creationId xmlns:a16="http://schemas.microsoft.com/office/drawing/2014/main" id="{16F1FF42-64BE-474E-836A-54D4FF04C246}"/>
            </a:ext>
            <a:ext uri="{147F2762-F138-4A5C-976F-8EAC2B608ADB}">
              <a16:predDERef xmlns:a16="http://schemas.microsoft.com/office/drawing/2014/main" pred="{5BC60DED-9F54-4569-B8A0-02DEC6CB81A7}"/>
            </a:ext>
          </a:extLst>
        </xdr:cNvPr>
        <xdr:cNvSpPr/>
      </xdr:nvSpPr>
      <xdr:spPr>
        <a:xfrm>
          <a:off x="18030825" y="2466975"/>
          <a:ext cx="428625" cy="428625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dk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B</a:t>
          </a:r>
        </a:p>
      </xdr:txBody>
    </xdr:sp>
    <xdr:clientData/>
  </xdr:twoCellAnchor>
  <xdr:twoCellAnchor>
    <xdr:from>
      <xdr:col>32</xdr:col>
      <xdr:colOff>561975</xdr:colOff>
      <xdr:row>11</xdr:row>
      <xdr:rowOff>0</xdr:rowOff>
    </xdr:from>
    <xdr:to>
      <xdr:col>33</xdr:col>
      <xdr:colOff>400050</xdr:colOff>
      <xdr:row>13</xdr:row>
      <xdr:rowOff>9525</xdr:rowOff>
    </xdr:to>
    <xdr:sp macro="" textlink="">
      <xdr:nvSpPr>
        <xdr:cNvPr id="10" name="Diagramma di flusso: processo alternativo 9">
          <a:extLst>
            <a:ext uri="{FF2B5EF4-FFF2-40B4-BE49-F238E27FC236}">
              <a16:creationId xmlns:a16="http://schemas.microsoft.com/office/drawing/2014/main" id="{3A8363F3-0472-40CD-AFFB-D571AB82335A}"/>
            </a:ext>
            <a:ext uri="{147F2762-F138-4A5C-976F-8EAC2B608ADB}">
              <a16:predDERef xmlns:a16="http://schemas.microsoft.com/office/drawing/2014/main" pred="{16F1FF42-64BE-474E-836A-54D4FF04C246}"/>
            </a:ext>
          </a:extLst>
        </xdr:cNvPr>
        <xdr:cNvSpPr/>
      </xdr:nvSpPr>
      <xdr:spPr>
        <a:xfrm>
          <a:off x="20326350" y="2447925"/>
          <a:ext cx="428625" cy="428625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dk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D</a:t>
          </a:r>
        </a:p>
      </xdr:txBody>
    </xdr:sp>
    <xdr:clientData/>
  </xdr:twoCellAnchor>
  <xdr:twoCellAnchor>
    <xdr:from>
      <xdr:col>30</xdr:col>
      <xdr:colOff>142875</xdr:colOff>
      <xdr:row>11</xdr:row>
      <xdr:rowOff>104775</xdr:rowOff>
    </xdr:from>
    <xdr:to>
      <xdr:col>30</xdr:col>
      <xdr:colOff>542925</xdr:colOff>
      <xdr:row>12</xdr:row>
      <xdr:rowOff>123825</xdr:rowOff>
    </xdr:to>
    <xdr:sp macro="" textlink="">
      <xdr:nvSpPr>
        <xdr:cNvPr id="11" name="Freccia DESTRA 10">
          <a:extLst>
            <a:ext uri="{FF2B5EF4-FFF2-40B4-BE49-F238E27FC236}">
              <a16:creationId xmlns:a16="http://schemas.microsoft.com/office/drawing/2014/main" id="{4C25E7C0-4235-419A-89A0-46F690C79422}"/>
            </a:ext>
            <a:ext uri="{147F2762-F138-4A5C-976F-8EAC2B608ADB}">
              <a16:predDERef xmlns:a16="http://schemas.microsoft.com/office/drawing/2014/main" pred="{3A8363F3-0472-40CD-AFFB-D571AB82335A}"/>
            </a:ext>
          </a:extLst>
        </xdr:cNvPr>
        <xdr:cNvSpPr/>
      </xdr:nvSpPr>
      <xdr:spPr>
        <a:xfrm>
          <a:off x="18630900" y="2552700"/>
          <a:ext cx="400050" cy="22860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32</xdr:col>
      <xdr:colOff>9525</xdr:colOff>
      <xdr:row>11</xdr:row>
      <xdr:rowOff>104775</xdr:rowOff>
    </xdr:from>
    <xdr:to>
      <xdr:col>32</xdr:col>
      <xdr:colOff>409575</xdr:colOff>
      <xdr:row>12</xdr:row>
      <xdr:rowOff>123825</xdr:rowOff>
    </xdr:to>
    <xdr:sp macro="" textlink="">
      <xdr:nvSpPr>
        <xdr:cNvPr id="12" name="Freccia DESTRA 11">
          <a:extLst>
            <a:ext uri="{FF2B5EF4-FFF2-40B4-BE49-F238E27FC236}">
              <a16:creationId xmlns:a16="http://schemas.microsoft.com/office/drawing/2014/main" id="{63E61933-5A64-46EB-BAA3-4AD62C4B1795}"/>
            </a:ext>
            <a:ext uri="{147F2762-F138-4A5C-976F-8EAC2B608ADB}">
              <a16:predDERef xmlns:a16="http://schemas.microsoft.com/office/drawing/2014/main" pred="{4C25E7C0-4235-419A-89A0-46F690C79422}"/>
            </a:ext>
          </a:extLst>
        </xdr:cNvPr>
        <xdr:cNvSpPr/>
      </xdr:nvSpPr>
      <xdr:spPr>
        <a:xfrm>
          <a:off x="19773900" y="2552700"/>
          <a:ext cx="400050" cy="22860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34</xdr:col>
      <xdr:colOff>438150</xdr:colOff>
      <xdr:row>11</xdr:row>
      <xdr:rowOff>0</xdr:rowOff>
    </xdr:from>
    <xdr:to>
      <xdr:col>35</xdr:col>
      <xdr:colOff>276225</xdr:colOff>
      <xdr:row>13</xdr:row>
      <xdr:rowOff>9525</xdr:rowOff>
    </xdr:to>
    <xdr:sp macro="" textlink="">
      <xdr:nvSpPr>
        <xdr:cNvPr id="13" name="Diagramma di flusso: processo alternativo 12">
          <a:extLst>
            <a:ext uri="{FF2B5EF4-FFF2-40B4-BE49-F238E27FC236}">
              <a16:creationId xmlns:a16="http://schemas.microsoft.com/office/drawing/2014/main" id="{D18442D7-464E-459C-9933-8C7C18E8B108}"/>
            </a:ext>
            <a:ext uri="{147F2762-F138-4A5C-976F-8EAC2B608ADB}">
              <a16:predDERef xmlns:a16="http://schemas.microsoft.com/office/drawing/2014/main" pred="{63E61933-5A64-46EB-BAA3-4AD62C4B1795}"/>
            </a:ext>
          </a:extLst>
        </xdr:cNvPr>
        <xdr:cNvSpPr/>
      </xdr:nvSpPr>
      <xdr:spPr>
        <a:xfrm>
          <a:off x="21478875" y="2447925"/>
          <a:ext cx="428625" cy="428625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dk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E</a:t>
          </a:r>
        </a:p>
      </xdr:txBody>
    </xdr:sp>
    <xdr:clientData/>
  </xdr:twoCellAnchor>
  <xdr:twoCellAnchor>
    <xdr:from>
      <xdr:col>36</xdr:col>
      <xdr:colOff>266700</xdr:colOff>
      <xdr:row>11</xdr:row>
      <xdr:rowOff>0</xdr:rowOff>
    </xdr:from>
    <xdr:to>
      <xdr:col>37</xdr:col>
      <xdr:colOff>9525</xdr:colOff>
      <xdr:row>13</xdr:row>
      <xdr:rowOff>9525</xdr:rowOff>
    </xdr:to>
    <xdr:sp macro="" textlink="">
      <xdr:nvSpPr>
        <xdr:cNvPr id="14" name="Diagramma di flusso: processo alternativo 13">
          <a:extLst>
            <a:ext uri="{FF2B5EF4-FFF2-40B4-BE49-F238E27FC236}">
              <a16:creationId xmlns:a16="http://schemas.microsoft.com/office/drawing/2014/main" id="{C9B750CE-DECE-4303-9B43-D5AD87D6B36B}"/>
            </a:ext>
            <a:ext uri="{147F2762-F138-4A5C-976F-8EAC2B608ADB}">
              <a16:predDERef xmlns:a16="http://schemas.microsoft.com/office/drawing/2014/main" pred="{D18442D7-464E-459C-9933-8C7C18E8B108}"/>
            </a:ext>
          </a:extLst>
        </xdr:cNvPr>
        <xdr:cNvSpPr/>
      </xdr:nvSpPr>
      <xdr:spPr>
        <a:xfrm>
          <a:off x="22583775" y="2447925"/>
          <a:ext cx="428625" cy="428625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dk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F</a:t>
          </a:r>
        </a:p>
      </xdr:txBody>
    </xdr:sp>
    <xdr:clientData/>
  </xdr:twoCellAnchor>
  <xdr:twoCellAnchor>
    <xdr:from>
      <xdr:col>38</xdr:col>
      <xdr:colOff>428625</xdr:colOff>
      <xdr:row>15</xdr:row>
      <xdr:rowOff>95250</xdr:rowOff>
    </xdr:from>
    <xdr:to>
      <xdr:col>39</xdr:col>
      <xdr:colOff>266700</xdr:colOff>
      <xdr:row>17</xdr:row>
      <xdr:rowOff>104775</xdr:rowOff>
    </xdr:to>
    <xdr:sp macro="" textlink="">
      <xdr:nvSpPr>
        <xdr:cNvPr id="15" name="Diagramma di flusso: processo alternativo 14">
          <a:extLst>
            <a:ext uri="{FF2B5EF4-FFF2-40B4-BE49-F238E27FC236}">
              <a16:creationId xmlns:a16="http://schemas.microsoft.com/office/drawing/2014/main" id="{2FB085E8-1B84-48A9-9920-9AA5B37FA0B4}"/>
            </a:ext>
            <a:ext uri="{147F2762-F138-4A5C-976F-8EAC2B608ADB}">
              <a16:predDERef xmlns:a16="http://schemas.microsoft.com/office/drawing/2014/main" pred="{C9B750CE-DECE-4303-9B43-D5AD87D6B36B}"/>
            </a:ext>
          </a:extLst>
        </xdr:cNvPr>
        <xdr:cNvSpPr/>
      </xdr:nvSpPr>
      <xdr:spPr>
        <a:xfrm>
          <a:off x="24279225" y="3381375"/>
          <a:ext cx="428625" cy="428625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dk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</a:t>
          </a:r>
        </a:p>
      </xdr:txBody>
    </xdr:sp>
    <xdr:clientData/>
  </xdr:twoCellAnchor>
  <xdr:twoCellAnchor>
    <xdr:from>
      <xdr:col>42</xdr:col>
      <xdr:colOff>238125</xdr:colOff>
      <xdr:row>15</xdr:row>
      <xdr:rowOff>85725</xdr:rowOff>
    </xdr:from>
    <xdr:to>
      <xdr:col>43</xdr:col>
      <xdr:colOff>76200</xdr:colOff>
      <xdr:row>17</xdr:row>
      <xdr:rowOff>95250</xdr:rowOff>
    </xdr:to>
    <xdr:sp macro="" textlink="">
      <xdr:nvSpPr>
        <xdr:cNvPr id="16" name="Diagramma di flusso: processo alternativo 15">
          <a:extLst>
            <a:ext uri="{FF2B5EF4-FFF2-40B4-BE49-F238E27FC236}">
              <a16:creationId xmlns:a16="http://schemas.microsoft.com/office/drawing/2014/main" id="{BCA3FA0A-46F2-40EC-8092-541B98A7E9AC}"/>
            </a:ext>
            <a:ext uri="{147F2762-F138-4A5C-976F-8EAC2B608ADB}">
              <a16:predDERef xmlns:a16="http://schemas.microsoft.com/office/drawing/2014/main" pred="{2FB085E8-1B84-48A9-9920-9AA5B37FA0B4}"/>
            </a:ext>
          </a:extLst>
        </xdr:cNvPr>
        <xdr:cNvSpPr/>
      </xdr:nvSpPr>
      <xdr:spPr>
        <a:xfrm>
          <a:off x="26450925" y="3371850"/>
          <a:ext cx="428625" cy="428625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dk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M</a:t>
          </a:r>
        </a:p>
      </xdr:txBody>
    </xdr:sp>
    <xdr:clientData/>
  </xdr:twoCellAnchor>
  <xdr:twoCellAnchor>
    <xdr:from>
      <xdr:col>40</xdr:col>
      <xdr:colOff>323850</xdr:colOff>
      <xdr:row>15</xdr:row>
      <xdr:rowOff>95250</xdr:rowOff>
    </xdr:from>
    <xdr:to>
      <xdr:col>41</xdr:col>
      <xdr:colOff>161925</xdr:colOff>
      <xdr:row>17</xdr:row>
      <xdr:rowOff>104775</xdr:rowOff>
    </xdr:to>
    <xdr:sp macro="" textlink="">
      <xdr:nvSpPr>
        <xdr:cNvPr id="17" name="Diagramma di flusso: processo alternativo 16">
          <a:extLst>
            <a:ext uri="{FF2B5EF4-FFF2-40B4-BE49-F238E27FC236}">
              <a16:creationId xmlns:a16="http://schemas.microsoft.com/office/drawing/2014/main" id="{D994AC62-729C-4E0D-BF9F-93500212D366}"/>
            </a:ext>
            <a:ext uri="{147F2762-F138-4A5C-976F-8EAC2B608ADB}">
              <a16:predDERef xmlns:a16="http://schemas.microsoft.com/office/drawing/2014/main" pred="{BCA3FA0A-46F2-40EC-8092-541B98A7E9AC}"/>
            </a:ext>
          </a:extLst>
        </xdr:cNvPr>
        <xdr:cNvSpPr/>
      </xdr:nvSpPr>
      <xdr:spPr>
        <a:xfrm>
          <a:off x="25355550" y="3381375"/>
          <a:ext cx="428625" cy="428625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dk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L</a:t>
          </a:r>
        </a:p>
      </xdr:txBody>
    </xdr:sp>
    <xdr:clientData/>
  </xdr:twoCellAnchor>
  <xdr:twoCellAnchor>
    <xdr:from>
      <xdr:col>37</xdr:col>
      <xdr:colOff>714375</xdr:colOff>
      <xdr:row>11</xdr:row>
      <xdr:rowOff>0</xdr:rowOff>
    </xdr:from>
    <xdr:to>
      <xdr:col>38</xdr:col>
      <xdr:colOff>295275</xdr:colOff>
      <xdr:row>13</xdr:row>
      <xdr:rowOff>9525</xdr:rowOff>
    </xdr:to>
    <xdr:sp macro="" textlink="">
      <xdr:nvSpPr>
        <xdr:cNvPr id="18" name="Diagramma di flusso: processo alternativo 17">
          <a:extLst>
            <a:ext uri="{FF2B5EF4-FFF2-40B4-BE49-F238E27FC236}">
              <a16:creationId xmlns:a16="http://schemas.microsoft.com/office/drawing/2014/main" id="{CB5B2332-BE27-4E7E-B1A3-2288A8C8CD58}"/>
            </a:ext>
            <a:ext uri="{147F2762-F138-4A5C-976F-8EAC2B608ADB}">
              <a16:predDERef xmlns:a16="http://schemas.microsoft.com/office/drawing/2014/main" pred="{D994AC62-729C-4E0D-BF9F-93500212D366}"/>
            </a:ext>
          </a:extLst>
        </xdr:cNvPr>
        <xdr:cNvSpPr/>
      </xdr:nvSpPr>
      <xdr:spPr>
        <a:xfrm>
          <a:off x="23717250" y="2447925"/>
          <a:ext cx="428625" cy="428625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dk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G</a:t>
          </a:r>
        </a:p>
      </xdr:txBody>
    </xdr:sp>
    <xdr:clientData/>
  </xdr:twoCellAnchor>
  <xdr:twoCellAnchor>
    <xdr:from>
      <xdr:col>37</xdr:col>
      <xdr:colOff>161925</xdr:colOff>
      <xdr:row>15</xdr:row>
      <xdr:rowOff>76200</xdr:rowOff>
    </xdr:from>
    <xdr:to>
      <xdr:col>37</xdr:col>
      <xdr:colOff>590550</xdr:colOff>
      <xdr:row>17</xdr:row>
      <xdr:rowOff>85725</xdr:rowOff>
    </xdr:to>
    <xdr:sp macro="" textlink="">
      <xdr:nvSpPr>
        <xdr:cNvPr id="19" name="Diagramma di flusso: processo alternativo 18">
          <a:extLst>
            <a:ext uri="{FF2B5EF4-FFF2-40B4-BE49-F238E27FC236}">
              <a16:creationId xmlns:a16="http://schemas.microsoft.com/office/drawing/2014/main" id="{C10DBC8C-94E5-44C6-BF8C-F7BAA41DE1AB}"/>
            </a:ext>
            <a:ext uri="{147F2762-F138-4A5C-976F-8EAC2B608ADB}">
              <a16:predDERef xmlns:a16="http://schemas.microsoft.com/office/drawing/2014/main" pred="{CB5B2332-BE27-4E7E-B1A3-2288A8C8CD58}"/>
            </a:ext>
          </a:extLst>
        </xdr:cNvPr>
        <xdr:cNvSpPr/>
      </xdr:nvSpPr>
      <xdr:spPr>
        <a:xfrm>
          <a:off x="23164800" y="3362325"/>
          <a:ext cx="428625" cy="428625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dk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H</a:t>
          </a:r>
        </a:p>
      </xdr:txBody>
    </xdr:sp>
    <xdr:clientData/>
  </xdr:twoCellAnchor>
  <xdr:twoCellAnchor>
    <xdr:from>
      <xdr:col>33</xdr:col>
      <xdr:colOff>581025</xdr:colOff>
      <xdr:row>11</xdr:row>
      <xdr:rowOff>104775</xdr:rowOff>
    </xdr:from>
    <xdr:to>
      <xdr:col>34</xdr:col>
      <xdr:colOff>295275</xdr:colOff>
      <xdr:row>12</xdr:row>
      <xdr:rowOff>123825</xdr:rowOff>
    </xdr:to>
    <xdr:sp macro="" textlink="">
      <xdr:nvSpPr>
        <xdr:cNvPr id="20" name="Freccia DESTRA 19">
          <a:extLst>
            <a:ext uri="{FF2B5EF4-FFF2-40B4-BE49-F238E27FC236}">
              <a16:creationId xmlns:a16="http://schemas.microsoft.com/office/drawing/2014/main" id="{3A5C28DB-B00E-46A1-B23E-B53B6AFB20B7}"/>
            </a:ext>
            <a:ext uri="{147F2762-F138-4A5C-976F-8EAC2B608ADB}">
              <a16:predDERef xmlns:a16="http://schemas.microsoft.com/office/drawing/2014/main" pred="{C10DBC8C-94E5-44C6-BF8C-F7BAA41DE1AB}"/>
            </a:ext>
          </a:extLst>
        </xdr:cNvPr>
        <xdr:cNvSpPr/>
      </xdr:nvSpPr>
      <xdr:spPr>
        <a:xfrm>
          <a:off x="20935950" y="2552700"/>
          <a:ext cx="400050" cy="22860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35</xdr:col>
      <xdr:colOff>428625</xdr:colOff>
      <xdr:row>11</xdr:row>
      <xdr:rowOff>95250</xdr:rowOff>
    </xdr:from>
    <xdr:to>
      <xdr:col>36</xdr:col>
      <xdr:colOff>142875</xdr:colOff>
      <xdr:row>12</xdr:row>
      <xdr:rowOff>114300</xdr:rowOff>
    </xdr:to>
    <xdr:sp macro="" textlink="">
      <xdr:nvSpPr>
        <xdr:cNvPr id="21" name="Freccia DESTRA 20">
          <a:extLst>
            <a:ext uri="{FF2B5EF4-FFF2-40B4-BE49-F238E27FC236}">
              <a16:creationId xmlns:a16="http://schemas.microsoft.com/office/drawing/2014/main" id="{9D197989-D747-4DEE-B418-4951D83467A9}"/>
            </a:ext>
            <a:ext uri="{147F2762-F138-4A5C-976F-8EAC2B608ADB}">
              <a16:predDERef xmlns:a16="http://schemas.microsoft.com/office/drawing/2014/main" pred="{3A5C28DB-B00E-46A1-B23E-B53B6AFB20B7}"/>
            </a:ext>
          </a:extLst>
        </xdr:cNvPr>
        <xdr:cNvSpPr/>
      </xdr:nvSpPr>
      <xdr:spPr>
        <a:xfrm>
          <a:off x="22059900" y="2543175"/>
          <a:ext cx="400050" cy="22860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37</xdr:col>
      <xdr:colOff>180975</xdr:colOff>
      <xdr:row>11</xdr:row>
      <xdr:rowOff>95250</xdr:rowOff>
    </xdr:from>
    <xdr:to>
      <xdr:col>37</xdr:col>
      <xdr:colOff>581025</xdr:colOff>
      <xdr:row>12</xdr:row>
      <xdr:rowOff>114300</xdr:rowOff>
    </xdr:to>
    <xdr:sp macro="" textlink="">
      <xdr:nvSpPr>
        <xdr:cNvPr id="22" name="Freccia DESTRA 21">
          <a:extLst>
            <a:ext uri="{FF2B5EF4-FFF2-40B4-BE49-F238E27FC236}">
              <a16:creationId xmlns:a16="http://schemas.microsoft.com/office/drawing/2014/main" id="{F41F4A23-1482-447B-9446-EBE48C7E31DC}"/>
            </a:ext>
            <a:ext uri="{147F2762-F138-4A5C-976F-8EAC2B608ADB}">
              <a16:predDERef xmlns:a16="http://schemas.microsoft.com/office/drawing/2014/main" pred="{9D197989-D747-4DEE-B418-4951D83467A9}"/>
            </a:ext>
          </a:extLst>
        </xdr:cNvPr>
        <xdr:cNvSpPr/>
      </xdr:nvSpPr>
      <xdr:spPr>
        <a:xfrm>
          <a:off x="23183850" y="2543175"/>
          <a:ext cx="400050" cy="22860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37</xdr:col>
      <xdr:colOff>0</xdr:colOff>
      <xdr:row>13</xdr:row>
      <xdr:rowOff>76200</xdr:rowOff>
    </xdr:from>
    <xdr:to>
      <xdr:col>37</xdr:col>
      <xdr:colOff>228600</xdr:colOff>
      <xdr:row>15</xdr:row>
      <xdr:rowOff>57150</xdr:rowOff>
    </xdr:to>
    <xdr:sp macro="" textlink="">
      <xdr:nvSpPr>
        <xdr:cNvPr id="23" name="Freccia DESTRA 22">
          <a:extLst>
            <a:ext uri="{FF2B5EF4-FFF2-40B4-BE49-F238E27FC236}">
              <a16:creationId xmlns:a16="http://schemas.microsoft.com/office/drawing/2014/main" id="{513A3A31-1BFD-44F0-A2DC-0D6E5CF308C5}"/>
            </a:ext>
            <a:ext uri="{147F2762-F138-4A5C-976F-8EAC2B608ADB}">
              <a16:predDERef xmlns:a16="http://schemas.microsoft.com/office/drawing/2014/main" pred="{F41F4A23-1482-447B-9446-EBE48C7E31DC}"/>
            </a:ext>
          </a:extLst>
        </xdr:cNvPr>
        <xdr:cNvSpPr/>
      </xdr:nvSpPr>
      <xdr:spPr>
        <a:xfrm rot="2776382">
          <a:off x="22917150" y="3028950"/>
          <a:ext cx="400050" cy="22860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37</xdr:col>
      <xdr:colOff>533400</xdr:colOff>
      <xdr:row>13</xdr:row>
      <xdr:rowOff>66675</xdr:rowOff>
    </xdr:from>
    <xdr:to>
      <xdr:col>37</xdr:col>
      <xdr:colOff>762000</xdr:colOff>
      <xdr:row>15</xdr:row>
      <xdr:rowOff>47625</xdr:rowOff>
    </xdr:to>
    <xdr:sp macro="" textlink="">
      <xdr:nvSpPr>
        <xdr:cNvPr id="24" name="Freccia DESTRA 23">
          <a:extLst>
            <a:ext uri="{FF2B5EF4-FFF2-40B4-BE49-F238E27FC236}">
              <a16:creationId xmlns:a16="http://schemas.microsoft.com/office/drawing/2014/main" id="{40EC3018-5CAF-44DA-958C-EC9B4E7CA4A7}"/>
            </a:ext>
            <a:ext uri="{147F2762-F138-4A5C-976F-8EAC2B608ADB}">
              <a16:predDERef xmlns:a16="http://schemas.microsoft.com/office/drawing/2014/main" pred="{513A3A31-1BFD-44F0-A2DC-0D6E5CF308C5}"/>
            </a:ext>
          </a:extLst>
        </xdr:cNvPr>
        <xdr:cNvSpPr/>
      </xdr:nvSpPr>
      <xdr:spPr>
        <a:xfrm rot="7845816">
          <a:off x="23450550" y="3019425"/>
          <a:ext cx="400050" cy="22860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37</xdr:col>
      <xdr:colOff>762000</xdr:colOff>
      <xdr:row>15</xdr:row>
      <xdr:rowOff>190500</xdr:rowOff>
    </xdr:from>
    <xdr:to>
      <xdr:col>38</xdr:col>
      <xdr:colOff>314325</xdr:colOff>
      <xdr:row>17</xdr:row>
      <xdr:rowOff>0</xdr:rowOff>
    </xdr:to>
    <xdr:sp macro="" textlink="">
      <xdr:nvSpPr>
        <xdr:cNvPr id="25" name="Freccia DESTRA 24">
          <a:extLst>
            <a:ext uri="{FF2B5EF4-FFF2-40B4-BE49-F238E27FC236}">
              <a16:creationId xmlns:a16="http://schemas.microsoft.com/office/drawing/2014/main" id="{3B850E34-DF84-40EA-ADDF-A539B53CDA7C}"/>
            </a:ext>
            <a:ext uri="{147F2762-F138-4A5C-976F-8EAC2B608ADB}">
              <a16:predDERef xmlns:a16="http://schemas.microsoft.com/office/drawing/2014/main" pred="{40EC3018-5CAF-44DA-958C-EC9B4E7CA4A7}"/>
            </a:ext>
          </a:extLst>
        </xdr:cNvPr>
        <xdr:cNvSpPr/>
      </xdr:nvSpPr>
      <xdr:spPr>
        <a:xfrm>
          <a:off x="23764875" y="3476625"/>
          <a:ext cx="400050" cy="22860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39</xdr:col>
      <xdr:colOff>409575</xdr:colOff>
      <xdr:row>15</xdr:row>
      <xdr:rowOff>190500</xdr:rowOff>
    </xdr:from>
    <xdr:to>
      <xdr:col>40</xdr:col>
      <xdr:colOff>219075</xdr:colOff>
      <xdr:row>17</xdr:row>
      <xdr:rowOff>0</xdr:rowOff>
    </xdr:to>
    <xdr:sp macro="" textlink="">
      <xdr:nvSpPr>
        <xdr:cNvPr id="26" name="Freccia DESTRA 25">
          <a:extLst>
            <a:ext uri="{FF2B5EF4-FFF2-40B4-BE49-F238E27FC236}">
              <a16:creationId xmlns:a16="http://schemas.microsoft.com/office/drawing/2014/main" id="{76A1F7F2-FABB-4888-8A70-045FB1111F94}"/>
            </a:ext>
            <a:ext uri="{147F2762-F138-4A5C-976F-8EAC2B608ADB}">
              <a16:predDERef xmlns:a16="http://schemas.microsoft.com/office/drawing/2014/main" pred="{3B850E34-DF84-40EA-ADDF-A539B53CDA7C}"/>
            </a:ext>
          </a:extLst>
        </xdr:cNvPr>
        <xdr:cNvSpPr/>
      </xdr:nvSpPr>
      <xdr:spPr>
        <a:xfrm>
          <a:off x="24850725" y="3476625"/>
          <a:ext cx="400050" cy="22860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41</xdr:col>
      <xdr:colOff>314325</xdr:colOff>
      <xdr:row>15</xdr:row>
      <xdr:rowOff>200025</xdr:rowOff>
    </xdr:from>
    <xdr:to>
      <xdr:col>42</xdr:col>
      <xdr:colOff>123825</xdr:colOff>
      <xdr:row>17</xdr:row>
      <xdr:rowOff>9525</xdr:rowOff>
    </xdr:to>
    <xdr:sp macro="" textlink="">
      <xdr:nvSpPr>
        <xdr:cNvPr id="27" name="Freccia DESTRA 26">
          <a:extLst>
            <a:ext uri="{FF2B5EF4-FFF2-40B4-BE49-F238E27FC236}">
              <a16:creationId xmlns:a16="http://schemas.microsoft.com/office/drawing/2014/main" id="{89DBCE0C-A036-4C7F-8404-8A8B9845F087}"/>
            </a:ext>
            <a:ext uri="{147F2762-F138-4A5C-976F-8EAC2B608ADB}">
              <a16:predDERef xmlns:a16="http://schemas.microsoft.com/office/drawing/2014/main" pred="{76A1F7F2-FABB-4888-8A70-045FB1111F94}"/>
            </a:ext>
          </a:extLst>
        </xdr:cNvPr>
        <xdr:cNvSpPr/>
      </xdr:nvSpPr>
      <xdr:spPr>
        <a:xfrm>
          <a:off x="25936575" y="3486150"/>
          <a:ext cx="400050" cy="22860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41</xdr:col>
      <xdr:colOff>295275</xdr:colOff>
      <xdr:row>19</xdr:row>
      <xdr:rowOff>190500</xdr:rowOff>
    </xdr:from>
    <xdr:to>
      <xdr:col>42</xdr:col>
      <xdr:colOff>133350</xdr:colOff>
      <xdr:row>21</xdr:row>
      <xdr:rowOff>171450</xdr:rowOff>
    </xdr:to>
    <xdr:sp macro="" textlink="">
      <xdr:nvSpPr>
        <xdr:cNvPr id="28" name="Diagramma di flusso: processo alternativo 27">
          <a:extLst>
            <a:ext uri="{FF2B5EF4-FFF2-40B4-BE49-F238E27FC236}">
              <a16:creationId xmlns:a16="http://schemas.microsoft.com/office/drawing/2014/main" id="{E852B8F0-B3F8-4AE5-B7A7-AA92A4DFB6E2}"/>
            </a:ext>
            <a:ext uri="{147F2762-F138-4A5C-976F-8EAC2B608ADB}">
              <a16:predDERef xmlns:a16="http://schemas.microsoft.com/office/drawing/2014/main" pred="{89DBCE0C-A036-4C7F-8404-8A8B9845F087}"/>
            </a:ext>
          </a:extLst>
        </xdr:cNvPr>
        <xdr:cNvSpPr/>
      </xdr:nvSpPr>
      <xdr:spPr>
        <a:xfrm>
          <a:off x="25917525" y="4314825"/>
          <a:ext cx="428625" cy="428625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dk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N</a:t>
          </a:r>
        </a:p>
      </xdr:txBody>
    </xdr:sp>
    <xdr:clientData/>
  </xdr:twoCellAnchor>
  <xdr:twoCellAnchor>
    <xdr:from>
      <xdr:col>41</xdr:col>
      <xdr:colOff>133350</xdr:colOff>
      <xdr:row>17</xdr:row>
      <xdr:rowOff>180975</xdr:rowOff>
    </xdr:from>
    <xdr:to>
      <xdr:col>41</xdr:col>
      <xdr:colOff>361950</xdr:colOff>
      <xdr:row>19</xdr:row>
      <xdr:rowOff>161925</xdr:rowOff>
    </xdr:to>
    <xdr:sp macro="" textlink="">
      <xdr:nvSpPr>
        <xdr:cNvPr id="29" name="Freccia DESTRA 28">
          <a:extLst>
            <a:ext uri="{FF2B5EF4-FFF2-40B4-BE49-F238E27FC236}">
              <a16:creationId xmlns:a16="http://schemas.microsoft.com/office/drawing/2014/main" id="{3F569541-3790-43CD-86B0-388C054C7BAD}"/>
            </a:ext>
            <a:ext uri="{147F2762-F138-4A5C-976F-8EAC2B608ADB}">
              <a16:predDERef xmlns:a16="http://schemas.microsoft.com/office/drawing/2014/main" pred="{E852B8F0-B3F8-4AE5-B7A7-AA92A4DFB6E2}"/>
            </a:ext>
          </a:extLst>
        </xdr:cNvPr>
        <xdr:cNvSpPr/>
      </xdr:nvSpPr>
      <xdr:spPr>
        <a:xfrm rot="2776382">
          <a:off x="25669875" y="3971925"/>
          <a:ext cx="400050" cy="22860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42</xdr:col>
      <xdr:colOff>66675</xdr:colOff>
      <xdr:row>17</xdr:row>
      <xdr:rowOff>171450</xdr:rowOff>
    </xdr:from>
    <xdr:to>
      <xdr:col>42</xdr:col>
      <xdr:colOff>295275</xdr:colOff>
      <xdr:row>19</xdr:row>
      <xdr:rowOff>152400</xdr:rowOff>
    </xdr:to>
    <xdr:sp macro="" textlink="">
      <xdr:nvSpPr>
        <xdr:cNvPr id="30" name="Freccia DESTRA 29">
          <a:extLst>
            <a:ext uri="{FF2B5EF4-FFF2-40B4-BE49-F238E27FC236}">
              <a16:creationId xmlns:a16="http://schemas.microsoft.com/office/drawing/2014/main" id="{B28A61A8-A35A-4BE0-9DEB-C6269A9DE8BE}"/>
            </a:ext>
            <a:ext uri="{147F2762-F138-4A5C-976F-8EAC2B608ADB}">
              <a16:predDERef xmlns:a16="http://schemas.microsoft.com/office/drawing/2014/main" pred="{3F569541-3790-43CD-86B0-388C054C7BAD}"/>
            </a:ext>
          </a:extLst>
        </xdr:cNvPr>
        <xdr:cNvSpPr/>
      </xdr:nvSpPr>
      <xdr:spPr>
        <a:xfrm rot="7845816">
          <a:off x="26193750" y="3962400"/>
          <a:ext cx="400050" cy="22860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43</xdr:col>
      <xdr:colOff>228600</xdr:colOff>
      <xdr:row>20</xdr:row>
      <xdr:rowOff>0</xdr:rowOff>
    </xdr:from>
    <xdr:to>
      <xdr:col>44</xdr:col>
      <xdr:colOff>66675</xdr:colOff>
      <xdr:row>21</xdr:row>
      <xdr:rowOff>190500</xdr:rowOff>
    </xdr:to>
    <xdr:sp macro="" textlink="">
      <xdr:nvSpPr>
        <xdr:cNvPr id="31" name="Diagramma di flusso: processo alternativo 30">
          <a:extLst>
            <a:ext uri="{FF2B5EF4-FFF2-40B4-BE49-F238E27FC236}">
              <a16:creationId xmlns:a16="http://schemas.microsoft.com/office/drawing/2014/main" id="{7693B598-2AAA-48E3-9BF3-B74C78D1CF95}"/>
            </a:ext>
            <a:ext uri="{147F2762-F138-4A5C-976F-8EAC2B608ADB}">
              <a16:predDERef xmlns:a16="http://schemas.microsoft.com/office/drawing/2014/main" pred="{B28A61A8-A35A-4BE0-9DEB-C6269A9DE8BE}"/>
            </a:ext>
          </a:extLst>
        </xdr:cNvPr>
        <xdr:cNvSpPr/>
      </xdr:nvSpPr>
      <xdr:spPr>
        <a:xfrm>
          <a:off x="27031950" y="4333875"/>
          <a:ext cx="428625" cy="428625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dk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S</a:t>
          </a:r>
        </a:p>
      </xdr:txBody>
    </xdr:sp>
    <xdr:clientData/>
  </xdr:twoCellAnchor>
  <xdr:twoCellAnchor>
    <xdr:from>
      <xdr:col>42</xdr:col>
      <xdr:colOff>295275</xdr:colOff>
      <xdr:row>20</xdr:row>
      <xdr:rowOff>95250</xdr:rowOff>
    </xdr:from>
    <xdr:to>
      <xdr:col>43</xdr:col>
      <xdr:colOff>104775</xdr:colOff>
      <xdr:row>21</xdr:row>
      <xdr:rowOff>85725</xdr:rowOff>
    </xdr:to>
    <xdr:sp macro="" textlink="">
      <xdr:nvSpPr>
        <xdr:cNvPr id="32" name="Freccia DESTRA 31">
          <a:extLst>
            <a:ext uri="{FF2B5EF4-FFF2-40B4-BE49-F238E27FC236}">
              <a16:creationId xmlns:a16="http://schemas.microsoft.com/office/drawing/2014/main" id="{F28A1939-EE05-47CB-94ED-17F4C6D4B7A2}"/>
            </a:ext>
            <a:ext uri="{147F2762-F138-4A5C-976F-8EAC2B608ADB}">
              <a16:predDERef xmlns:a16="http://schemas.microsoft.com/office/drawing/2014/main" pred="{7693B598-2AAA-48E3-9BF3-B74C78D1CF95}"/>
            </a:ext>
          </a:extLst>
        </xdr:cNvPr>
        <xdr:cNvSpPr/>
      </xdr:nvSpPr>
      <xdr:spPr>
        <a:xfrm>
          <a:off x="26508075" y="4429125"/>
          <a:ext cx="400050" cy="22860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257175</xdr:colOff>
      <xdr:row>9</xdr:row>
      <xdr:rowOff>104775</xdr:rowOff>
    </xdr:from>
    <xdr:to>
      <xdr:col>28</xdr:col>
      <xdr:colOff>66675</xdr:colOff>
      <xdr:row>10</xdr:row>
      <xdr:rowOff>123825</xdr:rowOff>
    </xdr:to>
    <xdr:sp macro="" textlink="">
      <xdr:nvSpPr>
        <xdr:cNvPr id="29" name="Freccia DESTRA 2">
          <a:extLst>
            <a:ext uri="{FF2B5EF4-FFF2-40B4-BE49-F238E27FC236}">
              <a16:creationId xmlns:a16="http://schemas.microsoft.com/office/drawing/2014/main" id="{8D7803FB-2F70-422F-B4DF-CC9C5B2FB46E}"/>
            </a:ext>
            <a:ext uri="{147F2762-F138-4A5C-976F-8EAC2B608ADB}">
              <a16:predDERef xmlns:a16="http://schemas.microsoft.com/office/drawing/2014/main" pred="{7285FBEA-EC1B-5E48-F691-186CC8BDA161}"/>
            </a:ext>
          </a:extLst>
        </xdr:cNvPr>
        <xdr:cNvSpPr/>
      </xdr:nvSpPr>
      <xdr:spPr>
        <a:xfrm>
          <a:off x="17468850" y="2552700"/>
          <a:ext cx="400050" cy="22860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30</xdr:col>
      <xdr:colOff>85725</xdr:colOff>
      <xdr:row>9</xdr:row>
      <xdr:rowOff>9525</xdr:rowOff>
    </xdr:from>
    <xdr:to>
      <xdr:col>30</xdr:col>
      <xdr:colOff>514350</xdr:colOff>
      <xdr:row>11</xdr:row>
      <xdr:rowOff>19050</xdr:rowOff>
    </xdr:to>
    <xdr:sp macro="" textlink="">
      <xdr:nvSpPr>
        <xdr:cNvPr id="30" name="Diagramma di flusso: processo alternativo 5">
          <a:extLst>
            <a:ext uri="{FF2B5EF4-FFF2-40B4-BE49-F238E27FC236}">
              <a16:creationId xmlns:a16="http://schemas.microsoft.com/office/drawing/2014/main" id="{8B3C4C01-D307-4302-AF91-A0268C5DBCA0}"/>
            </a:ext>
            <a:ext uri="{147F2762-F138-4A5C-976F-8EAC2B608ADB}">
              <a16:predDERef xmlns:a16="http://schemas.microsoft.com/office/drawing/2014/main" pred="{8D7803FB-2F70-422F-B4DF-CC9C5B2FB46E}"/>
            </a:ext>
          </a:extLst>
        </xdr:cNvPr>
        <xdr:cNvSpPr/>
      </xdr:nvSpPr>
      <xdr:spPr>
        <a:xfrm>
          <a:off x="19164300" y="2457450"/>
          <a:ext cx="428625" cy="428625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800" b="0" i="0" u="none" strike="noStrike">
              <a:solidFill>
                <a:schemeClr val="dk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C</a:t>
          </a:r>
        </a:p>
      </xdr:txBody>
    </xdr:sp>
    <xdr:clientData/>
  </xdr:twoCellAnchor>
  <xdr:twoCellAnchor>
    <xdr:from>
      <xdr:col>26</xdr:col>
      <xdr:colOff>342900</xdr:colOff>
      <xdr:row>9</xdr:row>
      <xdr:rowOff>0</xdr:rowOff>
    </xdr:from>
    <xdr:to>
      <xdr:col>27</xdr:col>
      <xdr:colOff>85725</xdr:colOff>
      <xdr:row>11</xdr:row>
      <xdr:rowOff>9525</xdr:rowOff>
    </xdr:to>
    <xdr:sp macro="" textlink="">
      <xdr:nvSpPr>
        <xdr:cNvPr id="31" name="Diagramma di flusso: processo alternativo 7">
          <a:extLst>
            <a:ext uri="{FF2B5EF4-FFF2-40B4-BE49-F238E27FC236}">
              <a16:creationId xmlns:a16="http://schemas.microsoft.com/office/drawing/2014/main" id="{6F90722C-1A99-48B4-B273-E6AADB2233B1}"/>
            </a:ext>
            <a:ext uri="{147F2762-F138-4A5C-976F-8EAC2B608ADB}">
              <a16:predDERef xmlns:a16="http://schemas.microsoft.com/office/drawing/2014/main" pred="{8B3C4C01-D307-4302-AF91-A0268C5DBCA0}"/>
            </a:ext>
          </a:extLst>
        </xdr:cNvPr>
        <xdr:cNvSpPr/>
      </xdr:nvSpPr>
      <xdr:spPr>
        <a:xfrm>
          <a:off x="16868775" y="2447925"/>
          <a:ext cx="428625" cy="428625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dk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A</a:t>
          </a:r>
        </a:p>
      </xdr:txBody>
    </xdr:sp>
    <xdr:clientData/>
  </xdr:twoCellAnchor>
  <xdr:twoCellAnchor>
    <xdr:from>
      <xdr:col>28</xdr:col>
      <xdr:colOff>228600</xdr:colOff>
      <xdr:row>9</xdr:row>
      <xdr:rowOff>19050</xdr:rowOff>
    </xdr:from>
    <xdr:to>
      <xdr:col>28</xdr:col>
      <xdr:colOff>657225</xdr:colOff>
      <xdr:row>11</xdr:row>
      <xdr:rowOff>28575</xdr:rowOff>
    </xdr:to>
    <xdr:sp macro="" textlink="">
      <xdr:nvSpPr>
        <xdr:cNvPr id="32" name="Diagramma di flusso: processo alternativo 8">
          <a:extLst>
            <a:ext uri="{FF2B5EF4-FFF2-40B4-BE49-F238E27FC236}">
              <a16:creationId xmlns:a16="http://schemas.microsoft.com/office/drawing/2014/main" id="{DBD0F035-073E-45D6-9E8B-8D09980D5034}"/>
            </a:ext>
            <a:ext uri="{147F2762-F138-4A5C-976F-8EAC2B608ADB}">
              <a16:predDERef xmlns:a16="http://schemas.microsoft.com/office/drawing/2014/main" pred="{6F90722C-1A99-48B4-B273-E6AADB2233B1}"/>
            </a:ext>
          </a:extLst>
        </xdr:cNvPr>
        <xdr:cNvSpPr/>
      </xdr:nvSpPr>
      <xdr:spPr>
        <a:xfrm>
          <a:off x="18030825" y="2466975"/>
          <a:ext cx="428625" cy="428625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dk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B</a:t>
          </a:r>
        </a:p>
      </xdr:txBody>
    </xdr:sp>
    <xdr:clientData/>
  </xdr:twoCellAnchor>
  <xdr:twoCellAnchor>
    <xdr:from>
      <xdr:col>31</xdr:col>
      <xdr:colOff>561975</xdr:colOff>
      <xdr:row>9</xdr:row>
      <xdr:rowOff>0</xdr:rowOff>
    </xdr:from>
    <xdr:to>
      <xdr:col>32</xdr:col>
      <xdr:colOff>400050</xdr:colOff>
      <xdr:row>11</xdr:row>
      <xdr:rowOff>9525</xdr:rowOff>
    </xdr:to>
    <xdr:sp macro="" textlink="">
      <xdr:nvSpPr>
        <xdr:cNvPr id="33" name="Diagramma di flusso: processo alternativo 9">
          <a:extLst>
            <a:ext uri="{FF2B5EF4-FFF2-40B4-BE49-F238E27FC236}">
              <a16:creationId xmlns:a16="http://schemas.microsoft.com/office/drawing/2014/main" id="{9ECC3CA3-1DD6-4AC2-BFAE-3E262FE52E1D}"/>
            </a:ext>
            <a:ext uri="{147F2762-F138-4A5C-976F-8EAC2B608ADB}">
              <a16:predDERef xmlns:a16="http://schemas.microsoft.com/office/drawing/2014/main" pred="{DBD0F035-073E-45D6-9E8B-8D09980D5034}"/>
            </a:ext>
          </a:extLst>
        </xdr:cNvPr>
        <xdr:cNvSpPr/>
      </xdr:nvSpPr>
      <xdr:spPr>
        <a:xfrm>
          <a:off x="20326350" y="2447925"/>
          <a:ext cx="428625" cy="428625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dk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D</a:t>
          </a:r>
        </a:p>
      </xdr:txBody>
    </xdr:sp>
    <xdr:clientData/>
  </xdr:twoCellAnchor>
  <xdr:twoCellAnchor>
    <xdr:from>
      <xdr:col>29</xdr:col>
      <xdr:colOff>142875</xdr:colOff>
      <xdr:row>9</xdr:row>
      <xdr:rowOff>104775</xdr:rowOff>
    </xdr:from>
    <xdr:to>
      <xdr:col>29</xdr:col>
      <xdr:colOff>542925</xdr:colOff>
      <xdr:row>10</xdr:row>
      <xdr:rowOff>123825</xdr:rowOff>
    </xdr:to>
    <xdr:sp macro="" textlink="">
      <xdr:nvSpPr>
        <xdr:cNvPr id="34" name="Freccia DESTRA 10">
          <a:extLst>
            <a:ext uri="{FF2B5EF4-FFF2-40B4-BE49-F238E27FC236}">
              <a16:creationId xmlns:a16="http://schemas.microsoft.com/office/drawing/2014/main" id="{A85479BE-F903-4D24-A3A0-5259DDFC1A1C}"/>
            </a:ext>
            <a:ext uri="{147F2762-F138-4A5C-976F-8EAC2B608ADB}">
              <a16:predDERef xmlns:a16="http://schemas.microsoft.com/office/drawing/2014/main" pred="{9ECC3CA3-1DD6-4AC2-BFAE-3E262FE52E1D}"/>
            </a:ext>
          </a:extLst>
        </xdr:cNvPr>
        <xdr:cNvSpPr/>
      </xdr:nvSpPr>
      <xdr:spPr>
        <a:xfrm>
          <a:off x="18630900" y="2552700"/>
          <a:ext cx="400050" cy="22860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31</xdr:col>
      <xdr:colOff>9525</xdr:colOff>
      <xdr:row>9</xdr:row>
      <xdr:rowOff>104775</xdr:rowOff>
    </xdr:from>
    <xdr:to>
      <xdr:col>31</xdr:col>
      <xdr:colOff>409575</xdr:colOff>
      <xdr:row>10</xdr:row>
      <xdr:rowOff>123825</xdr:rowOff>
    </xdr:to>
    <xdr:sp macro="" textlink="">
      <xdr:nvSpPr>
        <xdr:cNvPr id="35" name="Freccia DESTRA 11">
          <a:extLst>
            <a:ext uri="{FF2B5EF4-FFF2-40B4-BE49-F238E27FC236}">
              <a16:creationId xmlns:a16="http://schemas.microsoft.com/office/drawing/2014/main" id="{4BEC95E3-20E0-4853-A5CF-C99D22E3D4D4}"/>
            </a:ext>
            <a:ext uri="{147F2762-F138-4A5C-976F-8EAC2B608ADB}">
              <a16:predDERef xmlns:a16="http://schemas.microsoft.com/office/drawing/2014/main" pred="{A85479BE-F903-4D24-A3A0-5259DDFC1A1C}"/>
            </a:ext>
          </a:extLst>
        </xdr:cNvPr>
        <xdr:cNvSpPr/>
      </xdr:nvSpPr>
      <xdr:spPr>
        <a:xfrm>
          <a:off x="19773900" y="2552700"/>
          <a:ext cx="400050" cy="22860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33</xdr:col>
      <xdr:colOff>438150</xdr:colOff>
      <xdr:row>9</xdr:row>
      <xdr:rowOff>0</xdr:rowOff>
    </xdr:from>
    <xdr:to>
      <xdr:col>34</xdr:col>
      <xdr:colOff>276225</xdr:colOff>
      <xdr:row>11</xdr:row>
      <xdr:rowOff>9525</xdr:rowOff>
    </xdr:to>
    <xdr:sp macro="" textlink="">
      <xdr:nvSpPr>
        <xdr:cNvPr id="36" name="Diagramma di flusso: processo alternativo 12">
          <a:extLst>
            <a:ext uri="{FF2B5EF4-FFF2-40B4-BE49-F238E27FC236}">
              <a16:creationId xmlns:a16="http://schemas.microsoft.com/office/drawing/2014/main" id="{9BBCA15E-4FE5-4EF4-886D-C1D214658C76}"/>
            </a:ext>
            <a:ext uri="{147F2762-F138-4A5C-976F-8EAC2B608ADB}">
              <a16:predDERef xmlns:a16="http://schemas.microsoft.com/office/drawing/2014/main" pred="{4BEC95E3-20E0-4853-A5CF-C99D22E3D4D4}"/>
            </a:ext>
          </a:extLst>
        </xdr:cNvPr>
        <xdr:cNvSpPr/>
      </xdr:nvSpPr>
      <xdr:spPr>
        <a:xfrm>
          <a:off x="21478875" y="2447925"/>
          <a:ext cx="428625" cy="428625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dk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E</a:t>
          </a:r>
        </a:p>
      </xdr:txBody>
    </xdr:sp>
    <xdr:clientData/>
  </xdr:twoCellAnchor>
  <xdr:twoCellAnchor>
    <xdr:from>
      <xdr:col>35</xdr:col>
      <xdr:colOff>266700</xdr:colOff>
      <xdr:row>9</xdr:row>
      <xdr:rowOff>0</xdr:rowOff>
    </xdr:from>
    <xdr:to>
      <xdr:col>36</xdr:col>
      <xdr:colOff>9525</xdr:colOff>
      <xdr:row>11</xdr:row>
      <xdr:rowOff>9525</xdr:rowOff>
    </xdr:to>
    <xdr:sp macro="" textlink="">
      <xdr:nvSpPr>
        <xdr:cNvPr id="37" name="Diagramma di flusso: processo alternativo 13">
          <a:extLst>
            <a:ext uri="{FF2B5EF4-FFF2-40B4-BE49-F238E27FC236}">
              <a16:creationId xmlns:a16="http://schemas.microsoft.com/office/drawing/2014/main" id="{88314143-458C-4759-92F9-5F9D041A1B19}"/>
            </a:ext>
            <a:ext uri="{147F2762-F138-4A5C-976F-8EAC2B608ADB}">
              <a16:predDERef xmlns:a16="http://schemas.microsoft.com/office/drawing/2014/main" pred="{9BBCA15E-4FE5-4EF4-886D-C1D214658C76}"/>
            </a:ext>
          </a:extLst>
        </xdr:cNvPr>
        <xdr:cNvSpPr/>
      </xdr:nvSpPr>
      <xdr:spPr>
        <a:xfrm>
          <a:off x="22583775" y="2447925"/>
          <a:ext cx="428625" cy="428625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dk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F</a:t>
          </a:r>
        </a:p>
      </xdr:txBody>
    </xdr:sp>
    <xdr:clientData/>
  </xdr:twoCellAnchor>
  <xdr:twoCellAnchor>
    <xdr:from>
      <xdr:col>37</xdr:col>
      <xdr:colOff>428625</xdr:colOff>
      <xdr:row>13</xdr:row>
      <xdr:rowOff>95250</xdr:rowOff>
    </xdr:from>
    <xdr:to>
      <xdr:col>38</xdr:col>
      <xdr:colOff>266700</xdr:colOff>
      <xdr:row>15</xdr:row>
      <xdr:rowOff>104775</xdr:rowOff>
    </xdr:to>
    <xdr:sp macro="" textlink="">
      <xdr:nvSpPr>
        <xdr:cNvPr id="38" name="Diagramma di flusso: processo alternativo 14">
          <a:extLst>
            <a:ext uri="{FF2B5EF4-FFF2-40B4-BE49-F238E27FC236}">
              <a16:creationId xmlns:a16="http://schemas.microsoft.com/office/drawing/2014/main" id="{EFF7F024-C03C-4950-BE19-4149DDA80EB1}"/>
            </a:ext>
            <a:ext uri="{147F2762-F138-4A5C-976F-8EAC2B608ADB}">
              <a16:predDERef xmlns:a16="http://schemas.microsoft.com/office/drawing/2014/main" pred="{88314143-458C-4759-92F9-5F9D041A1B19}"/>
            </a:ext>
          </a:extLst>
        </xdr:cNvPr>
        <xdr:cNvSpPr/>
      </xdr:nvSpPr>
      <xdr:spPr>
        <a:xfrm>
          <a:off x="24279225" y="3381375"/>
          <a:ext cx="428625" cy="428625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dk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</a:t>
          </a:r>
        </a:p>
      </xdr:txBody>
    </xdr:sp>
    <xdr:clientData/>
  </xdr:twoCellAnchor>
  <xdr:twoCellAnchor>
    <xdr:from>
      <xdr:col>41</xdr:col>
      <xdr:colOff>238125</xdr:colOff>
      <xdr:row>13</xdr:row>
      <xdr:rowOff>85725</xdr:rowOff>
    </xdr:from>
    <xdr:to>
      <xdr:col>42</xdr:col>
      <xdr:colOff>76200</xdr:colOff>
      <xdr:row>15</xdr:row>
      <xdr:rowOff>95250</xdr:rowOff>
    </xdr:to>
    <xdr:sp macro="" textlink="">
      <xdr:nvSpPr>
        <xdr:cNvPr id="39" name="Diagramma di flusso: processo alternativo 15">
          <a:extLst>
            <a:ext uri="{FF2B5EF4-FFF2-40B4-BE49-F238E27FC236}">
              <a16:creationId xmlns:a16="http://schemas.microsoft.com/office/drawing/2014/main" id="{B586F664-6950-4314-A3E1-A1DE2BC33B10}"/>
            </a:ext>
            <a:ext uri="{147F2762-F138-4A5C-976F-8EAC2B608ADB}">
              <a16:predDERef xmlns:a16="http://schemas.microsoft.com/office/drawing/2014/main" pred="{EFF7F024-C03C-4950-BE19-4149DDA80EB1}"/>
            </a:ext>
          </a:extLst>
        </xdr:cNvPr>
        <xdr:cNvSpPr/>
      </xdr:nvSpPr>
      <xdr:spPr>
        <a:xfrm>
          <a:off x="26450925" y="3371850"/>
          <a:ext cx="428625" cy="428625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dk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M</a:t>
          </a:r>
        </a:p>
      </xdr:txBody>
    </xdr:sp>
    <xdr:clientData/>
  </xdr:twoCellAnchor>
  <xdr:twoCellAnchor>
    <xdr:from>
      <xdr:col>39</xdr:col>
      <xdr:colOff>323850</xdr:colOff>
      <xdr:row>13</xdr:row>
      <xdr:rowOff>95250</xdr:rowOff>
    </xdr:from>
    <xdr:to>
      <xdr:col>40</xdr:col>
      <xdr:colOff>161925</xdr:colOff>
      <xdr:row>15</xdr:row>
      <xdr:rowOff>104775</xdr:rowOff>
    </xdr:to>
    <xdr:sp macro="" textlink="">
      <xdr:nvSpPr>
        <xdr:cNvPr id="40" name="Diagramma di flusso: processo alternativo 16">
          <a:extLst>
            <a:ext uri="{FF2B5EF4-FFF2-40B4-BE49-F238E27FC236}">
              <a16:creationId xmlns:a16="http://schemas.microsoft.com/office/drawing/2014/main" id="{6EF2F5DF-8F57-4D14-80C0-28E60628558D}"/>
            </a:ext>
            <a:ext uri="{147F2762-F138-4A5C-976F-8EAC2B608ADB}">
              <a16:predDERef xmlns:a16="http://schemas.microsoft.com/office/drawing/2014/main" pred="{B586F664-6950-4314-A3E1-A1DE2BC33B10}"/>
            </a:ext>
          </a:extLst>
        </xdr:cNvPr>
        <xdr:cNvSpPr/>
      </xdr:nvSpPr>
      <xdr:spPr>
        <a:xfrm>
          <a:off x="25355550" y="3381375"/>
          <a:ext cx="428625" cy="428625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dk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L</a:t>
          </a:r>
        </a:p>
      </xdr:txBody>
    </xdr:sp>
    <xdr:clientData/>
  </xdr:twoCellAnchor>
  <xdr:twoCellAnchor>
    <xdr:from>
      <xdr:col>36</xdr:col>
      <xdr:colOff>714375</xdr:colOff>
      <xdr:row>9</xdr:row>
      <xdr:rowOff>0</xdr:rowOff>
    </xdr:from>
    <xdr:to>
      <xdr:col>37</xdr:col>
      <xdr:colOff>295275</xdr:colOff>
      <xdr:row>11</xdr:row>
      <xdr:rowOff>9525</xdr:rowOff>
    </xdr:to>
    <xdr:sp macro="" textlink="">
      <xdr:nvSpPr>
        <xdr:cNvPr id="41" name="Diagramma di flusso: processo alternativo 17">
          <a:extLst>
            <a:ext uri="{FF2B5EF4-FFF2-40B4-BE49-F238E27FC236}">
              <a16:creationId xmlns:a16="http://schemas.microsoft.com/office/drawing/2014/main" id="{AC256BC7-A80C-43C0-8AC7-6F6163769D36}"/>
            </a:ext>
            <a:ext uri="{147F2762-F138-4A5C-976F-8EAC2B608ADB}">
              <a16:predDERef xmlns:a16="http://schemas.microsoft.com/office/drawing/2014/main" pred="{6EF2F5DF-8F57-4D14-80C0-28E60628558D}"/>
            </a:ext>
          </a:extLst>
        </xdr:cNvPr>
        <xdr:cNvSpPr/>
      </xdr:nvSpPr>
      <xdr:spPr>
        <a:xfrm>
          <a:off x="23717250" y="2447925"/>
          <a:ext cx="428625" cy="428625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dk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G</a:t>
          </a:r>
        </a:p>
      </xdr:txBody>
    </xdr:sp>
    <xdr:clientData/>
  </xdr:twoCellAnchor>
  <xdr:twoCellAnchor>
    <xdr:from>
      <xdr:col>36</xdr:col>
      <xdr:colOff>161925</xdr:colOff>
      <xdr:row>13</xdr:row>
      <xdr:rowOff>76200</xdr:rowOff>
    </xdr:from>
    <xdr:to>
      <xdr:col>36</xdr:col>
      <xdr:colOff>590550</xdr:colOff>
      <xdr:row>15</xdr:row>
      <xdr:rowOff>85725</xdr:rowOff>
    </xdr:to>
    <xdr:sp macro="" textlink="">
      <xdr:nvSpPr>
        <xdr:cNvPr id="42" name="Diagramma di flusso: processo alternativo 18">
          <a:extLst>
            <a:ext uri="{FF2B5EF4-FFF2-40B4-BE49-F238E27FC236}">
              <a16:creationId xmlns:a16="http://schemas.microsoft.com/office/drawing/2014/main" id="{98DC1A92-EC14-4842-B335-500B396B39A3}"/>
            </a:ext>
            <a:ext uri="{147F2762-F138-4A5C-976F-8EAC2B608ADB}">
              <a16:predDERef xmlns:a16="http://schemas.microsoft.com/office/drawing/2014/main" pred="{AC256BC7-A80C-43C0-8AC7-6F6163769D36}"/>
            </a:ext>
          </a:extLst>
        </xdr:cNvPr>
        <xdr:cNvSpPr/>
      </xdr:nvSpPr>
      <xdr:spPr>
        <a:xfrm>
          <a:off x="23164800" y="3362325"/>
          <a:ext cx="428625" cy="428625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dk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H</a:t>
          </a:r>
        </a:p>
      </xdr:txBody>
    </xdr:sp>
    <xdr:clientData/>
  </xdr:twoCellAnchor>
  <xdr:twoCellAnchor>
    <xdr:from>
      <xdr:col>32</xdr:col>
      <xdr:colOff>581025</xdr:colOff>
      <xdr:row>9</xdr:row>
      <xdr:rowOff>104775</xdr:rowOff>
    </xdr:from>
    <xdr:to>
      <xdr:col>33</xdr:col>
      <xdr:colOff>295275</xdr:colOff>
      <xdr:row>10</xdr:row>
      <xdr:rowOff>123825</xdr:rowOff>
    </xdr:to>
    <xdr:sp macro="" textlink="">
      <xdr:nvSpPr>
        <xdr:cNvPr id="43" name="Freccia DESTRA 19">
          <a:extLst>
            <a:ext uri="{FF2B5EF4-FFF2-40B4-BE49-F238E27FC236}">
              <a16:creationId xmlns:a16="http://schemas.microsoft.com/office/drawing/2014/main" id="{DF596FBB-41D8-403B-9E95-CB41BF09D622}"/>
            </a:ext>
            <a:ext uri="{147F2762-F138-4A5C-976F-8EAC2B608ADB}">
              <a16:predDERef xmlns:a16="http://schemas.microsoft.com/office/drawing/2014/main" pred="{98DC1A92-EC14-4842-B335-500B396B39A3}"/>
            </a:ext>
          </a:extLst>
        </xdr:cNvPr>
        <xdr:cNvSpPr/>
      </xdr:nvSpPr>
      <xdr:spPr>
        <a:xfrm>
          <a:off x="20935950" y="2552700"/>
          <a:ext cx="400050" cy="22860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34</xdr:col>
      <xdr:colOff>428625</xdr:colOff>
      <xdr:row>9</xdr:row>
      <xdr:rowOff>95250</xdr:rowOff>
    </xdr:from>
    <xdr:to>
      <xdr:col>35</xdr:col>
      <xdr:colOff>142875</xdr:colOff>
      <xdr:row>10</xdr:row>
      <xdr:rowOff>114300</xdr:rowOff>
    </xdr:to>
    <xdr:sp macro="" textlink="">
      <xdr:nvSpPr>
        <xdr:cNvPr id="44" name="Freccia DESTRA 20">
          <a:extLst>
            <a:ext uri="{FF2B5EF4-FFF2-40B4-BE49-F238E27FC236}">
              <a16:creationId xmlns:a16="http://schemas.microsoft.com/office/drawing/2014/main" id="{6362825B-BA32-48E2-959D-A83DA168376A}"/>
            </a:ext>
            <a:ext uri="{147F2762-F138-4A5C-976F-8EAC2B608ADB}">
              <a16:predDERef xmlns:a16="http://schemas.microsoft.com/office/drawing/2014/main" pred="{DF596FBB-41D8-403B-9E95-CB41BF09D622}"/>
            </a:ext>
          </a:extLst>
        </xdr:cNvPr>
        <xdr:cNvSpPr/>
      </xdr:nvSpPr>
      <xdr:spPr>
        <a:xfrm>
          <a:off x="22059900" y="2543175"/>
          <a:ext cx="400050" cy="22860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36</xdr:col>
      <xdr:colOff>180975</xdr:colOff>
      <xdr:row>9</xdr:row>
      <xdr:rowOff>95250</xdr:rowOff>
    </xdr:from>
    <xdr:to>
      <xdr:col>36</xdr:col>
      <xdr:colOff>581025</xdr:colOff>
      <xdr:row>10</xdr:row>
      <xdr:rowOff>114300</xdr:rowOff>
    </xdr:to>
    <xdr:sp macro="" textlink="">
      <xdr:nvSpPr>
        <xdr:cNvPr id="45" name="Freccia DESTRA 21">
          <a:extLst>
            <a:ext uri="{FF2B5EF4-FFF2-40B4-BE49-F238E27FC236}">
              <a16:creationId xmlns:a16="http://schemas.microsoft.com/office/drawing/2014/main" id="{2BC6DB9F-5272-4A93-911D-98F342934C9C}"/>
            </a:ext>
            <a:ext uri="{147F2762-F138-4A5C-976F-8EAC2B608ADB}">
              <a16:predDERef xmlns:a16="http://schemas.microsoft.com/office/drawing/2014/main" pred="{6362825B-BA32-48E2-959D-A83DA168376A}"/>
            </a:ext>
          </a:extLst>
        </xdr:cNvPr>
        <xdr:cNvSpPr/>
      </xdr:nvSpPr>
      <xdr:spPr>
        <a:xfrm>
          <a:off x="23183850" y="2543175"/>
          <a:ext cx="400050" cy="22860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36</xdr:col>
      <xdr:colOff>0</xdr:colOff>
      <xdr:row>11</xdr:row>
      <xdr:rowOff>76200</xdr:rowOff>
    </xdr:from>
    <xdr:to>
      <xdr:col>36</xdr:col>
      <xdr:colOff>228600</xdr:colOff>
      <xdr:row>13</xdr:row>
      <xdr:rowOff>57150</xdr:rowOff>
    </xdr:to>
    <xdr:sp macro="" textlink="">
      <xdr:nvSpPr>
        <xdr:cNvPr id="46" name="Freccia DESTRA 22">
          <a:extLst>
            <a:ext uri="{FF2B5EF4-FFF2-40B4-BE49-F238E27FC236}">
              <a16:creationId xmlns:a16="http://schemas.microsoft.com/office/drawing/2014/main" id="{73F88466-5C45-45E6-A6AD-D5BFA49B5DFB}"/>
            </a:ext>
            <a:ext uri="{147F2762-F138-4A5C-976F-8EAC2B608ADB}">
              <a16:predDERef xmlns:a16="http://schemas.microsoft.com/office/drawing/2014/main" pred="{2BC6DB9F-5272-4A93-911D-98F342934C9C}"/>
            </a:ext>
          </a:extLst>
        </xdr:cNvPr>
        <xdr:cNvSpPr/>
      </xdr:nvSpPr>
      <xdr:spPr>
        <a:xfrm rot="2776382">
          <a:off x="22917150" y="3028950"/>
          <a:ext cx="400050" cy="22860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36</xdr:col>
      <xdr:colOff>533400</xdr:colOff>
      <xdr:row>11</xdr:row>
      <xdr:rowOff>66675</xdr:rowOff>
    </xdr:from>
    <xdr:to>
      <xdr:col>36</xdr:col>
      <xdr:colOff>762000</xdr:colOff>
      <xdr:row>13</xdr:row>
      <xdr:rowOff>47625</xdr:rowOff>
    </xdr:to>
    <xdr:sp macro="" textlink="">
      <xdr:nvSpPr>
        <xdr:cNvPr id="47" name="Freccia DESTRA 23">
          <a:extLst>
            <a:ext uri="{FF2B5EF4-FFF2-40B4-BE49-F238E27FC236}">
              <a16:creationId xmlns:a16="http://schemas.microsoft.com/office/drawing/2014/main" id="{3381C0E8-A922-4E3C-9ED1-98638441870E}"/>
            </a:ext>
            <a:ext uri="{147F2762-F138-4A5C-976F-8EAC2B608ADB}">
              <a16:predDERef xmlns:a16="http://schemas.microsoft.com/office/drawing/2014/main" pred="{73F88466-5C45-45E6-A6AD-D5BFA49B5DFB}"/>
            </a:ext>
          </a:extLst>
        </xdr:cNvPr>
        <xdr:cNvSpPr/>
      </xdr:nvSpPr>
      <xdr:spPr>
        <a:xfrm rot="7845816">
          <a:off x="23450550" y="3019425"/>
          <a:ext cx="400050" cy="22860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36</xdr:col>
      <xdr:colOff>762000</xdr:colOff>
      <xdr:row>13</xdr:row>
      <xdr:rowOff>190500</xdr:rowOff>
    </xdr:from>
    <xdr:to>
      <xdr:col>37</xdr:col>
      <xdr:colOff>314325</xdr:colOff>
      <xdr:row>15</xdr:row>
      <xdr:rowOff>0</xdr:rowOff>
    </xdr:to>
    <xdr:sp macro="" textlink="">
      <xdr:nvSpPr>
        <xdr:cNvPr id="48" name="Freccia DESTRA 24">
          <a:extLst>
            <a:ext uri="{FF2B5EF4-FFF2-40B4-BE49-F238E27FC236}">
              <a16:creationId xmlns:a16="http://schemas.microsoft.com/office/drawing/2014/main" id="{0CCD81F6-14DA-4C2D-9186-39D087BB627D}"/>
            </a:ext>
            <a:ext uri="{147F2762-F138-4A5C-976F-8EAC2B608ADB}">
              <a16:predDERef xmlns:a16="http://schemas.microsoft.com/office/drawing/2014/main" pred="{3381C0E8-A922-4E3C-9ED1-98638441870E}"/>
            </a:ext>
          </a:extLst>
        </xdr:cNvPr>
        <xdr:cNvSpPr/>
      </xdr:nvSpPr>
      <xdr:spPr>
        <a:xfrm>
          <a:off x="23764875" y="3476625"/>
          <a:ext cx="400050" cy="22860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38</xdr:col>
      <xdr:colOff>409575</xdr:colOff>
      <xdr:row>13</xdr:row>
      <xdr:rowOff>190500</xdr:rowOff>
    </xdr:from>
    <xdr:to>
      <xdr:col>39</xdr:col>
      <xdr:colOff>219075</xdr:colOff>
      <xdr:row>15</xdr:row>
      <xdr:rowOff>0</xdr:rowOff>
    </xdr:to>
    <xdr:sp macro="" textlink="">
      <xdr:nvSpPr>
        <xdr:cNvPr id="49" name="Freccia DESTRA 25">
          <a:extLst>
            <a:ext uri="{FF2B5EF4-FFF2-40B4-BE49-F238E27FC236}">
              <a16:creationId xmlns:a16="http://schemas.microsoft.com/office/drawing/2014/main" id="{A193FD05-1E90-460D-AA2E-B625A53F2E7C}"/>
            </a:ext>
            <a:ext uri="{147F2762-F138-4A5C-976F-8EAC2B608ADB}">
              <a16:predDERef xmlns:a16="http://schemas.microsoft.com/office/drawing/2014/main" pred="{0CCD81F6-14DA-4C2D-9186-39D087BB627D}"/>
            </a:ext>
          </a:extLst>
        </xdr:cNvPr>
        <xdr:cNvSpPr/>
      </xdr:nvSpPr>
      <xdr:spPr>
        <a:xfrm>
          <a:off x="24850725" y="3476625"/>
          <a:ext cx="400050" cy="22860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40</xdr:col>
      <xdr:colOff>314325</xdr:colOff>
      <xdr:row>13</xdr:row>
      <xdr:rowOff>200025</xdr:rowOff>
    </xdr:from>
    <xdr:to>
      <xdr:col>41</xdr:col>
      <xdr:colOff>123825</xdr:colOff>
      <xdr:row>15</xdr:row>
      <xdr:rowOff>9525</xdr:rowOff>
    </xdr:to>
    <xdr:sp macro="" textlink="">
      <xdr:nvSpPr>
        <xdr:cNvPr id="50" name="Freccia DESTRA 26">
          <a:extLst>
            <a:ext uri="{FF2B5EF4-FFF2-40B4-BE49-F238E27FC236}">
              <a16:creationId xmlns:a16="http://schemas.microsoft.com/office/drawing/2014/main" id="{2C071DF1-A029-4493-A166-56A8A3373754}"/>
            </a:ext>
            <a:ext uri="{147F2762-F138-4A5C-976F-8EAC2B608ADB}">
              <a16:predDERef xmlns:a16="http://schemas.microsoft.com/office/drawing/2014/main" pred="{A193FD05-1E90-460D-AA2E-B625A53F2E7C}"/>
            </a:ext>
          </a:extLst>
        </xdr:cNvPr>
        <xdr:cNvSpPr/>
      </xdr:nvSpPr>
      <xdr:spPr>
        <a:xfrm>
          <a:off x="25936575" y="3486150"/>
          <a:ext cx="400050" cy="22860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40</xdr:col>
      <xdr:colOff>295275</xdr:colOff>
      <xdr:row>17</xdr:row>
      <xdr:rowOff>190500</xdr:rowOff>
    </xdr:from>
    <xdr:to>
      <xdr:col>41</xdr:col>
      <xdr:colOff>133350</xdr:colOff>
      <xdr:row>19</xdr:row>
      <xdr:rowOff>171450</xdr:rowOff>
    </xdr:to>
    <xdr:sp macro="" textlink="">
      <xdr:nvSpPr>
        <xdr:cNvPr id="51" name="Diagramma di flusso: processo alternativo 27">
          <a:extLst>
            <a:ext uri="{FF2B5EF4-FFF2-40B4-BE49-F238E27FC236}">
              <a16:creationId xmlns:a16="http://schemas.microsoft.com/office/drawing/2014/main" id="{743EDDF0-C256-4D7C-950C-8042A3D07498}"/>
            </a:ext>
            <a:ext uri="{147F2762-F138-4A5C-976F-8EAC2B608ADB}">
              <a16:predDERef xmlns:a16="http://schemas.microsoft.com/office/drawing/2014/main" pred="{2C071DF1-A029-4493-A166-56A8A3373754}"/>
            </a:ext>
          </a:extLst>
        </xdr:cNvPr>
        <xdr:cNvSpPr/>
      </xdr:nvSpPr>
      <xdr:spPr>
        <a:xfrm>
          <a:off x="25917525" y="4314825"/>
          <a:ext cx="428625" cy="428625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dk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N</a:t>
          </a:r>
        </a:p>
      </xdr:txBody>
    </xdr:sp>
    <xdr:clientData/>
  </xdr:twoCellAnchor>
  <xdr:twoCellAnchor>
    <xdr:from>
      <xdr:col>40</xdr:col>
      <xdr:colOff>133350</xdr:colOff>
      <xdr:row>15</xdr:row>
      <xdr:rowOff>180975</xdr:rowOff>
    </xdr:from>
    <xdr:to>
      <xdr:col>40</xdr:col>
      <xdr:colOff>361950</xdr:colOff>
      <xdr:row>17</xdr:row>
      <xdr:rowOff>161925</xdr:rowOff>
    </xdr:to>
    <xdr:sp macro="" textlink="">
      <xdr:nvSpPr>
        <xdr:cNvPr id="52" name="Freccia DESTRA 28">
          <a:extLst>
            <a:ext uri="{FF2B5EF4-FFF2-40B4-BE49-F238E27FC236}">
              <a16:creationId xmlns:a16="http://schemas.microsoft.com/office/drawing/2014/main" id="{FFC66CBD-61F8-4DD5-9660-F6D25543444B}"/>
            </a:ext>
            <a:ext uri="{147F2762-F138-4A5C-976F-8EAC2B608ADB}">
              <a16:predDERef xmlns:a16="http://schemas.microsoft.com/office/drawing/2014/main" pred="{743EDDF0-C256-4D7C-950C-8042A3D07498}"/>
            </a:ext>
          </a:extLst>
        </xdr:cNvPr>
        <xdr:cNvSpPr/>
      </xdr:nvSpPr>
      <xdr:spPr>
        <a:xfrm rot="2776382">
          <a:off x="25669875" y="3971925"/>
          <a:ext cx="400050" cy="22860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41</xdr:col>
      <xdr:colOff>66675</xdr:colOff>
      <xdr:row>15</xdr:row>
      <xdr:rowOff>171450</xdr:rowOff>
    </xdr:from>
    <xdr:to>
      <xdr:col>41</xdr:col>
      <xdr:colOff>295275</xdr:colOff>
      <xdr:row>17</xdr:row>
      <xdr:rowOff>152400</xdr:rowOff>
    </xdr:to>
    <xdr:sp macro="" textlink="">
      <xdr:nvSpPr>
        <xdr:cNvPr id="53" name="Freccia DESTRA 29">
          <a:extLst>
            <a:ext uri="{FF2B5EF4-FFF2-40B4-BE49-F238E27FC236}">
              <a16:creationId xmlns:a16="http://schemas.microsoft.com/office/drawing/2014/main" id="{5F4BFB32-DBF8-4D82-ABB3-DB9A26D67D76}"/>
            </a:ext>
            <a:ext uri="{147F2762-F138-4A5C-976F-8EAC2B608ADB}">
              <a16:predDERef xmlns:a16="http://schemas.microsoft.com/office/drawing/2014/main" pred="{FFC66CBD-61F8-4DD5-9660-F6D25543444B}"/>
            </a:ext>
          </a:extLst>
        </xdr:cNvPr>
        <xdr:cNvSpPr/>
      </xdr:nvSpPr>
      <xdr:spPr>
        <a:xfrm rot="7845816">
          <a:off x="26193750" y="3962400"/>
          <a:ext cx="400050" cy="22860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42</xdr:col>
      <xdr:colOff>228600</xdr:colOff>
      <xdr:row>18</xdr:row>
      <xdr:rowOff>0</xdr:rowOff>
    </xdr:from>
    <xdr:to>
      <xdr:col>43</xdr:col>
      <xdr:colOff>66675</xdr:colOff>
      <xdr:row>19</xdr:row>
      <xdr:rowOff>190500</xdr:rowOff>
    </xdr:to>
    <xdr:sp macro="" textlink="">
      <xdr:nvSpPr>
        <xdr:cNvPr id="54" name="Diagramma di flusso: processo alternativo 30">
          <a:extLst>
            <a:ext uri="{FF2B5EF4-FFF2-40B4-BE49-F238E27FC236}">
              <a16:creationId xmlns:a16="http://schemas.microsoft.com/office/drawing/2014/main" id="{F9C464B7-8DD7-4A3D-9E84-A13A7C9E1111}"/>
            </a:ext>
            <a:ext uri="{147F2762-F138-4A5C-976F-8EAC2B608ADB}">
              <a16:predDERef xmlns:a16="http://schemas.microsoft.com/office/drawing/2014/main" pred="{5F4BFB32-DBF8-4D82-ABB3-DB9A26D67D76}"/>
            </a:ext>
          </a:extLst>
        </xdr:cNvPr>
        <xdr:cNvSpPr/>
      </xdr:nvSpPr>
      <xdr:spPr>
        <a:xfrm>
          <a:off x="27031950" y="4333875"/>
          <a:ext cx="428625" cy="428625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dk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O</a:t>
          </a:r>
        </a:p>
      </xdr:txBody>
    </xdr:sp>
    <xdr:clientData/>
  </xdr:twoCellAnchor>
  <xdr:twoCellAnchor>
    <xdr:from>
      <xdr:col>41</xdr:col>
      <xdr:colOff>295275</xdr:colOff>
      <xdr:row>18</xdr:row>
      <xdr:rowOff>95250</xdr:rowOff>
    </xdr:from>
    <xdr:to>
      <xdr:col>42</xdr:col>
      <xdr:colOff>104775</xdr:colOff>
      <xdr:row>19</xdr:row>
      <xdr:rowOff>85725</xdr:rowOff>
    </xdr:to>
    <xdr:sp macro="" textlink="">
      <xdr:nvSpPr>
        <xdr:cNvPr id="55" name="Freccia DESTRA 31">
          <a:extLst>
            <a:ext uri="{FF2B5EF4-FFF2-40B4-BE49-F238E27FC236}">
              <a16:creationId xmlns:a16="http://schemas.microsoft.com/office/drawing/2014/main" id="{E6ADED65-2694-4BDF-897B-0F7D14E0839C}"/>
            </a:ext>
            <a:ext uri="{147F2762-F138-4A5C-976F-8EAC2B608ADB}">
              <a16:predDERef xmlns:a16="http://schemas.microsoft.com/office/drawing/2014/main" pred="{F9C464B7-8DD7-4A3D-9E84-A13A7C9E1111}"/>
            </a:ext>
          </a:extLst>
        </xdr:cNvPr>
        <xdr:cNvSpPr/>
      </xdr:nvSpPr>
      <xdr:spPr>
        <a:xfrm>
          <a:off x="26508075" y="4429125"/>
          <a:ext cx="400050" cy="22860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44</xdr:col>
      <xdr:colOff>133350</xdr:colOff>
      <xdr:row>18</xdr:row>
      <xdr:rowOff>0</xdr:rowOff>
    </xdr:from>
    <xdr:to>
      <xdr:col>44</xdr:col>
      <xdr:colOff>561975</xdr:colOff>
      <xdr:row>19</xdr:row>
      <xdr:rowOff>190500</xdr:rowOff>
    </xdr:to>
    <xdr:sp macro="" textlink="">
      <xdr:nvSpPr>
        <xdr:cNvPr id="56" name="Diagramma di flusso: processo alternativo 55">
          <a:extLst>
            <a:ext uri="{FF2B5EF4-FFF2-40B4-BE49-F238E27FC236}">
              <a16:creationId xmlns:a16="http://schemas.microsoft.com/office/drawing/2014/main" id="{3707DBF4-A8CF-4192-9B83-A9254446E6C3}"/>
            </a:ext>
            <a:ext uri="{147F2762-F138-4A5C-976F-8EAC2B608ADB}">
              <a16:predDERef xmlns:a16="http://schemas.microsoft.com/office/drawing/2014/main" pred="{E6ADED65-2694-4BDF-897B-0F7D14E0839C}"/>
            </a:ext>
          </a:extLst>
        </xdr:cNvPr>
        <xdr:cNvSpPr/>
      </xdr:nvSpPr>
      <xdr:spPr>
        <a:xfrm>
          <a:off x="27622500" y="3914775"/>
          <a:ext cx="428625" cy="400050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dk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P</a:t>
          </a:r>
        </a:p>
      </xdr:txBody>
    </xdr:sp>
    <xdr:clientData/>
  </xdr:twoCellAnchor>
  <xdr:twoCellAnchor>
    <xdr:from>
      <xdr:col>43</xdr:col>
      <xdr:colOff>209550</xdr:colOff>
      <xdr:row>18</xdr:row>
      <xdr:rowOff>85725</xdr:rowOff>
    </xdr:from>
    <xdr:to>
      <xdr:col>44</xdr:col>
      <xdr:colOff>19050</xdr:colOff>
      <xdr:row>19</xdr:row>
      <xdr:rowOff>76200</xdr:rowOff>
    </xdr:to>
    <xdr:sp macro="" textlink="">
      <xdr:nvSpPr>
        <xdr:cNvPr id="57" name="Freccia DESTRA 56">
          <a:extLst>
            <a:ext uri="{FF2B5EF4-FFF2-40B4-BE49-F238E27FC236}">
              <a16:creationId xmlns:a16="http://schemas.microsoft.com/office/drawing/2014/main" id="{903CF619-FDA8-407C-BB7D-AAFE27A838EB}"/>
            </a:ext>
            <a:ext uri="{147F2762-F138-4A5C-976F-8EAC2B608ADB}">
              <a16:predDERef xmlns:a16="http://schemas.microsoft.com/office/drawing/2014/main" pred="{3707DBF4-A8CF-4192-9B83-A9254446E6C3}"/>
            </a:ext>
          </a:extLst>
        </xdr:cNvPr>
        <xdr:cNvSpPr/>
      </xdr:nvSpPr>
      <xdr:spPr>
        <a:xfrm>
          <a:off x="27108150" y="4000500"/>
          <a:ext cx="400050" cy="200025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47</xdr:col>
      <xdr:colOff>514350</xdr:colOff>
      <xdr:row>17</xdr:row>
      <xdr:rowOff>190500</xdr:rowOff>
    </xdr:from>
    <xdr:to>
      <xdr:col>48</xdr:col>
      <xdr:colOff>352425</xdr:colOff>
      <xdr:row>19</xdr:row>
      <xdr:rowOff>171450</xdr:rowOff>
    </xdr:to>
    <xdr:sp macro="" textlink="">
      <xdr:nvSpPr>
        <xdr:cNvPr id="58" name="Diagramma di flusso: processo alternativo 57">
          <a:extLst>
            <a:ext uri="{FF2B5EF4-FFF2-40B4-BE49-F238E27FC236}">
              <a16:creationId xmlns:a16="http://schemas.microsoft.com/office/drawing/2014/main" id="{84BE49A9-4D1D-4FAE-A182-290C910D3777}"/>
            </a:ext>
            <a:ext uri="{147F2762-F138-4A5C-976F-8EAC2B608ADB}">
              <a16:predDERef xmlns:a16="http://schemas.microsoft.com/office/drawing/2014/main" pred="{903CF619-FDA8-407C-BB7D-AAFE27A838EB}"/>
            </a:ext>
          </a:extLst>
        </xdr:cNvPr>
        <xdr:cNvSpPr/>
      </xdr:nvSpPr>
      <xdr:spPr>
        <a:xfrm>
          <a:off x="29775150" y="3895725"/>
          <a:ext cx="428625" cy="400050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dk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R</a:t>
          </a:r>
        </a:p>
      </xdr:txBody>
    </xdr:sp>
    <xdr:clientData/>
  </xdr:twoCellAnchor>
  <xdr:twoCellAnchor>
    <xdr:from>
      <xdr:col>46</xdr:col>
      <xdr:colOff>47625</xdr:colOff>
      <xdr:row>17</xdr:row>
      <xdr:rowOff>200025</xdr:rowOff>
    </xdr:from>
    <xdr:to>
      <xdr:col>46</xdr:col>
      <xdr:colOff>476250</xdr:colOff>
      <xdr:row>19</xdr:row>
      <xdr:rowOff>180975</xdr:rowOff>
    </xdr:to>
    <xdr:sp macro="" textlink="">
      <xdr:nvSpPr>
        <xdr:cNvPr id="59" name="Diagramma di flusso: processo alternativo 58">
          <a:extLst>
            <a:ext uri="{FF2B5EF4-FFF2-40B4-BE49-F238E27FC236}">
              <a16:creationId xmlns:a16="http://schemas.microsoft.com/office/drawing/2014/main" id="{CB5CDE61-55BC-4DD4-9412-25855B5AA02E}"/>
            </a:ext>
            <a:ext uri="{147F2762-F138-4A5C-976F-8EAC2B608ADB}">
              <a16:predDERef xmlns:a16="http://schemas.microsoft.com/office/drawing/2014/main" pred="{84BE49A9-4D1D-4FAE-A182-290C910D3777}"/>
            </a:ext>
          </a:extLst>
        </xdr:cNvPr>
        <xdr:cNvSpPr/>
      </xdr:nvSpPr>
      <xdr:spPr>
        <a:xfrm>
          <a:off x="28717875" y="3905250"/>
          <a:ext cx="428625" cy="400050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dk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Q</a:t>
          </a:r>
        </a:p>
      </xdr:txBody>
    </xdr:sp>
    <xdr:clientData/>
  </xdr:twoCellAnchor>
  <xdr:twoCellAnchor>
    <xdr:from>
      <xdr:col>49</xdr:col>
      <xdr:colOff>400050</xdr:colOff>
      <xdr:row>17</xdr:row>
      <xdr:rowOff>190500</xdr:rowOff>
    </xdr:from>
    <xdr:to>
      <xdr:col>50</xdr:col>
      <xdr:colOff>238125</xdr:colOff>
      <xdr:row>19</xdr:row>
      <xdr:rowOff>171450</xdr:rowOff>
    </xdr:to>
    <xdr:sp macro="" textlink="">
      <xdr:nvSpPr>
        <xdr:cNvPr id="60" name="Diagramma di flusso: processo alternativo 59">
          <a:extLst>
            <a:ext uri="{FF2B5EF4-FFF2-40B4-BE49-F238E27FC236}">
              <a16:creationId xmlns:a16="http://schemas.microsoft.com/office/drawing/2014/main" id="{0E935C10-EB91-4BB7-97E9-4AD72C91C580}"/>
            </a:ext>
            <a:ext uri="{147F2762-F138-4A5C-976F-8EAC2B608ADB}">
              <a16:predDERef xmlns:a16="http://schemas.microsoft.com/office/drawing/2014/main" pred="{CB5CDE61-55BC-4DD4-9412-25855B5AA02E}"/>
            </a:ext>
          </a:extLst>
        </xdr:cNvPr>
        <xdr:cNvSpPr/>
      </xdr:nvSpPr>
      <xdr:spPr>
        <a:xfrm>
          <a:off x="30841950" y="3895725"/>
          <a:ext cx="428625" cy="400050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dk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S</a:t>
          </a:r>
        </a:p>
      </xdr:txBody>
    </xdr:sp>
    <xdr:clientData/>
  </xdr:twoCellAnchor>
  <xdr:twoCellAnchor>
    <xdr:from>
      <xdr:col>45</xdr:col>
      <xdr:colOff>123825</xdr:colOff>
      <xdr:row>18</xdr:row>
      <xdr:rowOff>104775</xdr:rowOff>
    </xdr:from>
    <xdr:to>
      <xdr:col>45</xdr:col>
      <xdr:colOff>523875</xdr:colOff>
      <xdr:row>19</xdr:row>
      <xdr:rowOff>95250</xdr:rowOff>
    </xdr:to>
    <xdr:sp macro="" textlink="">
      <xdr:nvSpPr>
        <xdr:cNvPr id="61" name="Freccia DESTRA 60">
          <a:extLst>
            <a:ext uri="{FF2B5EF4-FFF2-40B4-BE49-F238E27FC236}">
              <a16:creationId xmlns:a16="http://schemas.microsoft.com/office/drawing/2014/main" id="{9F452E3F-A945-478B-99D2-5B4B8FA453BF}"/>
            </a:ext>
            <a:ext uri="{147F2762-F138-4A5C-976F-8EAC2B608ADB}">
              <a16:predDERef xmlns:a16="http://schemas.microsoft.com/office/drawing/2014/main" pred="{0E935C10-EB91-4BB7-97E9-4AD72C91C580}"/>
            </a:ext>
          </a:extLst>
        </xdr:cNvPr>
        <xdr:cNvSpPr/>
      </xdr:nvSpPr>
      <xdr:spPr>
        <a:xfrm>
          <a:off x="28203525" y="4019550"/>
          <a:ext cx="400050" cy="200025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47</xdr:col>
      <xdr:colOff>9525</xdr:colOff>
      <xdr:row>18</xdr:row>
      <xdr:rowOff>104775</xdr:rowOff>
    </xdr:from>
    <xdr:to>
      <xdr:col>47</xdr:col>
      <xdr:colOff>409575</xdr:colOff>
      <xdr:row>19</xdr:row>
      <xdr:rowOff>95250</xdr:rowOff>
    </xdr:to>
    <xdr:sp macro="" textlink="">
      <xdr:nvSpPr>
        <xdr:cNvPr id="62" name="Freccia DESTRA 61">
          <a:extLst>
            <a:ext uri="{FF2B5EF4-FFF2-40B4-BE49-F238E27FC236}">
              <a16:creationId xmlns:a16="http://schemas.microsoft.com/office/drawing/2014/main" id="{C1949DA5-FFBF-4B0D-96CE-01AECFF63A4D}"/>
            </a:ext>
            <a:ext uri="{147F2762-F138-4A5C-976F-8EAC2B608ADB}">
              <a16:predDERef xmlns:a16="http://schemas.microsoft.com/office/drawing/2014/main" pred="{9F452E3F-A945-478B-99D2-5B4B8FA453BF}"/>
            </a:ext>
          </a:extLst>
        </xdr:cNvPr>
        <xdr:cNvSpPr/>
      </xdr:nvSpPr>
      <xdr:spPr>
        <a:xfrm>
          <a:off x="29270325" y="4019550"/>
          <a:ext cx="400050" cy="200025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48</xdr:col>
      <xdr:colOff>485775</xdr:colOff>
      <xdr:row>18</xdr:row>
      <xdr:rowOff>104775</xdr:rowOff>
    </xdr:from>
    <xdr:to>
      <xdr:col>49</xdr:col>
      <xdr:colOff>295275</xdr:colOff>
      <xdr:row>19</xdr:row>
      <xdr:rowOff>95250</xdr:rowOff>
    </xdr:to>
    <xdr:sp macro="" textlink="">
      <xdr:nvSpPr>
        <xdr:cNvPr id="63" name="Freccia DESTRA 62">
          <a:extLst>
            <a:ext uri="{FF2B5EF4-FFF2-40B4-BE49-F238E27FC236}">
              <a16:creationId xmlns:a16="http://schemas.microsoft.com/office/drawing/2014/main" id="{AC105184-9AAA-45DF-AB28-A0FC7172C9C5}"/>
            </a:ext>
            <a:ext uri="{147F2762-F138-4A5C-976F-8EAC2B608ADB}">
              <a16:predDERef xmlns:a16="http://schemas.microsoft.com/office/drawing/2014/main" pred="{C1949DA5-FFBF-4B0D-96CE-01AECFF63A4D}"/>
            </a:ext>
          </a:extLst>
        </xdr:cNvPr>
        <xdr:cNvSpPr/>
      </xdr:nvSpPr>
      <xdr:spPr>
        <a:xfrm>
          <a:off x="30337125" y="4019550"/>
          <a:ext cx="400050" cy="200025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PALMISANO ALESSIO" id="{186859D3-EA69-4771-811E-EA5F92F644BC}" userId="S::S310880@studenti.polito.it::34798df5-3c27-42a6-b0d3-b61eabb78f87" providerId="AD"/>
</personList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5-04-11T16:30:24.65" personId="{186859D3-EA69-4771-811E-EA5F92F644BC}" id="{D8EC12CC-464C-450B-9C80-456B860DC46A}">
    <text>GIA’ CAMBIATO</text>
  </threadedComment>
  <threadedComment ref="S17" dT="2025-04-11T16:28:57.92" personId="{186859D3-EA69-4771-811E-EA5F92F644BC}" id="{807A2CC7-7FE7-401D-9643-EF0797A0DFE9}">
    <text>DA DIVIDERE ANCHE PER M17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ADCF6-5831-43FD-8D3D-435DCBE4A941}">
  <dimension ref="B1:AB129"/>
  <sheetViews>
    <sheetView zoomScale="125" zoomScaleNormal="90" workbookViewId="0">
      <selection activeCell="H26" sqref="H26:H27"/>
    </sheetView>
  </sheetViews>
  <sheetFormatPr baseColWidth="10" defaultColWidth="8.83203125" defaultRowHeight="15" x14ac:dyDescent="0.2"/>
  <cols>
    <col min="7" max="7" width="9.33203125" bestFit="1" customWidth="1"/>
    <col min="10" max="10" width="9.6640625" bestFit="1" customWidth="1"/>
    <col min="15" max="15" width="15.1640625" customWidth="1"/>
    <col min="19" max="19" width="29.33203125" customWidth="1"/>
    <col min="21" max="21" width="8.83203125" customWidth="1"/>
    <col min="22" max="22" width="10.83203125" customWidth="1"/>
    <col min="24" max="24" width="13.5" customWidth="1"/>
  </cols>
  <sheetData>
    <row r="1" spans="4:28" ht="16" thickBot="1" x14ac:dyDescent="0.25"/>
    <row r="2" spans="4:28" ht="17" thickBot="1" x14ac:dyDescent="0.25">
      <c r="H2" s="1"/>
      <c r="I2" s="1"/>
      <c r="J2" s="1"/>
      <c r="K2" s="1"/>
      <c r="L2" s="1"/>
      <c r="M2" s="1"/>
      <c r="N2" s="47" t="s">
        <v>0</v>
      </c>
      <c r="O2" s="122">
        <f>ROUND($W$18,1)</f>
        <v>19.100000000000001</v>
      </c>
      <c r="P2" s="43" t="s">
        <v>1</v>
      </c>
      <c r="V2" s="93" t="s">
        <v>2</v>
      </c>
      <c r="W2" s="95">
        <v>16</v>
      </c>
      <c r="X2" s="93" t="s">
        <v>3</v>
      </c>
      <c r="Y2" s="96">
        <v>1</v>
      </c>
    </row>
    <row r="3" spans="4:28" ht="17" thickBot="1" x14ac:dyDescent="0.25">
      <c r="D3" s="264" t="s">
        <v>4</v>
      </c>
      <c r="E3" s="265"/>
      <c r="F3" s="265"/>
      <c r="G3" s="265"/>
      <c r="H3" s="265"/>
      <c r="I3" s="31">
        <v>190000</v>
      </c>
      <c r="J3" s="278" t="s">
        <v>5</v>
      </c>
      <c r="K3" s="279"/>
      <c r="L3" s="42">
        <v>250</v>
      </c>
      <c r="M3" s="1"/>
      <c r="N3" s="48" t="s">
        <v>6</v>
      </c>
      <c r="O3" s="123">
        <f>ROUND($Y$18,1)</f>
        <v>6.4</v>
      </c>
      <c r="P3" s="124">
        <v>1</v>
      </c>
      <c r="V3" s="93" t="s">
        <v>7</v>
      </c>
      <c r="W3" s="97">
        <v>16</v>
      </c>
      <c r="X3" s="93" t="s">
        <v>8</v>
      </c>
      <c r="Y3" s="98">
        <v>4</v>
      </c>
    </row>
    <row r="4" spans="4:28" ht="16" x14ac:dyDescent="0.2">
      <c r="D4" s="266" t="s">
        <v>9</v>
      </c>
      <c r="E4" s="234"/>
      <c r="F4" s="234"/>
      <c r="G4" s="234"/>
      <c r="H4" s="234"/>
      <c r="I4" s="32">
        <f>I3/L3</f>
        <v>760</v>
      </c>
      <c r="J4" s="8"/>
      <c r="K4" s="8"/>
      <c r="L4" s="8"/>
      <c r="M4" s="1"/>
      <c r="N4" s="1"/>
      <c r="O4" s="1"/>
      <c r="V4" s="93" t="s">
        <v>10</v>
      </c>
      <c r="W4" s="97">
        <v>19</v>
      </c>
      <c r="X4" s="93" t="s">
        <v>11</v>
      </c>
      <c r="Y4" s="98">
        <v>7</v>
      </c>
    </row>
    <row r="5" spans="4:28" ht="17" thickBot="1" x14ac:dyDescent="0.25">
      <c r="D5" s="267" t="s">
        <v>12</v>
      </c>
      <c r="E5" s="268"/>
      <c r="F5" s="268"/>
      <c r="G5" s="268"/>
      <c r="H5" s="268"/>
      <c r="I5" s="33">
        <f>3*(O2+O3)*N6/30*I4</f>
        <v>42636</v>
      </c>
      <c r="J5" s="8"/>
      <c r="K5" s="8"/>
      <c r="L5" s="8"/>
      <c r="M5" s="1"/>
      <c r="N5" s="1"/>
      <c r="O5" s="1"/>
      <c r="V5" s="93" t="s">
        <v>13</v>
      </c>
      <c r="W5" s="97">
        <v>18</v>
      </c>
      <c r="X5" s="93" t="s">
        <v>14</v>
      </c>
      <c r="Y5" s="98">
        <v>3</v>
      </c>
    </row>
    <row r="6" spans="4:28" ht="17" thickBot="1" x14ac:dyDescent="0.25">
      <c r="D6" s="277"/>
      <c r="E6" s="277"/>
      <c r="F6" s="277"/>
      <c r="G6" s="277"/>
      <c r="H6" s="277"/>
      <c r="I6" s="1"/>
      <c r="J6" s="1"/>
      <c r="K6" s="1"/>
      <c r="L6" s="293" t="s">
        <v>15</v>
      </c>
      <c r="M6" s="294"/>
      <c r="N6" s="38">
        <v>22</v>
      </c>
      <c r="O6" s="1"/>
      <c r="V6" s="93" t="s">
        <v>16</v>
      </c>
      <c r="W6" s="97">
        <v>19</v>
      </c>
      <c r="X6" s="93" t="s">
        <v>11</v>
      </c>
      <c r="Y6" s="98">
        <v>7</v>
      </c>
    </row>
    <row r="7" spans="4:28" ht="16" x14ac:dyDescent="0.2">
      <c r="D7" s="269" t="s">
        <v>17</v>
      </c>
      <c r="E7" s="270"/>
      <c r="F7" s="270"/>
      <c r="G7" s="270"/>
      <c r="H7" s="270"/>
      <c r="I7" s="273">
        <f>I5</f>
        <v>42636</v>
      </c>
      <c r="J7" s="275" t="s">
        <v>18</v>
      </c>
      <c r="K7" s="1"/>
      <c r="L7" s="295" t="s">
        <v>19</v>
      </c>
      <c r="M7" s="296"/>
      <c r="N7" s="39">
        <v>15</v>
      </c>
      <c r="O7" s="1"/>
      <c r="V7" s="93" t="s">
        <v>20</v>
      </c>
      <c r="W7" s="97">
        <v>26</v>
      </c>
      <c r="X7" s="93" t="s">
        <v>21</v>
      </c>
      <c r="Y7" s="98">
        <v>19</v>
      </c>
    </row>
    <row r="8" spans="4:28" ht="17" thickBot="1" x14ac:dyDescent="0.25">
      <c r="D8" s="271"/>
      <c r="E8" s="272"/>
      <c r="F8" s="272"/>
      <c r="G8" s="272"/>
      <c r="H8" s="272"/>
      <c r="I8" s="274"/>
      <c r="J8" s="276"/>
      <c r="K8" s="1"/>
      <c r="L8" s="297" t="s">
        <v>22</v>
      </c>
      <c r="M8" s="298"/>
      <c r="N8" s="41">
        <f>N6*N7</f>
        <v>330</v>
      </c>
      <c r="O8" s="1"/>
      <c r="V8" s="93" t="s">
        <v>23</v>
      </c>
      <c r="W8" s="97">
        <v>16</v>
      </c>
      <c r="X8" s="93" t="s">
        <v>24</v>
      </c>
      <c r="Y8" s="98">
        <v>6</v>
      </c>
      <c r="AA8" s="101" t="s">
        <v>25</v>
      </c>
      <c r="AB8" s="99"/>
    </row>
    <row r="9" spans="4:28" ht="16" x14ac:dyDescent="0.2">
      <c r="D9" s="300" t="s">
        <v>26</v>
      </c>
      <c r="E9" s="301"/>
      <c r="F9" s="301"/>
      <c r="G9" s="301"/>
      <c r="H9" s="302"/>
      <c r="I9" s="306">
        <v>0.6</v>
      </c>
      <c r="J9" s="307">
        <f>I7*I9</f>
        <v>25581.599999999999</v>
      </c>
      <c r="K9" s="1"/>
      <c r="L9" s="1"/>
      <c r="M9" s="1"/>
      <c r="N9" s="1"/>
      <c r="O9" s="1"/>
      <c r="V9" s="93" t="s">
        <v>27</v>
      </c>
      <c r="W9" s="97">
        <v>16</v>
      </c>
      <c r="X9" s="93" t="s">
        <v>28</v>
      </c>
      <c r="Y9" s="98">
        <v>3</v>
      </c>
      <c r="AA9" s="101">
        <f>AVERAGE(W2:W9)</f>
        <v>18.25</v>
      </c>
      <c r="AB9" s="101">
        <f>AVERAGE(Y2:Y9)</f>
        <v>6.25</v>
      </c>
    </row>
    <row r="10" spans="4:28" ht="16" x14ac:dyDescent="0.2">
      <c r="D10" s="303"/>
      <c r="E10" s="304"/>
      <c r="F10" s="304"/>
      <c r="G10" s="304"/>
      <c r="H10" s="305"/>
      <c r="I10" s="306"/>
      <c r="J10" s="308"/>
      <c r="K10" s="1"/>
      <c r="L10" s="1"/>
      <c r="M10" s="1"/>
      <c r="N10" s="1"/>
      <c r="O10" s="1"/>
      <c r="V10" s="94" t="s">
        <v>29</v>
      </c>
      <c r="W10" s="97">
        <v>26</v>
      </c>
      <c r="X10" s="94" t="s">
        <v>30</v>
      </c>
      <c r="Y10" s="98">
        <v>14</v>
      </c>
    </row>
    <row r="11" spans="4:28" ht="16" x14ac:dyDescent="0.2">
      <c r="D11" s="309" t="s">
        <v>31</v>
      </c>
      <c r="E11" s="310"/>
      <c r="F11" s="310"/>
      <c r="G11" s="310"/>
      <c r="H11" s="311"/>
      <c r="I11" s="306">
        <v>0.4</v>
      </c>
      <c r="J11" s="307">
        <f>I7*I11</f>
        <v>17054.400000000001</v>
      </c>
      <c r="K11" s="1"/>
      <c r="L11" s="1"/>
      <c r="M11" s="1"/>
      <c r="N11" s="1"/>
      <c r="O11" s="1"/>
      <c r="V11" s="94" t="s">
        <v>32</v>
      </c>
      <c r="W11" s="97">
        <v>18</v>
      </c>
      <c r="X11" s="94" t="s">
        <v>33</v>
      </c>
      <c r="Y11" s="98">
        <v>7</v>
      </c>
    </row>
    <row r="12" spans="4:28" ht="17" thickBot="1" x14ac:dyDescent="0.25">
      <c r="D12" s="312"/>
      <c r="E12" s="313"/>
      <c r="F12" s="313"/>
      <c r="G12" s="313"/>
      <c r="H12" s="314"/>
      <c r="I12" s="315"/>
      <c r="J12" s="316"/>
      <c r="K12" s="1"/>
      <c r="L12" s="1"/>
      <c r="M12" s="1"/>
      <c r="N12" s="18"/>
      <c r="O12" s="19"/>
      <c r="V12" s="94" t="s">
        <v>34</v>
      </c>
      <c r="W12" s="97">
        <v>19</v>
      </c>
      <c r="X12" s="94" t="s">
        <v>35</v>
      </c>
      <c r="Y12" s="98">
        <v>7</v>
      </c>
    </row>
    <row r="13" spans="4:28" ht="16" x14ac:dyDescent="0.2">
      <c r="V13" s="94" t="s">
        <v>36</v>
      </c>
      <c r="W13" s="97">
        <v>15</v>
      </c>
      <c r="X13" s="94" t="s">
        <v>37</v>
      </c>
      <c r="Y13" s="98">
        <v>1</v>
      </c>
    </row>
    <row r="14" spans="4:28" ht="17" thickBot="1" x14ac:dyDescent="0.25">
      <c r="V14" s="94" t="s">
        <v>38</v>
      </c>
      <c r="W14" s="97">
        <v>20</v>
      </c>
      <c r="X14" s="94" t="s">
        <v>39</v>
      </c>
      <c r="Y14" s="98">
        <v>3</v>
      </c>
    </row>
    <row r="15" spans="4:28" ht="15" customHeight="1" x14ac:dyDescent="0.2">
      <c r="D15" s="254" t="s">
        <v>40</v>
      </c>
      <c r="E15" s="250" t="s">
        <v>41</v>
      </c>
      <c r="F15" s="250"/>
      <c r="G15" s="250"/>
      <c r="H15" s="250"/>
      <c r="I15" s="250" t="s">
        <v>42</v>
      </c>
      <c r="J15" s="250" t="s">
        <v>43</v>
      </c>
      <c r="K15" s="299" t="s">
        <v>44</v>
      </c>
      <c r="O15" s="230" t="s">
        <v>45</v>
      </c>
      <c r="P15" s="360" t="s">
        <v>46</v>
      </c>
      <c r="Q15" s="360"/>
      <c r="R15" s="360"/>
      <c r="S15" s="360"/>
      <c r="T15" s="360"/>
      <c r="V15" s="94" t="s">
        <v>47</v>
      </c>
      <c r="W15" s="97">
        <v>26</v>
      </c>
      <c r="X15" s="94" t="s">
        <v>48</v>
      </c>
      <c r="Y15" s="98">
        <v>14</v>
      </c>
    </row>
    <row r="16" spans="4:28" ht="16" x14ac:dyDescent="0.2">
      <c r="D16" s="256"/>
      <c r="E16" s="251"/>
      <c r="F16" s="251"/>
      <c r="G16" s="251"/>
      <c r="H16" s="251"/>
      <c r="I16" s="257"/>
      <c r="J16" s="257"/>
      <c r="K16" s="259"/>
      <c r="O16" s="230"/>
      <c r="P16" s="360"/>
      <c r="Q16" s="360"/>
      <c r="R16" s="360"/>
      <c r="S16" s="360"/>
      <c r="T16" s="360"/>
      <c r="V16" s="94" t="s">
        <v>49</v>
      </c>
      <c r="W16" s="97">
        <v>20</v>
      </c>
      <c r="X16" s="94" t="s">
        <v>50</v>
      </c>
      <c r="Y16" s="98">
        <v>1</v>
      </c>
    </row>
    <row r="17" spans="4:28" ht="16" x14ac:dyDescent="0.2">
      <c r="D17" s="229" t="s">
        <v>51</v>
      </c>
      <c r="E17" s="242" t="s">
        <v>52</v>
      </c>
      <c r="F17" s="242"/>
      <c r="G17" s="242"/>
      <c r="H17" s="242"/>
      <c r="I17" s="281">
        <v>0.98</v>
      </c>
      <c r="J17" s="281">
        <v>0.97</v>
      </c>
      <c r="K17" s="283">
        <v>1</v>
      </c>
      <c r="O17" s="230" t="s">
        <v>53</v>
      </c>
      <c r="P17" s="360" t="s">
        <v>54</v>
      </c>
      <c r="Q17" s="360"/>
      <c r="R17" s="360"/>
      <c r="S17" s="360"/>
      <c r="T17" s="360"/>
      <c r="V17" s="94" t="s">
        <v>55</v>
      </c>
      <c r="W17" s="99">
        <v>16</v>
      </c>
      <c r="X17" s="94" t="s">
        <v>56</v>
      </c>
      <c r="Y17" s="100">
        <v>6</v>
      </c>
      <c r="AA17" s="102" t="s">
        <v>57</v>
      </c>
    </row>
    <row r="18" spans="4:28" x14ac:dyDescent="0.2">
      <c r="D18" s="229"/>
      <c r="E18" s="242"/>
      <c r="F18" s="242"/>
      <c r="G18" s="242"/>
      <c r="H18" s="242"/>
      <c r="I18" s="281"/>
      <c r="J18" s="281"/>
      <c r="K18" s="283"/>
      <c r="O18" s="230"/>
      <c r="P18" s="360"/>
      <c r="Q18" s="360"/>
      <c r="R18" s="360"/>
      <c r="S18" s="360"/>
      <c r="T18" s="360"/>
      <c r="W18">
        <f>AVERAGE(W2:W17)</f>
        <v>19.125</v>
      </c>
      <c r="Y18">
        <f>AVERAGE(Y2:Y17)</f>
        <v>6.4375</v>
      </c>
      <c r="AA18" s="102">
        <f>AVERAGE(W10:W17)</f>
        <v>20</v>
      </c>
      <c r="AB18" s="102">
        <f>AVERAGE(Y10:Y17)</f>
        <v>6.625</v>
      </c>
    </row>
    <row r="19" spans="4:28" x14ac:dyDescent="0.2">
      <c r="D19" s="229" t="s">
        <v>58</v>
      </c>
      <c r="E19" s="242" t="s">
        <v>59</v>
      </c>
      <c r="F19" s="242"/>
      <c r="G19" s="242"/>
      <c r="H19" s="242"/>
      <c r="I19" s="281">
        <v>0.97</v>
      </c>
      <c r="J19" s="281">
        <v>0.94</v>
      </c>
      <c r="K19" s="283">
        <v>0.98</v>
      </c>
    </row>
    <row r="20" spans="4:28" ht="16" thickBot="1" x14ac:dyDescent="0.25">
      <c r="D20" s="280"/>
      <c r="E20" s="261"/>
      <c r="F20" s="261"/>
      <c r="G20" s="261"/>
      <c r="H20" s="261"/>
      <c r="I20" s="282"/>
      <c r="J20" s="282"/>
      <c r="K20" s="284"/>
    </row>
    <row r="21" spans="4:28" x14ac:dyDescent="0.2">
      <c r="W21" s="116"/>
    </row>
    <row r="22" spans="4:28" ht="16" thickBot="1" x14ac:dyDescent="0.25"/>
    <row r="23" spans="4:28" x14ac:dyDescent="0.2">
      <c r="D23" s="211" t="s">
        <v>60</v>
      </c>
      <c r="E23" s="212"/>
      <c r="F23" s="213"/>
      <c r="G23" s="220" t="s">
        <v>61</v>
      </c>
      <c r="H23" s="223" t="s">
        <v>62</v>
      </c>
      <c r="W23" s="115"/>
    </row>
    <row r="24" spans="4:28" x14ac:dyDescent="0.2">
      <c r="D24" s="214"/>
      <c r="E24" s="215"/>
      <c r="F24" s="216"/>
      <c r="G24" s="221"/>
      <c r="H24" s="224"/>
    </row>
    <row r="25" spans="4:28" x14ac:dyDescent="0.2">
      <c r="D25" s="217"/>
      <c r="E25" s="218"/>
      <c r="F25" s="219"/>
      <c r="G25" s="222"/>
      <c r="H25" s="225"/>
    </row>
    <row r="26" spans="4:28" x14ac:dyDescent="0.2">
      <c r="D26" s="229" t="s">
        <v>63</v>
      </c>
      <c r="E26" s="230"/>
      <c r="F26" s="230"/>
      <c r="G26" s="231">
        <v>3</v>
      </c>
      <c r="H26" s="232">
        <v>1</v>
      </c>
    </row>
    <row r="27" spans="4:28" x14ac:dyDescent="0.2">
      <c r="D27" s="229"/>
      <c r="E27" s="230"/>
      <c r="F27" s="230"/>
      <c r="G27" s="231"/>
      <c r="H27" s="232"/>
    </row>
    <row r="28" spans="4:28" x14ac:dyDescent="0.2">
      <c r="D28" s="247" t="s">
        <v>64</v>
      </c>
      <c r="E28" s="230"/>
      <c r="F28" s="230"/>
      <c r="G28" s="231">
        <v>5</v>
      </c>
      <c r="H28" s="232">
        <v>2</v>
      </c>
    </row>
    <row r="29" spans="4:28" x14ac:dyDescent="0.2">
      <c r="D29" s="229"/>
      <c r="E29" s="230"/>
      <c r="F29" s="230"/>
      <c r="G29" s="231"/>
      <c r="H29" s="232"/>
    </row>
    <row r="30" spans="4:28" x14ac:dyDescent="0.2">
      <c r="D30" s="229" t="s">
        <v>65</v>
      </c>
      <c r="E30" s="230"/>
      <c r="F30" s="230"/>
      <c r="G30" s="231">
        <v>3</v>
      </c>
      <c r="H30" s="232">
        <v>1</v>
      </c>
    </row>
    <row r="31" spans="4:28" x14ac:dyDescent="0.2">
      <c r="D31" s="229"/>
      <c r="E31" s="230"/>
      <c r="F31" s="230"/>
      <c r="G31" s="231"/>
      <c r="H31" s="232"/>
    </row>
    <row r="32" spans="4:28" x14ac:dyDescent="0.2">
      <c r="D32" s="285" t="s">
        <v>66</v>
      </c>
      <c r="E32" s="286"/>
      <c r="F32" s="287"/>
      <c r="G32" s="231">
        <v>5</v>
      </c>
      <c r="H32" s="232">
        <v>1</v>
      </c>
    </row>
    <row r="33" spans="2:15" ht="16" thickBot="1" x14ac:dyDescent="0.25">
      <c r="D33" s="288"/>
      <c r="E33" s="289"/>
      <c r="F33" s="290"/>
      <c r="G33" s="291"/>
      <c r="H33" s="292"/>
    </row>
    <row r="34" spans="2:15" ht="16" x14ac:dyDescent="0.2">
      <c r="D34" s="15"/>
      <c r="E34" s="15"/>
      <c r="F34" s="15"/>
      <c r="G34" s="210"/>
      <c r="H34" s="1"/>
    </row>
    <row r="35" spans="2:15" ht="16" thickBot="1" x14ac:dyDescent="0.25"/>
    <row r="36" spans="2:15" x14ac:dyDescent="0.2">
      <c r="B36" s="317" t="s">
        <v>67</v>
      </c>
      <c r="C36" s="318"/>
      <c r="D36" s="318"/>
      <c r="E36" s="318"/>
      <c r="F36" s="318"/>
      <c r="G36" s="318"/>
      <c r="H36" s="318"/>
      <c r="I36" s="318"/>
      <c r="J36" s="318"/>
      <c r="K36" s="318"/>
      <c r="L36" s="318"/>
      <c r="M36" s="318"/>
      <c r="N36" s="318"/>
      <c r="O36" s="319"/>
    </row>
    <row r="37" spans="2:15" x14ac:dyDescent="0.2">
      <c r="B37" s="320"/>
      <c r="C37" s="321"/>
      <c r="D37" s="321"/>
      <c r="E37" s="321"/>
      <c r="F37" s="321"/>
      <c r="G37" s="321"/>
      <c r="H37" s="321"/>
      <c r="I37" s="321"/>
      <c r="J37" s="321"/>
      <c r="K37" s="321"/>
      <c r="L37" s="321"/>
      <c r="M37" s="321"/>
      <c r="N37" s="321"/>
      <c r="O37" s="322"/>
    </row>
    <row r="38" spans="2:15" x14ac:dyDescent="0.2">
      <c r="B38" s="229" t="s">
        <v>68</v>
      </c>
      <c r="C38" s="230"/>
      <c r="D38" s="230"/>
      <c r="E38" s="230"/>
      <c r="F38" s="236" t="s">
        <v>69</v>
      </c>
      <c r="G38" s="236"/>
      <c r="H38" s="9" t="s">
        <v>70</v>
      </c>
      <c r="I38" s="236" t="s">
        <v>71</v>
      </c>
      <c r="J38" s="236"/>
      <c r="K38" s="236"/>
      <c r="L38" s="236"/>
      <c r="M38" s="236"/>
      <c r="N38" s="236"/>
      <c r="O38" s="84" t="s">
        <v>72</v>
      </c>
    </row>
    <row r="39" spans="2:15" x14ac:dyDescent="0.2">
      <c r="B39" s="85">
        <v>1</v>
      </c>
      <c r="C39" s="62"/>
      <c r="D39" s="62"/>
      <c r="E39" s="62"/>
      <c r="F39" s="237" t="s">
        <v>73</v>
      </c>
      <c r="G39" s="237"/>
      <c r="H39" s="62" t="s">
        <v>74</v>
      </c>
      <c r="I39" s="325" t="s">
        <v>26</v>
      </c>
      <c r="J39" s="325"/>
      <c r="K39" s="325"/>
      <c r="L39" s="325"/>
      <c r="M39" s="325"/>
      <c r="N39" s="325"/>
      <c r="O39" s="86"/>
    </row>
    <row r="40" spans="2:15" x14ac:dyDescent="0.2">
      <c r="B40" s="87"/>
      <c r="C40" s="10">
        <v>2</v>
      </c>
      <c r="D40" s="10"/>
      <c r="E40" s="10"/>
      <c r="F40" s="238" t="s">
        <v>75</v>
      </c>
      <c r="G40" s="238"/>
      <c r="H40" s="10" t="s">
        <v>74</v>
      </c>
      <c r="I40" s="235" t="s">
        <v>76</v>
      </c>
      <c r="J40" s="235"/>
      <c r="K40" s="235"/>
      <c r="L40" s="235"/>
      <c r="M40" s="235"/>
      <c r="N40" s="235"/>
      <c r="O40" s="75">
        <v>1</v>
      </c>
    </row>
    <row r="41" spans="2:15" ht="16.5" customHeight="1" x14ac:dyDescent="0.2">
      <c r="B41" s="87"/>
      <c r="C41" s="10"/>
      <c r="D41" s="10">
        <v>3</v>
      </c>
      <c r="E41" s="10"/>
      <c r="F41" s="238" t="s">
        <v>77</v>
      </c>
      <c r="G41" s="238"/>
      <c r="H41" s="10" t="s">
        <v>78</v>
      </c>
      <c r="I41" s="234" t="s">
        <v>79</v>
      </c>
      <c r="J41" s="234"/>
      <c r="K41" s="234"/>
      <c r="L41" s="234"/>
      <c r="M41" s="234"/>
      <c r="N41" s="234"/>
      <c r="O41" s="75">
        <v>1</v>
      </c>
    </row>
    <row r="42" spans="2:15" x14ac:dyDescent="0.2">
      <c r="B42" s="87"/>
      <c r="C42" s="10"/>
      <c r="D42" s="10">
        <v>3</v>
      </c>
      <c r="E42" s="10"/>
      <c r="F42" s="238" t="s">
        <v>80</v>
      </c>
      <c r="G42" s="238"/>
      <c r="H42" s="10" t="s">
        <v>78</v>
      </c>
      <c r="I42" s="234" t="s">
        <v>81</v>
      </c>
      <c r="J42" s="234"/>
      <c r="K42" s="234"/>
      <c r="L42" s="234"/>
      <c r="M42" s="234"/>
      <c r="N42" s="234"/>
      <c r="O42" s="75">
        <v>1</v>
      </c>
    </row>
    <row r="43" spans="2:15" x14ac:dyDescent="0.2">
      <c r="B43" s="87"/>
      <c r="C43" s="52">
        <v>2</v>
      </c>
      <c r="D43" s="10"/>
      <c r="E43" s="10"/>
      <c r="F43" s="238" t="s">
        <v>82</v>
      </c>
      <c r="G43" s="238"/>
      <c r="H43" s="10" t="s">
        <v>78</v>
      </c>
      <c r="I43" s="234" t="s">
        <v>83</v>
      </c>
      <c r="J43" s="234"/>
      <c r="K43" s="234"/>
      <c r="L43" s="234"/>
      <c r="M43" s="234"/>
      <c r="N43" s="234"/>
      <c r="O43" s="75">
        <v>1</v>
      </c>
    </row>
    <row r="44" spans="2:15" x14ac:dyDescent="0.2">
      <c r="B44" s="87"/>
      <c r="C44" s="52">
        <v>2</v>
      </c>
      <c r="D44" s="10"/>
      <c r="E44" s="10"/>
      <c r="F44" s="238" t="s">
        <v>84</v>
      </c>
      <c r="G44" s="238"/>
      <c r="H44" s="10" t="s">
        <v>78</v>
      </c>
      <c r="I44" s="234" t="s">
        <v>85</v>
      </c>
      <c r="J44" s="234"/>
      <c r="K44" s="234"/>
      <c r="L44" s="234"/>
      <c r="M44" s="234"/>
      <c r="N44" s="234"/>
      <c r="O44" s="75">
        <v>1</v>
      </c>
    </row>
    <row r="45" spans="2:15" x14ac:dyDescent="0.2">
      <c r="B45" s="87"/>
      <c r="C45" s="52">
        <v>2</v>
      </c>
      <c r="D45" s="10"/>
      <c r="E45" s="10"/>
      <c r="F45" s="238" t="s">
        <v>86</v>
      </c>
      <c r="G45" s="238"/>
      <c r="H45" s="10" t="s">
        <v>78</v>
      </c>
      <c r="I45" s="234" t="s">
        <v>87</v>
      </c>
      <c r="J45" s="234"/>
      <c r="K45" s="234"/>
      <c r="L45" s="234"/>
      <c r="M45" s="234"/>
      <c r="N45" s="234"/>
      <c r="O45" s="75">
        <v>1</v>
      </c>
    </row>
    <row r="46" spans="2:15" x14ac:dyDescent="0.2">
      <c r="B46" s="87"/>
      <c r="C46" s="52">
        <v>2</v>
      </c>
      <c r="D46" s="10"/>
      <c r="E46" s="10"/>
      <c r="F46" s="238" t="s">
        <v>88</v>
      </c>
      <c r="G46" s="238"/>
      <c r="H46" s="10" t="s">
        <v>78</v>
      </c>
      <c r="I46" s="234" t="s">
        <v>89</v>
      </c>
      <c r="J46" s="234"/>
      <c r="K46" s="234"/>
      <c r="L46" s="234"/>
      <c r="M46" s="234"/>
      <c r="N46" s="234"/>
      <c r="O46" s="75">
        <v>1</v>
      </c>
    </row>
    <row r="47" spans="2:15" x14ac:dyDescent="0.2">
      <c r="B47" s="87"/>
      <c r="C47" s="10">
        <v>2</v>
      </c>
      <c r="D47" s="10"/>
      <c r="E47" s="10"/>
      <c r="F47" s="238" t="s">
        <v>90</v>
      </c>
      <c r="G47" s="238"/>
      <c r="H47" s="10" t="s">
        <v>78</v>
      </c>
      <c r="I47" s="234" t="s">
        <v>91</v>
      </c>
      <c r="J47" s="234"/>
      <c r="K47" s="234"/>
      <c r="L47" s="234"/>
      <c r="M47" s="234"/>
      <c r="N47" s="234"/>
      <c r="O47" s="75">
        <v>1</v>
      </c>
    </row>
    <row r="48" spans="2:15" x14ac:dyDescent="0.2">
      <c r="B48" s="87"/>
      <c r="C48" s="10"/>
      <c r="D48" s="10"/>
      <c r="E48" s="10"/>
      <c r="F48" s="238"/>
      <c r="G48" s="238"/>
      <c r="H48" s="10"/>
      <c r="I48" s="249"/>
      <c r="J48" s="249"/>
      <c r="K48" s="249"/>
      <c r="L48" s="249"/>
      <c r="M48" s="249"/>
      <c r="N48" s="249"/>
      <c r="O48" s="75"/>
    </row>
    <row r="49" spans="2:15" x14ac:dyDescent="0.2">
      <c r="B49" s="88">
        <v>1</v>
      </c>
      <c r="C49" s="52"/>
      <c r="D49" s="52"/>
      <c r="E49" s="52"/>
      <c r="F49" s="233" t="s">
        <v>92</v>
      </c>
      <c r="G49" s="233"/>
      <c r="H49" s="52" t="s">
        <v>74</v>
      </c>
      <c r="I49" s="325" t="s">
        <v>31</v>
      </c>
      <c r="J49" s="325"/>
      <c r="K49" s="325"/>
      <c r="L49" s="325"/>
      <c r="M49" s="325"/>
      <c r="N49" s="325"/>
      <c r="O49" s="89"/>
    </row>
    <row r="50" spans="2:15" x14ac:dyDescent="0.2">
      <c r="B50" s="87"/>
      <c r="C50" s="10">
        <v>2</v>
      </c>
      <c r="D50" s="10"/>
      <c r="E50" s="10"/>
      <c r="F50" s="238" t="s">
        <v>93</v>
      </c>
      <c r="G50" s="238"/>
      <c r="H50" s="10" t="s">
        <v>74</v>
      </c>
      <c r="I50" s="235" t="s">
        <v>94</v>
      </c>
      <c r="J50" s="235"/>
      <c r="K50" s="235"/>
      <c r="L50" s="235"/>
      <c r="M50" s="235"/>
      <c r="N50" s="235"/>
      <c r="O50" s="75">
        <v>1</v>
      </c>
    </row>
    <row r="51" spans="2:15" x14ac:dyDescent="0.2">
      <c r="B51" s="87"/>
      <c r="C51" s="10"/>
      <c r="D51" s="10">
        <v>3</v>
      </c>
      <c r="E51" s="10"/>
      <c r="F51" s="238" t="s">
        <v>95</v>
      </c>
      <c r="G51" s="238"/>
      <c r="H51" s="10" t="s">
        <v>78</v>
      </c>
      <c r="I51" s="234" t="s">
        <v>96</v>
      </c>
      <c r="J51" s="234"/>
      <c r="K51" s="234"/>
      <c r="L51" s="234"/>
      <c r="M51" s="234"/>
      <c r="N51" s="234"/>
      <c r="O51" s="75">
        <v>1</v>
      </c>
    </row>
    <row r="52" spans="2:15" x14ac:dyDescent="0.2">
      <c r="B52" s="87"/>
      <c r="C52" s="10"/>
      <c r="D52" s="10">
        <v>3</v>
      </c>
      <c r="E52" s="10"/>
      <c r="F52" s="238" t="s">
        <v>97</v>
      </c>
      <c r="G52" s="238"/>
      <c r="H52" s="10" t="s">
        <v>78</v>
      </c>
      <c r="I52" s="234" t="s">
        <v>98</v>
      </c>
      <c r="J52" s="234"/>
      <c r="K52" s="234"/>
      <c r="L52" s="234"/>
      <c r="M52" s="234"/>
      <c r="N52" s="234"/>
      <c r="O52" s="75">
        <v>1</v>
      </c>
    </row>
    <row r="53" spans="2:15" x14ac:dyDescent="0.2">
      <c r="B53" s="87"/>
      <c r="C53" s="52">
        <v>2</v>
      </c>
      <c r="D53" s="10"/>
      <c r="E53" s="10"/>
      <c r="F53" s="238" t="s">
        <v>82</v>
      </c>
      <c r="G53" s="238"/>
      <c r="H53" s="10" t="s">
        <v>78</v>
      </c>
      <c r="I53" s="234" t="s">
        <v>83</v>
      </c>
      <c r="J53" s="234"/>
      <c r="K53" s="234"/>
      <c r="L53" s="234"/>
      <c r="M53" s="234"/>
      <c r="N53" s="234"/>
      <c r="O53" s="75">
        <v>2</v>
      </c>
    </row>
    <row r="54" spans="2:15" x14ac:dyDescent="0.2">
      <c r="B54" s="87"/>
      <c r="C54" s="52">
        <v>2</v>
      </c>
      <c r="D54" s="10"/>
      <c r="E54" s="10"/>
      <c r="F54" s="238" t="s">
        <v>84</v>
      </c>
      <c r="G54" s="238"/>
      <c r="H54" s="10" t="s">
        <v>78</v>
      </c>
      <c r="I54" s="234" t="s">
        <v>85</v>
      </c>
      <c r="J54" s="234"/>
      <c r="K54" s="234"/>
      <c r="L54" s="234"/>
      <c r="M54" s="234"/>
      <c r="N54" s="234"/>
      <c r="O54" s="75">
        <v>2</v>
      </c>
    </row>
    <row r="55" spans="2:15" x14ac:dyDescent="0.2">
      <c r="B55" s="87"/>
      <c r="C55" s="52">
        <v>2</v>
      </c>
      <c r="D55" s="10"/>
      <c r="E55" s="10"/>
      <c r="F55" s="238" t="s">
        <v>86</v>
      </c>
      <c r="G55" s="238"/>
      <c r="H55" s="10" t="s">
        <v>78</v>
      </c>
      <c r="I55" s="234" t="s">
        <v>87</v>
      </c>
      <c r="J55" s="234"/>
      <c r="K55" s="234"/>
      <c r="L55" s="234"/>
      <c r="M55" s="234"/>
      <c r="N55" s="234"/>
      <c r="O55" s="75">
        <v>2</v>
      </c>
    </row>
    <row r="56" spans="2:15" x14ac:dyDescent="0.2">
      <c r="B56" s="87"/>
      <c r="C56" s="52">
        <v>2</v>
      </c>
      <c r="D56" s="10"/>
      <c r="E56" s="10"/>
      <c r="F56" s="238" t="s">
        <v>99</v>
      </c>
      <c r="G56" s="238"/>
      <c r="H56" s="10" t="s">
        <v>78</v>
      </c>
      <c r="I56" s="234" t="s">
        <v>100</v>
      </c>
      <c r="J56" s="234"/>
      <c r="K56" s="234"/>
      <c r="L56" s="234"/>
      <c r="M56" s="234"/>
      <c r="N56" s="234"/>
      <c r="O56" s="75">
        <v>1</v>
      </c>
    </row>
    <row r="57" spans="2:15" x14ac:dyDescent="0.2">
      <c r="B57" s="87"/>
      <c r="C57" s="10">
        <v>2</v>
      </c>
      <c r="D57" s="10"/>
      <c r="E57" s="10"/>
      <c r="F57" s="238" t="s">
        <v>90</v>
      </c>
      <c r="G57" s="238"/>
      <c r="H57" s="10" t="s">
        <v>78</v>
      </c>
      <c r="I57" s="234" t="s">
        <v>91</v>
      </c>
      <c r="J57" s="234"/>
      <c r="K57" s="234"/>
      <c r="L57" s="234"/>
      <c r="M57" s="234"/>
      <c r="N57" s="234"/>
      <c r="O57" s="75">
        <v>1</v>
      </c>
    </row>
    <row r="58" spans="2:15" ht="16" thickBot="1" x14ac:dyDescent="0.25">
      <c r="B58" s="66"/>
      <c r="C58" s="74"/>
      <c r="D58" s="74"/>
      <c r="E58" s="74"/>
      <c r="F58" s="323"/>
      <c r="G58" s="323"/>
      <c r="H58" s="74"/>
      <c r="I58" s="324"/>
      <c r="J58" s="324"/>
      <c r="K58" s="324"/>
      <c r="L58" s="324"/>
      <c r="M58" s="324"/>
      <c r="N58" s="324"/>
      <c r="O58" s="67"/>
    </row>
    <row r="59" spans="2:15" x14ac:dyDescent="0.2">
      <c r="B59" s="1"/>
      <c r="C59" s="1"/>
      <c r="D59" s="1"/>
      <c r="E59" s="1"/>
      <c r="F59" s="35"/>
      <c r="G59" s="35"/>
      <c r="H59" s="1"/>
      <c r="I59" s="54"/>
      <c r="J59" s="3"/>
      <c r="K59" s="3"/>
      <c r="L59" s="3"/>
      <c r="M59" s="3"/>
      <c r="N59" s="3"/>
      <c r="O59" s="1"/>
    </row>
    <row r="60" spans="2:15" x14ac:dyDescent="0.2">
      <c r="B60" s="1"/>
      <c r="C60" s="1"/>
      <c r="D60" s="1"/>
      <c r="E60" s="1"/>
      <c r="F60" s="35"/>
      <c r="G60" s="35"/>
      <c r="H60" s="1"/>
      <c r="I60" s="54"/>
      <c r="J60" s="3"/>
      <c r="K60" s="3"/>
      <c r="L60" s="3"/>
      <c r="M60" s="3"/>
      <c r="N60" s="3"/>
      <c r="O60" s="1"/>
    </row>
    <row r="62" spans="2:15" ht="16" thickBot="1" x14ac:dyDescent="0.25"/>
    <row r="63" spans="2:15" ht="15" customHeight="1" x14ac:dyDescent="0.2">
      <c r="B63" s="245" t="s">
        <v>69</v>
      </c>
      <c r="C63" s="246"/>
      <c r="D63" s="243" t="s">
        <v>101</v>
      </c>
      <c r="E63" s="250" t="s">
        <v>102</v>
      </c>
      <c r="F63" s="250"/>
      <c r="G63" s="250"/>
      <c r="H63" s="250"/>
      <c r="I63" s="250"/>
      <c r="J63" s="246" t="s">
        <v>103</v>
      </c>
      <c r="K63" s="330"/>
      <c r="L63" s="243" t="s">
        <v>104</v>
      </c>
      <c r="M63" s="327" t="s">
        <v>105</v>
      </c>
    </row>
    <row r="64" spans="2:15" ht="14.75" customHeight="1" x14ac:dyDescent="0.2">
      <c r="B64" s="247"/>
      <c r="C64" s="248"/>
      <c r="D64" s="244"/>
      <c r="E64" s="251"/>
      <c r="F64" s="251"/>
      <c r="G64" s="251"/>
      <c r="H64" s="251"/>
      <c r="I64" s="251"/>
      <c r="J64" s="230"/>
      <c r="K64" s="230"/>
      <c r="L64" s="244"/>
      <c r="M64" s="328"/>
    </row>
    <row r="65" spans="2:13" x14ac:dyDescent="0.2">
      <c r="B65" s="331" t="str">
        <f>F39</f>
        <v>INT_ASS_001</v>
      </c>
      <c r="C65" s="332"/>
      <c r="D65" s="10" t="s">
        <v>106</v>
      </c>
      <c r="E65" s="329" t="str">
        <f>I39</f>
        <v>PLANCIA SEGMENTO A1</v>
      </c>
      <c r="F65" s="329"/>
      <c r="G65" s="329"/>
      <c r="H65" s="329"/>
      <c r="I65" s="329"/>
      <c r="J65" s="326" t="s">
        <v>107</v>
      </c>
      <c r="K65" s="326"/>
      <c r="L65" s="17">
        <v>4</v>
      </c>
      <c r="M65" s="80">
        <v>2</v>
      </c>
    </row>
    <row r="66" spans="2:13" x14ac:dyDescent="0.2">
      <c r="B66" s="331" t="str">
        <f>F49</f>
        <v>INT_ASS_002</v>
      </c>
      <c r="C66" s="332"/>
      <c r="D66" s="10" t="s">
        <v>106</v>
      </c>
      <c r="E66" s="329" t="str">
        <f>I49</f>
        <v>PLANCIA SEGMENTO B</v>
      </c>
      <c r="F66" s="329"/>
      <c r="G66" s="329"/>
      <c r="H66" s="329"/>
      <c r="I66" s="329"/>
      <c r="J66" s="326" t="s">
        <v>107</v>
      </c>
      <c r="K66" s="326"/>
      <c r="L66" s="17">
        <v>3</v>
      </c>
      <c r="M66" s="80">
        <v>2</v>
      </c>
    </row>
    <row r="67" spans="2:13" x14ac:dyDescent="0.2">
      <c r="B67" s="331"/>
      <c r="C67" s="332"/>
      <c r="D67" s="10"/>
      <c r="E67" s="329"/>
      <c r="F67" s="329"/>
      <c r="G67" s="329"/>
      <c r="H67" s="329"/>
      <c r="I67" s="329"/>
      <c r="J67" s="326"/>
      <c r="K67" s="326"/>
      <c r="L67" s="17"/>
      <c r="M67" s="80"/>
    </row>
    <row r="68" spans="2:13" x14ac:dyDescent="0.2">
      <c r="B68" s="331" t="str">
        <f>F40</f>
        <v>INT_SAL_001</v>
      </c>
      <c r="C68" s="332"/>
      <c r="D68" s="10" t="s">
        <v>108</v>
      </c>
      <c r="E68" s="329" t="str">
        <f>I40</f>
        <v>(CORPO + INSERTO) PLANCIA SEGMENTO A1</v>
      </c>
      <c r="F68" s="329"/>
      <c r="G68" s="329"/>
      <c r="H68" s="329"/>
      <c r="I68" s="329"/>
      <c r="J68" s="326" t="s">
        <v>109</v>
      </c>
      <c r="K68" s="326"/>
      <c r="L68" s="17">
        <v>6</v>
      </c>
      <c r="M68" s="80">
        <v>2</v>
      </c>
    </row>
    <row r="69" spans="2:13" ht="14.25" customHeight="1" x14ac:dyDescent="0.2">
      <c r="B69" s="331" t="str">
        <f>F50</f>
        <v>INT_SAL_002</v>
      </c>
      <c r="C69" s="332"/>
      <c r="D69" s="10" t="s">
        <v>108</v>
      </c>
      <c r="E69" s="329" t="str">
        <f>I50</f>
        <v>(CORPO + INSERTO) PLANCIA SEGMENTO B</v>
      </c>
      <c r="F69" s="329"/>
      <c r="G69" s="329"/>
      <c r="H69" s="329"/>
      <c r="I69" s="329"/>
      <c r="J69" s="326" t="s">
        <v>109</v>
      </c>
      <c r="K69" s="326"/>
      <c r="L69" s="17">
        <v>4</v>
      </c>
      <c r="M69" s="80">
        <v>2</v>
      </c>
    </row>
    <row r="70" spans="2:13" x14ac:dyDescent="0.2">
      <c r="B70" s="331"/>
      <c r="C70" s="332"/>
      <c r="D70" s="10"/>
      <c r="E70" s="329"/>
      <c r="F70" s="329"/>
      <c r="G70" s="329"/>
      <c r="H70" s="329"/>
      <c r="I70" s="329"/>
      <c r="J70" s="326"/>
      <c r="K70" s="326"/>
      <c r="L70" s="17"/>
      <c r="M70" s="80"/>
    </row>
    <row r="71" spans="2:13" x14ac:dyDescent="0.2">
      <c r="B71" s="331" t="str">
        <f>F41</f>
        <v>EST_STAMP_001</v>
      </c>
      <c r="C71" s="332"/>
      <c r="D71" s="52" t="s">
        <v>106</v>
      </c>
      <c r="E71" s="329" t="str">
        <f>I41</f>
        <v>CORPO PLANCIA A1</v>
      </c>
      <c r="F71" s="329"/>
      <c r="G71" s="329"/>
      <c r="H71" s="329"/>
      <c r="I71" s="329"/>
      <c r="J71" s="326" t="s">
        <v>110</v>
      </c>
      <c r="K71" s="326"/>
      <c r="L71" s="17">
        <v>6</v>
      </c>
      <c r="M71" s="80">
        <v>1</v>
      </c>
    </row>
    <row r="72" spans="2:13" x14ac:dyDescent="0.2">
      <c r="B72" s="331" t="str">
        <f>F51</f>
        <v>EST_STAMP_002</v>
      </c>
      <c r="C72" s="332"/>
      <c r="D72" s="52" t="s">
        <v>106</v>
      </c>
      <c r="E72" s="329" t="str">
        <f>I51</f>
        <v>CORPO PLANCIA B</v>
      </c>
      <c r="F72" s="329"/>
      <c r="G72" s="329"/>
      <c r="H72" s="329"/>
      <c r="I72" s="329"/>
      <c r="J72" s="326" t="s">
        <v>110</v>
      </c>
      <c r="K72" s="326"/>
      <c r="L72" s="17">
        <v>4</v>
      </c>
      <c r="M72" s="80">
        <v>1</v>
      </c>
    </row>
    <row r="73" spans="2:13" x14ac:dyDescent="0.2">
      <c r="B73" s="331" t="str">
        <f>F42</f>
        <v>EST_STAMP_003</v>
      </c>
      <c r="C73" s="332"/>
      <c r="D73" s="52" t="s">
        <v>106</v>
      </c>
      <c r="E73" s="329" t="str">
        <f>I42</f>
        <v>INSERTO PLANCIA A1</v>
      </c>
      <c r="F73" s="329"/>
      <c r="G73" s="329"/>
      <c r="H73" s="329"/>
      <c r="I73" s="329"/>
      <c r="J73" s="326" t="s">
        <v>110</v>
      </c>
      <c r="K73" s="326"/>
      <c r="L73" s="17">
        <v>10</v>
      </c>
      <c r="M73" s="80">
        <v>4</v>
      </c>
    </row>
    <row r="74" spans="2:13" x14ac:dyDescent="0.2">
      <c r="B74" s="331" t="str">
        <f>F52</f>
        <v>EST_STAMP_004</v>
      </c>
      <c r="C74" s="332"/>
      <c r="D74" s="52" t="s">
        <v>106</v>
      </c>
      <c r="E74" s="329" t="str">
        <f>I52</f>
        <v>INSERTO PLANCIA B</v>
      </c>
      <c r="F74" s="329"/>
      <c r="G74" s="329"/>
      <c r="H74" s="329"/>
      <c r="I74" s="329"/>
      <c r="J74" s="326" t="s">
        <v>110</v>
      </c>
      <c r="K74" s="326"/>
      <c r="L74" s="17">
        <v>8</v>
      </c>
      <c r="M74" s="80">
        <v>4</v>
      </c>
    </row>
    <row r="75" spans="2:13" x14ac:dyDescent="0.2">
      <c r="B75" s="331" t="str">
        <f>F43</f>
        <v>EST_STAMP_009</v>
      </c>
      <c r="C75" s="332"/>
      <c r="D75" s="52" t="s">
        <v>106</v>
      </c>
      <c r="E75" s="329" t="str">
        <f>I43</f>
        <v>CUPOLOTTO</v>
      </c>
      <c r="F75" s="329"/>
      <c r="G75" s="329"/>
      <c r="H75" s="329"/>
      <c r="I75" s="329"/>
      <c r="J75" s="326" t="s">
        <v>111</v>
      </c>
      <c r="K75" s="326"/>
      <c r="L75" s="17">
        <v>100</v>
      </c>
      <c r="M75" s="80">
        <v>4</v>
      </c>
    </row>
    <row r="76" spans="2:13" x14ac:dyDescent="0.2">
      <c r="B76" s="331"/>
      <c r="C76" s="332"/>
      <c r="D76" s="52"/>
      <c r="E76" s="329"/>
      <c r="F76" s="329"/>
      <c r="G76" s="329"/>
      <c r="H76" s="329"/>
      <c r="I76" s="329"/>
      <c r="J76" s="326"/>
      <c r="K76" s="326"/>
      <c r="L76" s="17"/>
      <c r="M76" s="80"/>
    </row>
    <row r="77" spans="2:13" x14ac:dyDescent="0.2">
      <c r="B77" s="331" t="str">
        <f>F44</f>
        <v>EST_SICUR_001</v>
      </c>
      <c r="C77" s="332"/>
      <c r="D77" s="52" t="s">
        <v>112</v>
      </c>
      <c r="E77" s="329" t="str">
        <f>I44</f>
        <v>CORPO AIR BAG</v>
      </c>
      <c r="F77" s="329"/>
      <c r="G77" s="329"/>
      <c r="H77" s="329"/>
      <c r="I77" s="329"/>
      <c r="J77" s="326" t="s">
        <v>113</v>
      </c>
      <c r="K77" s="326"/>
      <c r="L77" s="17">
        <v>20</v>
      </c>
      <c r="M77" s="80">
        <v>4</v>
      </c>
    </row>
    <row r="78" spans="2:13" x14ac:dyDescent="0.2">
      <c r="B78" s="331" t="str">
        <f>F45</f>
        <v>EST_SICUR_002</v>
      </c>
      <c r="C78" s="332"/>
      <c r="D78" s="52" t="s">
        <v>112</v>
      </c>
      <c r="E78" s="329" t="str">
        <f>I45</f>
        <v>CORNICE AIR BAG</v>
      </c>
      <c r="F78" s="329"/>
      <c r="G78" s="329"/>
      <c r="H78" s="329"/>
      <c r="I78" s="329"/>
      <c r="J78" s="326" t="s">
        <v>113</v>
      </c>
      <c r="K78" s="326"/>
      <c r="L78" s="17">
        <v>50</v>
      </c>
      <c r="M78" s="80">
        <v>4</v>
      </c>
    </row>
    <row r="79" spans="2:13" x14ac:dyDescent="0.2">
      <c r="B79" s="331" t="str">
        <f>F46</f>
        <v>EST_ELETTR_001</v>
      </c>
      <c r="C79" s="332"/>
      <c r="D79" s="52" t="s">
        <v>112</v>
      </c>
      <c r="E79" s="329" t="str">
        <f>I46</f>
        <v>CENTRALINA ELETTRONICA A1</v>
      </c>
      <c r="F79" s="329"/>
      <c r="G79" s="329"/>
      <c r="H79" s="329"/>
      <c r="I79" s="329"/>
      <c r="J79" s="326" t="s">
        <v>113</v>
      </c>
      <c r="K79" s="326"/>
      <c r="L79" s="17">
        <v>50</v>
      </c>
      <c r="M79" s="80">
        <v>2</v>
      </c>
    </row>
    <row r="80" spans="2:13" x14ac:dyDescent="0.2">
      <c r="B80" s="331" t="str">
        <f>F56</f>
        <v>EST_ELETTR_003</v>
      </c>
      <c r="C80" s="332"/>
      <c r="D80" s="52" t="s">
        <v>112</v>
      </c>
      <c r="E80" s="329" t="str">
        <f>I56</f>
        <v>CENTRALINA ELETTRONICA B</v>
      </c>
      <c r="F80" s="329"/>
      <c r="G80" s="329"/>
      <c r="H80" s="329"/>
      <c r="I80" s="329"/>
      <c r="J80" s="326" t="s">
        <v>113</v>
      </c>
      <c r="K80" s="326"/>
      <c r="L80" s="17">
        <v>50</v>
      </c>
      <c r="M80" s="80">
        <v>2</v>
      </c>
    </row>
    <row r="81" spans="2:13" ht="16" thickBot="1" x14ac:dyDescent="0.25">
      <c r="B81" s="355" t="str">
        <f>F47</f>
        <v>EST_ELETTR_005</v>
      </c>
      <c r="C81" s="356"/>
      <c r="D81" s="81" t="s">
        <v>112</v>
      </c>
      <c r="E81" s="358" t="str">
        <f>I47</f>
        <v>CAVO ELETTRICO COMPLETO</v>
      </c>
      <c r="F81" s="358"/>
      <c r="G81" s="358"/>
      <c r="H81" s="358"/>
      <c r="I81" s="358"/>
      <c r="J81" s="359" t="s">
        <v>113</v>
      </c>
      <c r="K81" s="359"/>
      <c r="L81" s="82">
        <v>16</v>
      </c>
      <c r="M81" s="83">
        <v>4</v>
      </c>
    </row>
    <row r="83" spans="2:13" ht="14.75" customHeight="1" thickBot="1" x14ac:dyDescent="0.25"/>
    <row r="84" spans="2:13" ht="15" customHeight="1" x14ac:dyDescent="0.2">
      <c r="B84" s="245" t="s">
        <v>69</v>
      </c>
      <c r="C84" s="246"/>
      <c r="D84" s="243"/>
      <c r="E84" s="250" t="s">
        <v>114</v>
      </c>
      <c r="F84" s="250"/>
      <c r="G84" s="250"/>
      <c r="H84" s="250"/>
      <c r="I84" s="250"/>
      <c r="J84" s="370" t="s">
        <v>115</v>
      </c>
    </row>
    <row r="85" spans="2:13" ht="14.75" customHeight="1" x14ac:dyDescent="0.2">
      <c r="B85" s="247"/>
      <c r="C85" s="248"/>
      <c r="D85" s="244"/>
      <c r="E85" s="251"/>
      <c r="F85" s="251"/>
      <c r="G85" s="251"/>
      <c r="H85" s="251"/>
      <c r="I85" s="251"/>
      <c r="J85" s="371"/>
    </row>
    <row r="86" spans="2:13" x14ac:dyDescent="0.2">
      <c r="B86" s="252" t="str">
        <f>B65</f>
        <v>INT_ASS_001</v>
      </c>
      <c r="C86" s="253"/>
      <c r="D86" s="63"/>
      <c r="E86" s="226" t="str">
        <f>E65</f>
        <v>PLANCIA SEGMENTO A1</v>
      </c>
      <c r="F86" s="227"/>
      <c r="G86" s="227"/>
      <c r="H86" s="227"/>
      <c r="I86" s="228"/>
      <c r="J86" s="77">
        <v>11.55</v>
      </c>
    </row>
    <row r="87" spans="2:13" x14ac:dyDescent="0.2">
      <c r="B87" s="252" t="str">
        <f t="shared" ref="B87:B102" si="0">B66</f>
        <v>INT_ASS_002</v>
      </c>
      <c r="C87" s="253"/>
      <c r="D87" s="63"/>
      <c r="E87" s="226" t="str">
        <f t="shared" ref="E87:E102" si="1">E66</f>
        <v>PLANCIA SEGMENTO B</v>
      </c>
      <c r="F87" s="227"/>
      <c r="G87" s="227"/>
      <c r="H87" s="227"/>
      <c r="I87" s="228"/>
      <c r="J87" s="77">
        <v>12.15</v>
      </c>
      <c r="K87" s="76"/>
    </row>
    <row r="88" spans="2:13" x14ac:dyDescent="0.2">
      <c r="B88" s="252"/>
      <c r="C88" s="253"/>
      <c r="D88" s="63"/>
      <c r="E88" s="226"/>
      <c r="F88" s="227"/>
      <c r="G88" s="227"/>
      <c r="H88" s="227"/>
      <c r="I88" s="228"/>
      <c r="J88" s="77"/>
      <c r="K88" s="76"/>
    </row>
    <row r="89" spans="2:13" x14ac:dyDescent="0.2">
      <c r="B89" s="252" t="str">
        <f t="shared" si="0"/>
        <v>INT_SAL_001</v>
      </c>
      <c r="C89" s="253"/>
      <c r="D89" s="63"/>
      <c r="E89" s="226" t="str">
        <f t="shared" si="1"/>
        <v>(CORPO + INSERTO) PLANCIA SEGMENTO A1</v>
      </c>
      <c r="F89" s="227"/>
      <c r="G89" s="227"/>
      <c r="H89" s="227"/>
      <c r="I89" s="228"/>
      <c r="J89" s="77">
        <v>5.3</v>
      </c>
      <c r="K89" s="76"/>
    </row>
    <row r="90" spans="2:13" x14ac:dyDescent="0.2">
      <c r="B90" s="252" t="str">
        <f t="shared" si="0"/>
        <v>INT_SAL_002</v>
      </c>
      <c r="C90" s="253"/>
      <c r="D90" s="63"/>
      <c r="E90" s="226" t="str">
        <f t="shared" si="1"/>
        <v>(CORPO + INSERTO) PLANCIA SEGMENTO B</v>
      </c>
      <c r="F90" s="227"/>
      <c r="G90" s="227"/>
      <c r="H90" s="227"/>
      <c r="I90" s="228"/>
      <c r="J90" s="77">
        <v>5.6</v>
      </c>
      <c r="K90" s="76"/>
    </row>
    <row r="91" spans="2:13" x14ac:dyDescent="0.2">
      <c r="B91" s="252"/>
      <c r="C91" s="253"/>
      <c r="D91" s="63"/>
      <c r="E91" s="226"/>
      <c r="F91" s="227"/>
      <c r="G91" s="227"/>
      <c r="H91" s="227"/>
      <c r="I91" s="228"/>
      <c r="J91" s="77"/>
      <c r="K91" s="76"/>
    </row>
    <row r="92" spans="2:13" x14ac:dyDescent="0.2">
      <c r="B92" s="252" t="str">
        <f t="shared" si="0"/>
        <v>EST_STAMP_001</v>
      </c>
      <c r="C92" s="253"/>
      <c r="D92" s="64"/>
      <c r="E92" s="226" t="str">
        <f t="shared" si="1"/>
        <v>CORPO PLANCIA A1</v>
      </c>
      <c r="F92" s="227"/>
      <c r="G92" s="227"/>
      <c r="H92" s="227"/>
      <c r="I92" s="228"/>
      <c r="J92" s="77">
        <v>3.1</v>
      </c>
      <c r="K92" s="76"/>
    </row>
    <row r="93" spans="2:13" x14ac:dyDescent="0.2">
      <c r="B93" s="252" t="str">
        <f t="shared" si="0"/>
        <v>EST_STAMP_002</v>
      </c>
      <c r="C93" s="253"/>
      <c r="D93" s="64"/>
      <c r="E93" s="226" t="str">
        <f t="shared" si="1"/>
        <v>CORPO PLANCIA B</v>
      </c>
      <c r="F93" s="227"/>
      <c r="G93" s="227"/>
      <c r="H93" s="227"/>
      <c r="I93" s="228"/>
      <c r="J93" s="77">
        <v>3.3</v>
      </c>
      <c r="K93" s="76"/>
    </row>
    <row r="94" spans="2:13" x14ac:dyDescent="0.2">
      <c r="B94" s="252" t="str">
        <f t="shared" si="0"/>
        <v>EST_STAMP_003</v>
      </c>
      <c r="C94" s="253"/>
      <c r="D94" s="64"/>
      <c r="E94" s="226" t="str">
        <f t="shared" si="1"/>
        <v>INSERTO PLANCIA A1</v>
      </c>
      <c r="F94" s="227"/>
      <c r="G94" s="227"/>
      <c r="H94" s="227"/>
      <c r="I94" s="228"/>
      <c r="J94" s="77">
        <v>2</v>
      </c>
      <c r="K94" s="76"/>
    </row>
    <row r="95" spans="2:13" x14ac:dyDescent="0.2">
      <c r="B95" s="252" t="str">
        <f t="shared" si="0"/>
        <v>EST_STAMP_004</v>
      </c>
      <c r="C95" s="253"/>
      <c r="D95" s="64"/>
      <c r="E95" s="226" t="str">
        <f t="shared" si="1"/>
        <v>INSERTO PLANCIA B</v>
      </c>
      <c r="F95" s="227"/>
      <c r="G95" s="227"/>
      <c r="H95" s="227"/>
      <c r="I95" s="228"/>
      <c r="J95" s="77">
        <v>2.1</v>
      </c>
      <c r="K95" s="76"/>
    </row>
    <row r="96" spans="2:13" x14ac:dyDescent="0.2">
      <c r="B96" s="252" t="str">
        <f t="shared" si="0"/>
        <v>EST_STAMP_009</v>
      </c>
      <c r="C96" s="253"/>
      <c r="D96" s="64"/>
      <c r="E96" s="226" t="str">
        <f t="shared" si="1"/>
        <v>CUPOLOTTO</v>
      </c>
      <c r="F96" s="227"/>
      <c r="G96" s="227"/>
      <c r="H96" s="227"/>
      <c r="I96" s="228"/>
      <c r="J96" s="77">
        <v>0.65</v>
      </c>
      <c r="K96" s="76"/>
    </row>
    <row r="97" spans="2:19" x14ac:dyDescent="0.2">
      <c r="B97" s="252"/>
      <c r="C97" s="253"/>
      <c r="D97" s="64"/>
      <c r="E97" s="226"/>
      <c r="F97" s="227"/>
      <c r="G97" s="227"/>
      <c r="H97" s="227"/>
      <c r="I97" s="228"/>
      <c r="J97" s="77"/>
      <c r="K97" s="76"/>
    </row>
    <row r="98" spans="2:19" x14ac:dyDescent="0.2">
      <c r="B98" s="252" t="str">
        <f t="shared" si="0"/>
        <v>EST_SICUR_001</v>
      </c>
      <c r="C98" s="253"/>
      <c r="D98" s="64"/>
      <c r="E98" s="226" t="str">
        <f t="shared" si="1"/>
        <v>CORPO AIR BAG</v>
      </c>
      <c r="F98" s="227"/>
      <c r="G98" s="227"/>
      <c r="H98" s="227"/>
      <c r="I98" s="228"/>
      <c r="J98" s="77">
        <v>3</v>
      </c>
      <c r="K98" s="76"/>
    </row>
    <row r="99" spans="2:19" x14ac:dyDescent="0.2">
      <c r="B99" s="252" t="str">
        <f t="shared" si="0"/>
        <v>EST_SICUR_002</v>
      </c>
      <c r="C99" s="253"/>
      <c r="D99" s="64"/>
      <c r="E99" s="226" t="str">
        <f t="shared" si="1"/>
        <v>CORNICE AIR BAG</v>
      </c>
      <c r="F99" s="227"/>
      <c r="G99" s="227"/>
      <c r="H99" s="227"/>
      <c r="I99" s="228"/>
      <c r="J99" s="77">
        <v>0.5</v>
      </c>
      <c r="K99" s="76"/>
    </row>
    <row r="100" spans="2:19" x14ac:dyDescent="0.2">
      <c r="B100" s="252" t="str">
        <f t="shared" si="0"/>
        <v>EST_ELETTR_001</v>
      </c>
      <c r="C100" s="253"/>
      <c r="D100" s="64"/>
      <c r="E100" s="226" t="str">
        <f t="shared" si="1"/>
        <v>CENTRALINA ELETTRONICA A1</v>
      </c>
      <c r="F100" s="227"/>
      <c r="G100" s="227"/>
      <c r="H100" s="227"/>
      <c r="I100" s="228"/>
      <c r="J100" s="77">
        <v>0.75</v>
      </c>
      <c r="K100" s="76"/>
    </row>
    <row r="101" spans="2:19" x14ac:dyDescent="0.2">
      <c r="B101" s="252" t="str">
        <f t="shared" si="0"/>
        <v>EST_ELETTR_003</v>
      </c>
      <c r="C101" s="253"/>
      <c r="D101" s="64"/>
      <c r="E101" s="226" t="str">
        <f t="shared" si="1"/>
        <v>CENTRALINA ELETTRONICA B</v>
      </c>
      <c r="F101" s="227"/>
      <c r="G101" s="227"/>
      <c r="H101" s="227"/>
      <c r="I101" s="228"/>
      <c r="J101" s="77">
        <v>0.85</v>
      </c>
      <c r="K101" s="76"/>
    </row>
    <row r="102" spans="2:19" ht="16" thickBot="1" x14ac:dyDescent="0.25">
      <c r="B102" s="337" t="str">
        <f t="shared" si="0"/>
        <v>EST_ELETTR_005</v>
      </c>
      <c r="C102" s="338"/>
      <c r="D102" s="78"/>
      <c r="E102" s="349" t="str">
        <f t="shared" si="1"/>
        <v>CAVO ELETTRICO COMPLETO</v>
      </c>
      <c r="F102" s="350"/>
      <c r="G102" s="350"/>
      <c r="H102" s="350"/>
      <c r="I102" s="351"/>
      <c r="J102" s="79">
        <v>0.5</v>
      </c>
      <c r="K102" s="76"/>
    </row>
    <row r="104" spans="2:19" ht="16" thickBot="1" x14ac:dyDescent="0.25"/>
    <row r="105" spans="2:19" x14ac:dyDescent="0.2">
      <c r="C105" s="352" t="s">
        <v>116</v>
      </c>
      <c r="D105" s="353"/>
      <c r="E105" s="353"/>
      <c r="F105" s="353"/>
      <c r="G105" s="353"/>
      <c r="H105" s="353"/>
      <c r="I105" s="354"/>
      <c r="J105" s="369" t="s">
        <v>69</v>
      </c>
      <c r="K105" s="354"/>
      <c r="L105" s="367" t="s">
        <v>117</v>
      </c>
      <c r="M105" s="368"/>
      <c r="N105" s="372" t="s">
        <v>118</v>
      </c>
      <c r="O105" s="372"/>
      <c r="P105" s="330" t="s">
        <v>119</v>
      </c>
      <c r="Q105" s="362"/>
      <c r="R105" s="15"/>
      <c r="S105" s="15"/>
    </row>
    <row r="106" spans="2:19" ht="14.75" customHeight="1" x14ac:dyDescent="0.2">
      <c r="C106" s="333" t="s">
        <v>52</v>
      </c>
      <c r="D106" s="334"/>
      <c r="E106" s="339" t="str">
        <f>I39</f>
        <v>PLANCIA SEGMENTO A1</v>
      </c>
      <c r="F106" s="340"/>
      <c r="G106" s="340"/>
      <c r="H106" s="340"/>
      <c r="I106" s="341"/>
      <c r="J106" s="345" t="str">
        <f>F39</f>
        <v>INT_ASS_001</v>
      </c>
      <c r="K106" s="346"/>
      <c r="L106" s="373">
        <f>_xlfn.CEILING.MATH($O$3)</f>
        <v>7</v>
      </c>
      <c r="M106" s="374"/>
      <c r="N106" s="357">
        <v>90</v>
      </c>
      <c r="O106" s="357"/>
      <c r="P106" s="363">
        <v>2.5</v>
      </c>
      <c r="Q106" s="364"/>
      <c r="R106" s="1"/>
      <c r="S106" s="4"/>
    </row>
    <row r="107" spans="2:19" x14ac:dyDescent="0.2">
      <c r="C107" s="217"/>
      <c r="D107" s="219"/>
      <c r="E107" s="339" t="str">
        <f>I49</f>
        <v>PLANCIA SEGMENTO B</v>
      </c>
      <c r="F107" s="340"/>
      <c r="G107" s="340"/>
      <c r="H107" s="340"/>
      <c r="I107" s="341"/>
      <c r="J107" s="345" t="str">
        <f>F49</f>
        <v>INT_ASS_002</v>
      </c>
      <c r="K107" s="346"/>
      <c r="L107" s="373">
        <f>_xlfn.CEILING.MATH($O$3)</f>
        <v>7</v>
      </c>
      <c r="M107" s="374"/>
      <c r="N107" s="357">
        <v>120</v>
      </c>
      <c r="O107" s="357"/>
      <c r="P107" s="363">
        <v>2.5</v>
      </c>
      <c r="Q107" s="364"/>
      <c r="R107" s="1"/>
      <c r="S107" s="4"/>
    </row>
    <row r="108" spans="2:19" ht="14.75" customHeight="1" x14ac:dyDescent="0.2">
      <c r="C108" s="333" t="s">
        <v>59</v>
      </c>
      <c r="D108" s="334"/>
      <c r="E108" s="339" t="str">
        <f>I40</f>
        <v>(CORPO + INSERTO) PLANCIA SEGMENTO A1</v>
      </c>
      <c r="F108" s="340"/>
      <c r="G108" s="340"/>
      <c r="H108" s="340"/>
      <c r="I108" s="341"/>
      <c r="J108" s="345" t="str">
        <f>F40</f>
        <v>INT_SAL_001</v>
      </c>
      <c r="K108" s="346"/>
      <c r="L108" s="373">
        <f>_xlfn.CEILING.MATH($O$3/2)</f>
        <v>4</v>
      </c>
      <c r="M108" s="374"/>
      <c r="N108" s="357">
        <v>45</v>
      </c>
      <c r="O108" s="357"/>
      <c r="P108" s="363">
        <v>2</v>
      </c>
      <c r="Q108" s="364"/>
      <c r="R108" s="1"/>
      <c r="S108" s="4"/>
    </row>
    <row r="109" spans="2:19" ht="16" thickBot="1" x14ac:dyDescent="0.25">
      <c r="C109" s="335"/>
      <c r="D109" s="336"/>
      <c r="E109" s="342" t="str">
        <f>I50</f>
        <v>(CORPO + INSERTO) PLANCIA SEGMENTO B</v>
      </c>
      <c r="F109" s="343"/>
      <c r="G109" s="343"/>
      <c r="H109" s="343"/>
      <c r="I109" s="344"/>
      <c r="J109" s="347" t="str">
        <f>F50</f>
        <v>INT_SAL_002</v>
      </c>
      <c r="K109" s="348"/>
      <c r="L109" s="375">
        <f>_xlfn.CEILING.MATH($O$3/2)</f>
        <v>4</v>
      </c>
      <c r="M109" s="376"/>
      <c r="N109" s="361">
        <v>60</v>
      </c>
      <c r="O109" s="361"/>
      <c r="P109" s="365">
        <v>2</v>
      </c>
      <c r="Q109" s="366"/>
      <c r="R109" s="1"/>
      <c r="S109" s="4"/>
    </row>
    <row r="111" spans="2:19" ht="16" thickBot="1" x14ac:dyDescent="0.25"/>
    <row r="112" spans="2:19" x14ac:dyDescent="0.2">
      <c r="C112" s="254" t="s">
        <v>71</v>
      </c>
      <c r="D112" s="255"/>
      <c r="E112" s="255"/>
      <c r="F112" s="255"/>
      <c r="G112" s="255"/>
      <c r="H112" s="255" t="s">
        <v>120</v>
      </c>
      <c r="I112" s="255" t="s">
        <v>121</v>
      </c>
      <c r="J112" s="258"/>
    </row>
    <row r="113" spans="3:10" x14ac:dyDescent="0.2">
      <c r="C113" s="256"/>
      <c r="D113" s="257"/>
      <c r="E113" s="257"/>
      <c r="F113" s="257"/>
      <c r="G113" s="257"/>
      <c r="H113" s="257"/>
      <c r="I113" s="257"/>
      <c r="J113" s="259"/>
    </row>
    <row r="114" spans="3:10" x14ac:dyDescent="0.2">
      <c r="C114" s="241" t="s">
        <v>122</v>
      </c>
      <c r="D114" s="242"/>
      <c r="E114" s="242"/>
      <c r="F114" s="242"/>
      <c r="G114" s="242"/>
      <c r="H114" s="22" t="s">
        <v>123</v>
      </c>
      <c r="I114" s="239">
        <v>50000</v>
      </c>
      <c r="J114" s="240"/>
    </row>
    <row r="115" spans="3:10" x14ac:dyDescent="0.2">
      <c r="C115" s="241" t="s">
        <v>124</v>
      </c>
      <c r="D115" s="242"/>
      <c r="E115" s="242"/>
      <c r="F115" s="242"/>
      <c r="G115" s="242"/>
      <c r="H115" s="22" t="s">
        <v>125</v>
      </c>
      <c r="I115" s="239">
        <v>70000</v>
      </c>
      <c r="J115" s="240"/>
    </row>
    <row r="116" spans="3:10" x14ac:dyDescent="0.2">
      <c r="C116" s="241" t="s">
        <v>126</v>
      </c>
      <c r="D116" s="242"/>
      <c r="E116" s="242"/>
      <c r="F116" s="242"/>
      <c r="G116" s="242"/>
      <c r="H116" s="22" t="s">
        <v>127</v>
      </c>
      <c r="I116" s="239">
        <v>1000</v>
      </c>
      <c r="J116" s="240"/>
    </row>
    <row r="117" spans="3:10" x14ac:dyDescent="0.2">
      <c r="C117" s="241" t="s">
        <v>128</v>
      </c>
      <c r="D117" s="242"/>
      <c r="E117" s="242"/>
      <c r="F117" s="242"/>
      <c r="G117" s="242"/>
      <c r="H117" s="22" t="s">
        <v>127</v>
      </c>
      <c r="I117" s="239">
        <v>410</v>
      </c>
      <c r="J117" s="240"/>
    </row>
    <row r="118" spans="3:10" x14ac:dyDescent="0.2">
      <c r="C118" s="241" t="s">
        <v>129</v>
      </c>
      <c r="D118" s="242"/>
      <c r="E118" s="242"/>
      <c r="F118" s="242"/>
      <c r="G118" s="242"/>
      <c r="H118" s="22" t="s">
        <v>130</v>
      </c>
      <c r="I118" s="239">
        <v>100</v>
      </c>
      <c r="J118" s="240"/>
    </row>
    <row r="119" spans="3:10" x14ac:dyDescent="0.2">
      <c r="C119" s="241" t="s">
        <v>131</v>
      </c>
      <c r="D119" s="242"/>
      <c r="E119" s="242"/>
      <c r="F119" s="242"/>
      <c r="G119" s="242"/>
      <c r="H119" s="22" t="s">
        <v>130</v>
      </c>
      <c r="I119" s="239">
        <v>80</v>
      </c>
      <c r="J119" s="240"/>
    </row>
    <row r="120" spans="3:10" x14ac:dyDescent="0.2">
      <c r="C120" s="241" t="s">
        <v>132</v>
      </c>
      <c r="D120" s="242"/>
      <c r="E120" s="242"/>
      <c r="F120" s="242"/>
      <c r="G120" s="242"/>
      <c r="H120" s="22" t="s">
        <v>130</v>
      </c>
      <c r="I120" s="239">
        <v>400</v>
      </c>
      <c r="J120" s="240"/>
    </row>
    <row r="121" spans="3:10" x14ac:dyDescent="0.2">
      <c r="C121" s="241" t="s">
        <v>133</v>
      </c>
      <c r="D121" s="242"/>
      <c r="E121" s="242"/>
      <c r="F121" s="242"/>
      <c r="G121" s="242"/>
      <c r="H121" s="22" t="s">
        <v>123</v>
      </c>
      <c r="I121" s="239">
        <v>24000</v>
      </c>
      <c r="J121" s="240"/>
    </row>
    <row r="122" spans="3:10" x14ac:dyDescent="0.2">
      <c r="C122" s="241" t="s">
        <v>134</v>
      </c>
      <c r="D122" s="242"/>
      <c r="E122" s="242"/>
      <c r="F122" s="242"/>
      <c r="G122" s="242"/>
      <c r="H122" s="22" t="s">
        <v>123</v>
      </c>
      <c r="I122" s="239">
        <v>30000</v>
      </c>
      <c r="J122" s="240"/>
    </row>
    <row r="123" spans="3:10" x14ac:dyDescent="0.2">
      <c r="C123" s="241" t="s">
        <v>135</v>
      </c>
      <c r="D123" s="242"/>
      <c r="E123" s="242"/>
      <c r="F123" s="242"/>
      <c r="G123" s="242"/>
      <c r="H123" s="22" t="s">
        <v>123</v>
      </c>
      <c r="I123" s="239">
        <v>165000</v>
      </c>
      <c r="J123" s="240"/>
    </row>
    <row r="124" spans="3:10" x14ac:dyDescent="0.2">
      <c r="C124" s="241" t="s">
        <v>136</v>
      </c>
      <c r="D124" s="242"/>
      <c r="E124" s="242"/>
      <c r="F124" s="242"/>
      <c r="G124" s="242"/>
      <c r="H124" s="22" t="s">
        <v>125</v>
      </c>
      <c r="I124" s="239">
        <v>600</v>
      </c>
      <c r="J124" s="240"/>
    </row>
    <row r="125" spans="3:10" x14ac:dyDescent="0.2">
      <c r="C125" s="241" t="s">
        <v>137</v>
      </c>
      <c r="D125" s="242"/>
      <c r="E125" s="242"/>
      <c r="F125" s="242"/>
      <c r="G125" s="242"/>
      <c r="H125" s="22" t="s">
        <v>125</v>
      </c>
      <c r="I125" s="239">
        <v>2500</v>
      </c>
      <c r="J125" s="240"/>
    </row>
    <row r="126" spans="3:10" x14ac:dyDescent="0.2">
      <c r="C126" s="241" t="s">
        <v>138</v>
      </c>
      <c r="D126" s="242"/>
      <c r="E126" s="242"/>
      <c r="F126" s="242"/>
      <c r="G126" s="242"/>
      <c r="H126" s="22" t="s">
        <v>125</v>
      </c>
      <c r="I126" s="239">
        <v>950</v>
      </c>
      <c r="J126" s="240"/>
    </row>
    <row r="127" spans="3:10" x14ac:dyDescent="0.2">
      <c r="C127" s="241" t="s">
        <v>139</v>
      </c>
      <c r="D127" s="242"/>
      <c r="E127" s="242"/>
      <c r="F127" s="242"/>
      <c r="G127" s="242"/>
      <c r="H127" s="22" t="s">
        <v>123</v>
      </c>
      <c r="I127" s="239">
        <v>9700</v>
      </c>
      <c r="J127" s="240"/>
    </row>
    <row r="128" spans="3:10" x14ac:dyDescent="0.2">
      <c r="C128" s="241" t="s">
        <v>140</v>
      </c>
      <c r="D128" s="242"/>
      <c r="E128" s="242"/>
      <c r="F128" s="242"/>
      <c r="G128" s="242"/>
      <c r="H128" s="22" t="s">
        <v>123</v>
      </c>
      <c r="I128" s="239">
        <v>3500</v>
      </c>
      <c r="J128" s="240"/>
    </row>
    <row r="129" spans="3:10" ht="16" thickBot="1" x14ac:dyDescent="0.25">
      <c r="C129" s="260" t="s">
        <v>141</v>
      </c>
      <c r="D129" s="261"/>
      <c r="E129" s="261"/>
      <c r="F129" s="261"/>
      <c r="G129" s="261"/>
      <c r="H129" s="26" t="s">
        <v>123</v>
      </c>
      <c r="I129" s="262">
        <v>2800</v>
      </c>
      <c r="J129" s="263"/>
    </row>
  </sheetData>
  <mergeCells count="252">
    <mergeCell ref="P15:T16"/>
    <mergeCell ref="O15:O16"/>
    <mergeCell ref="O17:O18"/>
    <mergeCell ref="P17:T18"/>
    <mergeCell ref="N108:O108"/>
    <mergeCell ref="N109:O109"/>
    <mergeCell ref="P105:Q105"/>
    <mergeCell ref="P106:Q106"/>
    <mergeCell ref="P107:Q107"/>
    <mergeCell ref="P108:Q108"/>
    <mergeCell ref="P109:Q109"/>
    <mergeCell ref="I46:N46"/>
    <mergeCell ref="L105:M105"/>
    <mergeCell ref="E97:I97"/>
    <mergeCell ref="E86:I86"/>
    <mergeCell ref="J105:K105"/>
    <mergeCell ref="J79:K79"/>
    <mergeCell ref="J84:J85"/>
    <mergeCell ref="E84:I85"/>
    <mergeCell ref="N105:O105"/>
    <mergeCell ref="L106:M106"/>
    <mergeCell ref="L107:M107"/>
    <mergeCell ref="L108:M108"/>
    <mergeCell ref="L109:M109"/>
    <mergeCell ref="N106:O106"/>
    <mergeCell ref="N107:O107"/>
    <mergeCell ref="J70:K70"/>
    <mergeCell ref="E65:I65"/>
    <mergeCell ref="J65:K65"/>
    <mergeCell ref="E81:I81"/>
    <mergeCell ref="J77:K77"/>
    <mergeCell ref="E71:I71"/>
    <mergeCell ref="J71:K71"/>
    <mergeCell ref="E72:I72"/>
    <mergeCell ref="J72:K72"/>
    <mergeCell ref="E67:I67"/>
    <mergeCell ref="J68:K68"/>
    <mergeCell ref="J69:K69"/>
    <mergeCell ref="J80:K80"/>
    <mergeCell ref="J75:K75"/>
    <mergeCell ref="J76:K76"/>
    <mergeCell ref="E77:I77"/>
    <mergeCell ref="E73:I73"/>
    <mergeCell ref="J73:K73"/>
    <mergeCell ref="J81:K81"/>
    <mergeCell ref="E74:I74"/>
    <mergeCell ref="J74:K74"/>
    <mergeCell ref="J78:K78"/>
    <mergeCell ref="B68:C68"/>
    <mergeCell ref="B80:C80"/>
    <mergeCell ref="B81:C81"/>
    <mergeCell ref="E68:I68"/>
    <mergeCell ref="E70:I70"/>
    <mergeCell ref="B74:C74"/>
    <mergeCell ref="B75:C75"/>
    <mergeCell ref="B76:C76"/>
    <mergeCell ref="B77:C77"/>
    <mergeCell ref="B78:C78"/>
    <mergeCell ref="B79:C79"/>
    <mergeCell ref="E75:I75"/>
    <mergeCell ref="E76:I76"/>
    <mergeCell ref="E80:I80"/>
    <mergeCell ref="B69:C69"/>
    <mergeCell ref="B70:C70"/>
    <mergeCell ref="B71:C71"/>
    <mergeCell ref="E69:I69"/>
    <mergeCell ref="B72:C72"/>
    <mergeCell ref="B73:C73"/>
    <mergeCell ref="E78:I78"/>
    <mergeCell ref="E79:I79"/>
    <mergeCell ref="C108:D109"/>
    <mergeCell ref="B101:C101"/>
    <mergeCell ref="B102:C102"/>
    <mergeCell ref="C106:D107"/>
    <mergeCell ref="E106:I106"/>
    <mergeCell ref="E107:I107"/>
    <mergeCell ref="E108:I108"/>
    <mergeCell ref="E109:I109"/>
    <mergeCell ref="J107:K107"/>
    <mergeCell ref="J108:K108"/>
    <mergeCell ref="J109:K109"/>
    <mergeCell ref="E102:I102"/>
    <mergeCell ref="E101:I101"/>
    <mergeCell ref="J106:K106"/>
    <mergeCell ref="C105:I105"/>
    <mergeCell ref="B100:C100"/>
    <mergeCell ref="E100:I100"/>
    <mergeCell ref="B86:C86"/>
    <mergeCell ref="B87:C87"/>
    <mergeCell ref="B88:C88"/>
    <mergeCell ref="E89:I89"/>
    <mergeCell ref="B89:C89"/>
    <mergeCell ref="B92:C92"/>
    <mergeCell ref="B93:C93"/>
    <mergeCell ref="B94:C94"/>
    <mergeCell ref="B95:C95"/>
    <mergeCell ref="E90:I90"/>
    <mergeCell ref="E88:I88"/>
    <mergeCell ref="B90:C90"/>
    <mergeCell ref="B91:C91"/>
    <mergeCell ref="E87:I87"/>
    <mergeCell ref="I57:N57"/>
    <mergeCell ref="B38:E38"/>
    <mergeCell ref="I38:N38"/>
    <mergeCell ref="I39:N39"/>
    <mergeCell ref="J67:K67"/>
    <mergeCell ref="L63:L64"/>
    <mergeCell ref="M63:M64"/>
    <mergeCell ref="E66:I66"/>
    <mergeCell ref="J66:K66"/>
    <mergeCell ref="I44:N44"/>
    <mergeCell ref="F54:G54"/>
    <mergeCell ref="F55:G55"/>
    <mergeCell ref="F56:G56"/>
    <mergeCell ref="J63:K64"/>
    <mergeCell ref="F51:G51"/>
    <mergeCell ref="F52:G52"/>
    <mergeCell ref="F53:G53"/>
    <mergeCell ref="I49:N49"/>
    <mergeCell ref="B65:C65"/>
    <mergeCell ref="B66:C66"/>
    <mergeCell ref="B67:C67"/>
    <mergeCell ref="D28:F29"/>
    <mergeCell ref="G28:G29"/>
    <mergeCell ref="H28:H29"/>
    <mergeCell ref="D30:F31"/>
    <mergeCell ref="G30:G31"/>
    <mergeCell ref="H30:H31"/>
    <mergeCell ref="B63:C64"/>
    <mergeCell ref="B36:O37"/>
    <mergeCell ref="F58:G58"/>
    <mergeCell ref="I58:N58"/>
    <mergeCell ref="I51:N51"/>
    <mergeCell ref="I52:N52"/>
    <mergeCell ref="I53:N53"/>
    <mergeCell ref="I54:N54"/>
    <mergeCell ref="I55:N55"/>
    <mergeCell ref="I56:N56"/>
    <mergeCell ref="F57:G57"/>
    <mergeCell ref="F50:G50"/>
    <mergeCell ref="F40:G40"/>
    <mergeCell ref="F41:G41"/>
    <mergeCell ref="F42:G42"/>
    <mergeCell ref="F43:G43"/>
    <mergeCell ref="I45:N45"/>
    <mergeCell ref="I50:N50"/>
    <mergeCell ref="L6:M6"/>
    <mergeCell ref="L7:M7"/>
    <mergeCell ref="L8:M8"/>
    <mergeCell ref="D15:D16"/>
    <mergeCell ref="E15:H16"/>
    <mergeCell ref="I15:I16"/>
    <mergeCell ref="J15:J16"/>
    <mergeCell ref="K15:K16"/>
    <mergeCell ref="D9:H10"/>
    <mergeCell ref="I9:I10"/>
    <mergeCell ref="J9:J10"/>
    <mergeCell ref="D11:H12"/>
    <mergeCell ref="I11:I12"/>
    <mergeCell ref="J11:J12"/>
    <mergeCell ref="C117:G117"/>
    <mergeCell ref="I117:J117"/>
    <mergeCell ref="C118:G118"/>
    <mergeCell ref="D3:H3"/>
    <mergeCell ref="D4:H4"/>
    <mergeCell ref="D5:H5"/>
    <mergeCell ref="D7:H8"/>
    <mergeCell ref="I7:I8"/>
    <mergeCell ref="J7:J8"/>
    <mergeCell ref="D6:H6"/>
    <mergeCell ref="J3:K3"/>
    <mergeCell ref="D19:D20"/>
    <mergeCell ref="E19:H20"/>
    <mergeCell ref="I19:I20"/>
    <mergeCell ref="J19:J20"/>
    <mergeCell ref="K19:K20"/>
    <mergeCell ref="D17:D18"/>
    <mergeCell ref="E17:H18"/>
    <mergeCell ref="I17:I18"/>
    <mergeCell ref="J17:J18"/>
    <mergeCell ref="K17:K18"/>
    <mergeCell ref="D32:F33"/>
    <mergeCell ref="G32:G33"/>
    <mergeCell ref="H32:H33"/>
    <mergeCell ref="C128:G128"/>
    <mergeCell ref="I128:J128"/>
    <mergeCell ref="C129:G129"/>
    <mergeCell ref="I129:J129"/>
    <mergeCell ref="C120:G120"/>
    <mergeCell ref="I120:J120"/>
    <mergeCell ref="C121:G121"/>
    <mergeCell ref="I121:J121"/>
    <mergeCell ref="C122:G122"/>
    <mergeCell ref="I122:J122"/>
    <mergeCell ref="C123:G123"/>
    <mergeCell ref="I123:J123"/>
    <mergeCell ref="C124:G124"/>
    <mergeCell ref="I124:J124"/>
    <mergeCell ref="C126:G126"/>
    <mergeCell ref="I126:J126"/>
    <mergeCell ref="C127:G127"/>
    <mergeCell ref="I127:J127"/>
    <mergeCell ref="C125:G125"/>
    <mergeCell ref="I125:J125"/>
    <mergeCell ref="I118:J118"/>
    <mergeCell ref="C119:G119"/>
    <mergeCell ref="I119:J119"/>
    <mergeCell ref="D84:D85"/>
    <mergeCell ref="B84:C85"/>
    <mergeCell ref="I48:N48"/>
    <mergeCell ref="D63:D64"/>
    <mergeCell ref="E63:I64"/>
    <mergeCell ref="B96:C96"/>
    <mergeCell ref="B97:C97"/>
    <mergeCell ref="B98:C98"/>
    <mergeCell ref="E98:I98"/>
    <mergeCell ref="B99:C99"/>
    <mergeCell ref="E99:I99"/>
    <mergeCell ref="E96:I96"/>
    <mergeCell ref="C112:G113"/>
    <mergeCell ref="H112:H113"/>
    <mergeCell ref="I112:J113"/>
    <mergeCell ref="C114:G114"/>
    <mergeCell ref="I114:J114"/>
    <mergeCell ref="C115:G115"/>
    <mergeCell ref="I115:J115"/>
    <mergeCell ref="C116:G116"/>
    <mergeCell ref="I116:J116"/>
    <mergeCell ref="D23:F25"/>
    <mergeCell ref="G23:G25"/>
    <mergeCell ref="H23:H25"/>
    <mergeCell ref="E95:I95"/>
    <mergeCell ref="E94:I94"/>
    <mergeCell ref="E93:I93"/>
    <mergeCell ref="E92:I92"/>
    <mergeCell ref="E91:I91"/>
    <mergeCell ref="D26:F27"/>
    <mergeCell ref="G26:G27"/>
    <mergeCell ref="H26:H27"/>
    <mergeCell ref="F49:G49"/>
    <mergeCell ref="I43:N43"/>
    <mergeCell ref="I40:N40"/>
    <mergeCell ref="I41:N41"/>
    <mergeCell ref="I42:N42"/>
    <mergeCell ref="F38:G38"/>
    <mergeCell ref="F39:G39"/>
    <mergeCell ref="F48:G48"/>
    <mergeCell ref="F45:G45"/>
    <mergeCell ref="F46:G46"/>
    <mergeCell ref="F47:G47"/>
    <mergeCell ref="F44:G44"/>
    <mergeCell ref="I47:N47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C64"/>
  <sheetViews>
    <sheetView tabSelected="1" zoomScale="93" zoomScaleNormal="100" workbookViewId="0">
      <pane ySplit="1" topLeftCell="A2" activePane="bottomLeft" state="frozen"/>
      <selection activeCell="M1" sqref="M1"/>
      <selection pane="bottomLeft" activeCell="O3" sqref="O3"/>
    </sheetView>
  </sheetViews>
  <sheetFormatPr baseColWidth="10" defaultColWidth="8.83203125" defaultRowHeight="15" x14ac:dyDescent="0.2"/>
  <cols>
    <col min="1" max="5" width="4.5" customWidth="1"/>
    <col min="6" max="6" width="16.1640625" customWidth="1"/>
    <col min="7" max="7" width="12.6640625" customWidth="1"/>
    <col min="11" max="11" width="14.5" bestFit="1" customWidth="1"/>
    <col min="12" max="12" width="16.83203125" bestFit="1" customWidth="1"/>
    <col min="15" max="15" width="14.6640625" customWidth="1"/>
    <col min="16" max="16" width="19.1640625" bestFit="1" customWidth="1"/>
    <col min="17" max="17" width="14.83203125" customWidth="1"/>
    <col min="18" max="18" width="27.6640625" bestFit="1" customWidth="1"/>
    <col min="22" max="22" width="9.1640625" customWidth="1"/>
  </cols>
  <sheetData>
    <row r="1" spans="1:81" ht="33" customHeight="1" x14ac:dyDescent="0.2">
      <c r="F1" s="15" t="s">
        <v>142</v>
      </c>
      <c r="G1" s="15" t="s">
        <v>143</v>
      </c>
      <c r="H1" s="427" t="s">
        <v>71</v>
      </c>
      <c r="I1" s="427"/>
      <c r="J1" s="427"/>
      <c r="K1" s="427"/>
      <c r="L1" s="427"/>
      <c r="M1" s="427"/>
      <c r="N1" s="15" t="s">
        <v>144</v>
      </c>
      <c r="O1" s="27" t="s">
        <v>145</v>
      </c>
      <c r="P1" s="27" t="s">
        <v>146</v>
      </c>
    </row>
    <row r="2" spans="1:81" ht="15" customHeight="1" x14ac:dyDescent="0.2">
      <c r="A2" s="16" t="s">
        <v>147</v>
      </c>
      <c r="B2" s="1"/>
      <c r="C2" s="1"/>
      <c r="D2" s="1"/>
      <c r="E2" s="1"/>
      <c r="F2" s="28"/>
      <c r="G2" s="29"/>
      <c r="H2" s="429"/>
      <c r="I2" s="429"/>
      <c r="J2" s="429"/>
      <c r="K2" s="429"/>
      <c r="L2" s="429"/>
      <c r="M2" s="429"/>
      <c r="N2" s="2"/>
      <c r="O2" s="30"/>
      <c r="P2" s="30"/>
      <c r="S2" s="431" t="s">
        <v>148</v>
      </c>
      <c r="T2" s="431"/>
      <c r="U2" s="431"/>
      <c r="V2" s="431"/>
      <c r="W2" s="431"/>
      <c r="X2" s="431"/>
      <c r="Y2" s="431"/>
      <c r="Z2" s="431"/>
      <c r="AA2" s="431"/>
      <c r="AB2" s="431"/>
      <c r="AC2" s="431"/>
      <c r="AD2" s="431"/>
      <c r="AE2" s="431"/>
      <c r="AF2" s="431"/>
      <c r="AG2" s="431"/>
      <c r="AH2" s="431"/>
      <c r="AI2" s="431"/>
      <c r="AJ2" s="431"/>
      <c r="AK2" s="431"/>
      <c r="AL2" s="431"/>
      <c r="AM2" s="431"/>
      <c r="AN2" s="431"/>
      <c r="AO2" s="431"/>
      <c r="AP2" s="431"/>
      <c r="AQ2" s="431"/>
      <c r="AR2" s="431"/>
      <c r="AS2" s="431"/>
      <c r="AT2" s="431"/>
      <c r="AU2" s="431"/>
      <c r="AV2" s="431"/>
      <c r="AW2" s="431"/>
      <c r="AX2" s="431"/>
      <c r="AY2" s="431"/>
      <c r="BA2" s="431" t="s">
        <v>149</v>
      </c>
      <c r="BB2" s="431"/>
      <c r="BC2" s="431"/>
      <c r="BD2" s="431"/>
      <c r="BE2" s="431"/>
      <c r="BF2" s="431"/>
      <c r="BG2" s="431"/>
      <c r="BH2" s="431"/>
      <c r="BI2" s="431"/>
      <c r="BJ2" s="431"/>
      <c r="BK2" s="431"/>
      <c r="BL2" s="431"/>
      <c r="BM2" s="431"/>
      <c r="BN2" s="431"/>
      <c r="BO2" s="431"/>
      <c r="BP2" s="431"/>
      <c r="BQ2" s="431"/>
      <c r="BR2" s="431"/>
      <c r="BS2" s="431"/>
      <c r="BT2" s="431"/>
      <c r="BU2" s="431"/>
      <c r="BV2" s="431"/>
      <c r="BW2" s="431"/>
      <c r="BX2" s="431"/>
      <c r="BY2" s="431"/>
      <c r="BZ2" s="431"/>
      <c r="CA2" s="431"/>
      <c r="CB2" s="431"/>
      <c r="CC2" s="431"/>
    </row>
    <row r="3" spans="1:81" x14ac:dyDescent="0.2">
      <c r="A3" s="5"/>
      <c r="B3" s="5">
        <v>1</v>
      </c>
      <c r="C3" s="5"/>
      <c r="D3" s="5"/>
      <c r="E3" s="5"/>
      <c r="F3" s="34" t="str">
        <f>'$_DATI_DI_BASE'!F39:G39</f>
        <v>INT_ASS_001</v>
      </c>
      <c r="G3" s="6"/>
      <c r="H3" s="111" t="str">
        <f>'$_DATI_DI_BASE'!I39</f>
        <v>PLANCIA SEGMENTO A1</v>
      </c>
      <c r="I3" s="111"/>
      <c r="J3" s="111"/>
      <c r="K3" s="111"/>
      <c r="L3" s="111"/>
      <c r="M3" s="111"/>
      <c r="N3" s="7"/>
      <c r="O3" s="36">
        <f>_xlfn.XLOOKUP($H3,'$_DATI_DI_BASE'!$D$9:$D$12,'$_DATI_DI_BASE'!$J$9:$J$12)</f>
        <v>25581.599999999999</v>
      </c>
      <c r="P3" s="36" cm="1">
        <f t="array" ref="P3">$O3/_xlfn.XLOOKUP(_xlfn.TEXTBEFORE(_xlfn.TEXTAFTER($F3,"_"),"_"),IFERROR(_xlfn.TEXTBEFORE('$_DATI_DI_BASE'!$D$17:$D$20,"_"),'$_DATI_DI_BASE'!$D$17:$D$20),'$_DATI_DI_BASE'!$K$17:$K$20,1)</f>
        <v>25581.599999999999</v>
      </c>
      <c r="S3" s="431"/>
      <c r="T3" s="431"/>
      <c r="U3" s="431"/>
      <c r="V3" s="431"/>
      <c r="W3" s="431"/>
      <c r="X3" s="431"/>
      <c r="Y3" s="431"/>
      <c r="Z3" s="431"/>
      <c r="AA3" s="431"/>
      <c r="AB3" s="431"/>
      <c r="AC3" s="431"/>
      <c r="AD3" s="431"/>
      <c r="AE3" s="431"/>
      <c r="AF3" s="431"/>
      <c r="AG3" s="431"/>
      <c r="AH3" s="431"/>
      <c r="AI3" s="431"/>
      <c r="AJ3" s="431"/>
      <c r="AK3" s="431"/>
      <c r="AL3" s="431"/>
      <c r="AM3" s="431"/>
      <c r="AN3" s="431"/>
      <c r="AO3" s="431"/>
      <c r="AP3" s="431"/>
      <c r="AQ3" s="431"/>
      <c r="AR3" s="431"/>
      <c r="AS3" s="431"/>
      <c r="AT3" s="431"/>
      <c r="AU3" s="431"/>
      <c r="AV3" s="431"/>
      <c r="AW3" s="431"/>
      <c r="AX3" s="431"/>
      <c r="AY3" s="431"/>
      <c r="BA3" s="431"/>
      <c r="BB3" s="431"/>
      <c r="BC3" s="431"/>
      <c r="BD3" s="431"/>
      <c r="BE3" s="431"/>
      <c r="BF3" s="431"/>
      <c r="BG3" s="431"/>
      <c r="BH3" s="431"/>
      <c r="BI3" s="431"/>
      <c r="BJ3" s="431"/>
      <c r="BK3" s="431"/>
      <c r="BL3" s="431"/>
      <c r="BM3" s="431"/>
      <c r="BN3" s="431"/>
      <c r="BO3" s="431"/>
      <c r="BP3" s="431"/>
      <c r="BQ3" s="431"/>
      <c r="BR3" s="431"/>
      <c r="BS3" s="431"/>
      <c r="BT3" s="431"/>
      <c r="BU3" s="431"/>
      <c r="BV3" s="431"/>
      <c r="BW3" s="431"/>
      <c r="BX3" s="431"/>
      <c r="BY3" s="431"/>
      <c r="BZ3" s="431"/>
      <c r="CA3" s="431"/>
      <c r="CB3" s="431"/>
      <c r="CC3" s="431"/>
    </row>
    <row r="4" spans="1:81" x14ac:dyDescent="0.2">
      <c r="A4" s="1"/>
      <c r="B4" s="1"/>
      <c r="C4" s="1">
        <v>2</v>
      </c>
      <c r="D4" s="1"/>
      <c r="E4" s="1"/>
      <c r="F4" s="35" t="str">
        <f>'$_DATI_DI_BASE'!F40:G40</f>
        <v>INT_SAL_001</v>
      </c>
      <c r="G4" s="35" t="str">
        <f>F3</f>
        <v>INT_ASS_001</v>
      </c>
      <c r="H4" s="428" t="str">
        <f>'$_DATI_DI_BASE'!I40</f>
        <v>(CORPO + INSERTO) PLANCIA SEGMENTO A1</v>
      </c>
      <c r="I4" s="428"/>
      <c r="J4" s="428"/>
      <c r="K4" s="428"/>
      <c r="L4" s="428"/>
      <c r="M4" s="428"/>
      <c r="N4" s="125">
        <f>'$_DATI_DI_BASE'!O40</f>
        <v>1</v>
      </c>
      <c r="O4" s="126">
        <f>P3*$N4</f>
        <v>25581.599999999999</v>
      </c>
      <c r="P4" s="126" cm="1">
        <f t="array" ref="P4">$O4/_xlfn.XLOOKUP(_xlfn.TEXTBEFORE(_xlfn.TEXTAFTER($F4,"_"),"_"),IFERROR(_xlfn.TEXTBEFORE('$_DATI_DI_BASE'!$D$17:$D$20,"_"),'$_DATI_DI_BASE'!$D$17:$D$20),'$_DATI_DI_BASE'!$K$17:$K$20,1)</f>
        <v>26103.673469387755</v>
      </c>
      <c r="S4" s="436"/>
      <c r="AY4" s="436"/>
      <c r="BA4" s="436"/>
      <c r="CC4" s="436"/>
    </row>
    <row r="5" spans="1:81" x14ac:dyDescent="0.2">
      <c r="A5" s="1"/>
      <c r="B5" s="1"/>
      <c r="C5" s="1"/>
      <c r="D5" s="1">
        <v>3</v>
      </c>
      <c r="E5" s="1"/>
      <c r="F5" s="35" t="str">
        <f>'$_DATI_DI_BASE'!F41:G41</f>
        <v>EST_STAMP_001</v>
      </c>
      <c r="G5" s="35" t="str">
        <f>F4</f>
        <v>INT_SAL_001</v>
      </c>
      <c r="H5" s="428" t="str">
        <f>'$_DATI_DI_BASE'!I41</f>
        <v>CORPO PLANCIA A1</v>
      </c>
      <c r="I5" s="428"/>
      <c r="J5" s="428"/>
      <c r="K5" s="428"/>
      <c r="L5" s="428"/>
      <c r="M5" s="428"/>
      <c r="N5" s="125">
        <f>'$_DATI_DI_BASE'!O41</f>
        <v>1</v>
      </c>
      <c r="O5" s="126">
        <f>$P$4*$N5</f>
        <v>26103.673469387755</v>
      </c>
      <c r="P5" s="126" cm="1">
        <f t="array" ref="P5">$O5/_xlfn.XLOOKUP(_xlfn.TEXTBEFORE(_xlfn.TEXTAFTER($F5,"_"),"_"),IFERROR(_xlfn.TEXTBEFORE('$_DATI_DI_BASE'!$D$17:$D$20,"_"),'$_DATI_DI_BASE'!$D$17:$D$20),'$_DATI_DI_BASE'!$K$17:$K$20,1)</f>
        <v>26103.673469387755</v>
      </c>
      <c r="S5" s="436"/>
      <c r="AI5" s="381" t="str">
        <f t="shared" ref="AI5" si="0">$H$3</f>
        <v>PLANCIA SEGMENTO A1</v>
      </c>
      <c r="AJ5" s="382"/>
      <c r="AK5" s="382"/>
      <c r="AL5" s="383"/>
      <c r="AY5" s="436"/>
      <c r="BA5" s="436"/>
      <c r="BN5" s="394" t="str">
        <f t="shared" ref="BN5" si="1">$H$3</f>
        <v>PLANCIA SEGMENTO A1</v>
      </c>
      <c r="BO5" s="398"/>
      <c r="BP5" s="398"/>
      <c r="BQ5" s="395"/>
      <c r="CC5" s="436"/>
    </row>
    <row r="6" spans="1:81" x14ac:dyDescent="0.2">
      <c r="A6" s="1"/>
      <c r="B6" s="1"/>
      <c r="C6" s="1"/>
      <c r="D6" s="1">
        <v>3</v>
      </c>
      <c r="E6" s="1"/>
      <c r="F6" s="35" t="str">
        <f>'$_DATI_DI_BASE'!F42:G42</f>
        <v>EST_STAMP_003</v>
      </c>
      <c r="G6" s="35" t="str">
        <f>F4</f>
        <v>INT_SAL_001</v>
      </c>
      <c r="H6" s="428" t="str">
        <f>'$_DATI_DI_BASE'!I42</f>
        <v>INSERTO PLANCIA A1</v>
      </c>
      <c r="I6" s="428"/>
      <c r="J6" s="428"/>
      <c r="K6" s="428"/>
      <c r="L6" s="428"/>
      <c r="M6" s="428"/>
      <c r="N6" s="125">
        <f>'$_DATI_DI_BASE'!O42</f>
        <v>1</v>
      </c>
      <c r="O6" s="126">
        <f>$P$4*$N6</f>
        <v>26103.673469387755</v>
      </c>
      <c r="P6" s="126" cm="1">
        <f t="array" ref="P6">$O6/_xlfn.XLOOKUP(_xlfn.TEXTBEFORE(_xlfn.TEXTAFTER($F6,"_"),"_"),IFERROR(_xlfn.TEXTBEFORE('$_DATI_DI_BASE'!$D$17:$D$20,"_"),'$_DATI_DI_BASE'!$D$17:$D$20),'$_DATI_DI_BASE'!$K$17:$K$20,1)</f>
        <v>26103.673469387755</v>
      </c>
      <c r="S6" s="436"/>
      <c r="AC6" s="8"/>
      <c r="AI6" s="409" t="str">
        <f>"[" &amp; _xlfn.XLOOKUP(AI5,$H$3:$H$11,$F$3:$F$11) &amp; "]"</f>
        <v>[INT_ASS_001]</v>
      </c>
      <c r="AJ6" s="410"/>
      <c r="AK6" s="410"/>
      <c r="AL6" s="411"/>
      <c r="AY6" s="436"/>
      <c r="BA6" s="436"/>
      <c r="BN6" s="379">
        <f>_xlfn.XLOOKUP(BN5,$H$3:$H$11,$P$3:$P$11)</f>
        <v>25581.599999999999</v>
      </c>
      <c r="BO6" s="397"/>
      <c r="BP6" s="397"/>
      <c r="BQ6" s="380"/>
      <c r="CC6" s="436"/>
    </row>
    <row r="7" spans="1:81" x14ac:dyDescent="0.2">
      <c r="A7" s="1"/>
      <c r="B7" s="1"/>
      <c r="C7" s="1">
        <v>2</v>
      </c>
      <c r="D7" s="1"/>
      <c r="E7" s="1"/>
      <c r="F7" s="35" t="str">
        <f>'$_DATI_DI_BASE'!F43:G43</f>
        <v>EST_STAMP_009</v>
      </c>
      <c r="G7" s="35" t="str">
        <f>F3</f>
        <v>INT_ASS_001</v>
      </c>
      <c r="H7" s="428" t="str">
        <f>'$_DATI_DI_BASE'!I43</f>
        <v>CUPOLOTTO</v>
      </c>
      <c r="I7" s="428"/>
      <c r="J7" s="428"/>
      <c r="K7" s="428"/>
      <c r="L7" s="428"/>
      <c r="M7" s="428"/>
      <c r="N7" s="125">
        <f>'$_DATI_DI_BASE'!O43</f>
        <v>1</v>
      </c>
      <c r="O7" s="126">
        <f t="shared" ref="O7:O11" si="2">$P$3*$N7</f>
        <v>25581.599999999999</v>
      </c>
      <c r="P7" s="126" cm="1">
        <f t="array" ref="P7">$O7/_xlfn.XLOOKUP(_xlfn.TEXTBEFORE(_xlfn.TEXTAFTER($F7,"_"),"_"),IFERROR(_xlfn.TEXTBEFORE('$_DATI_DI_BASE'!$D$17:$D$20,"_"),'$_DATI_DI_BASE'!$D$17:$D$20),'$_DATI_DI_BASE'!$K$17:$K$20,1)</f>
        <v>25581.599999999999</v>
      </c>
      <c r="S7" s="436"/>
      <c r="AJ7" s="96"/>
      <c r="AY7" s="436"/>
      <c r="BA7" s="436"/>
      <c r="BO7" s="96"/>
      <c r="CC7" s="436"/>
    </row>
    <row r="8" spans="1:81" x14ac:dyDescent="0.2">
      <c r="A8" s="1"/>
      <c r="B8" s="1"/>
      <c r="C8" s="1">
        <v>2</v>
      </c>
      <c r="D8" s="1"/>
      <c r="E8" s="1"/>
      <c r="F8" s="35" t="str">
        <f>'$_DATI_DI_BASE'!F44:G44</f>
        <v>EST_SICUR_001</v>
      </c>
      <c r="G8" s="35" t="str">
        <f>F3</f>
        <v>INT_ASS_001</v>
      </c>
      <c r="H8" s="428" t="str">
        <f>'$_DATI_DI_BASE'!I44</f>
        <v>CORPO AIR BAG</v>
      </c>
      <c r="I8" s="428"/>
      <c r="J8" s="428"/>
      <c r="K8" s="428"/>
      <c r="L8" s="428"/>
      <c r="M8" s="428"/>
      <c r="N8" s="125">
        <f>'$_DATI_DI_BASE'!O44</f>
        <v>1</v>
      </c>
      <c r="O8" s="126">
        <f t="shared" si="2"/>
        <v>25581.599999999999</v>
      </c>
      <c r="P8" s="126" cm="1">
        <f t="array" ref="P8">$O8/_xlfn.XLOOKUP(_xlfn.TEXTBEFORE(_xlfn.TEXTAFTER($F8,"_"),"_"),IFERROR(_xlfn.TEXTBEFORE('$_DATI_DI_BASE'!$D$17:$D$20,"_"),'$_DATI_DI_BASE'!$D$17:$D$20),'$_DATI_DI_BASE'!$K$17:$K$20,1)</f>
        <v>25581.599999999999</v>
      </c>
      <c r="S8" s="436"/>
      <c r="AA8" s="110"/>
      <c r="AB8" s="110"/>
      <c r="AC8" s="110"/>
      <c r="AD8" s="110"/>
      <c r="AE8" s="110"/>
      <c r="AF8" s="110"/>
      <c r="AG8" s="110"/>
      <c r="AH8" s="110"/>
      <c r="AI8" s="110"/>
      <c r="AJ8" s="100"/>
      <c r="AK8" s="110"/>
      <c r="AL8" s="110"/>
      <c r="AM8" s="110"/>
      <c r="AN8" s="110"/>
      <c r="AO8" s="110"/>
      <c r="AP8" s="110"/>
      <c r="AQ8" s="110"/>
      <c r="AR8" s="110"/>
      <c r="AS8" s="110"/>
      <c r="AT8" s="110"/>
      <c r="AY8" s="436"/>
      <c r="BA8" s="436"/>
      <c r="BH8" s="8"/>
      <c r="BO8" s="100"/>
      <c r="CC8" s="436"/>
    </row>
    <row r="9" spans="1:81" x14ac:dyDescent="0.2">
      <c r="A9" s="1"/>
      <c r="B9" s="1"/>
      <c r="C9" s="1">
        <v>2</v>
      </c>
      <c r="D9" s="1"/>
      <c r="E9" s="1"/>
      <c r="F9" s="35" t="str">
        <f>'$_DATI_DI_BASE'!F45:G45</f>
        <v>EST_SICUR_002</v>
      </c>
      <c r="G9" s="35" t="str">
        <f>F3</f>
        <v>INT_ASS_001</v>
      </c>
      <c r="H9" s="428" t="str">
        <f>'$_DATI_DI_BASE'!I45</f>
        <v>CORNICE AIR BAG</v>
      </c>
      <c r="I9" s="428"/>
      <c r="J9" s="428"/>
      <c r="K9" s="428"/>
      <c r="L9" s="428"/>
      <c r="M9" s="428"/>
      <c r="N9" s="125">
        <f>'$_DATI_DI_BASE'!O45</f>
        <v>1</v>
      </c>
      <c r="O9" s="126">
        <f t="shared" si="2"/>
        <v>25581.599999999999</v>
      </c>
      <c r="P9" s="126" cm="1">
        <f t="array" ref="P9">$O9/_xlfn.XLOOKUP(_xlfn.TEXTBEFORE(_xlfn.TEXTAFTER($F9,"_"),"_"),IFERROR(_xlfn.TEXTBEFORE('$_DATI_DI_BASE'!$D$17:$D$20,"_"),'$_DATI_DI_BASE'!$D$17:$D$20),'$_DATI_DI_BASE'!$K$17:$K$20,1)</f>
        <v>25581.599999999999</v>
      </c>
      <c r="S9" s="436"/>
      <c r="Z9" s="98"/>
      <c r="AE9" s="96"/>
      <c r="AH9" s="96"/>
      <c r="AK9" s="96"/>
      <c r="AO9" s="96"/>
      <c r="AT9" s="96"/>
      <c r="AY9" s="436"/>
      <c r="BA9" s="436"/>
      <c r="BC9" s="381" t="s">
        <v>150</v>
      </c>
      <c r="BD9" s="382"/>
      <c r="BE9" s="382"/>
      <c r="BF9" s="382"/>
      <c r="BG9" s="382"/>
      <c r="BH9" s="382"/>
      <c r="BI9" s="382"/>
      <c r="BJ9" s="382"/>
      <c r="BK9" s="382"/>
      <c r="BL9" s="382"/>
      <c r="BM9" s="382"/>
      <c r="BN9" s="382"/>
      <c r="BO9" s="382"/>
      <c r="BP9" s="382"/>
      <c r="BQ9" s="382"/>
      <c r="BR9" s="382"/>
      <c r="BS9" s="382"/>
      <c r="BT9" s="382"/>
      <c r="BU9" s="382"/>
      <c r="BV9" s="382"/>
      <c r="BW9" s="382"/>
      <c r="BX9" s="382"/>
      <c r="BY9" s="382"/>
      <c r="BZ9" s="382"/>
      <c r="CA9" s="383"/>
      <c r="CC9" s="436"/>
    </row>
    <row r="10" spans="1:81" ht="15" customHeight="1" x14ac:dyDescent="0.2">
      <c r="A10" s="1"/>
      <c r="B10" s="1"/>
      <c r="C10" s="1">
        <v>2</v>
      </c>
      <c r="D10" s="1"/>
      <c r="E10" s="1"/>
      <c r="F10" s="35" t="str">
        <f>'$_DATI_DI_BASE'!F46:G46</f>
        <v>EST_ELETTR_001</v>
      </c>
      <c r="G10" s="35" t="str">
        <f>F3</f>
        <v>INT_ASS_001</v>
      </c>
      <c r="H10" s="428" t="str">
        <f>'$_DATI_DI_BASE'!I46</f>
        <v>CENTRALINA ELETTRONICA A1</v>
      </c>
      <c r="I10" s="428"/>
      <c r="J10" s="428"/>
      <c r="K10" s="428"/>
      <c r="L10" s="428"/>
      <c r="M10" s="428"/>
      <c r="N10" s="125">
        <f>'$_DATI_DI_BASE'!O46</f>
        <v>1</v>
      </c>
      <c r="O10" s="126">
        <f t="shared" si="2"/>
        <v>25581.599999999999</v>
      </c>
      <c r="P10" s="126" cm="1">
        <f t="array" ref="P10">$O10/_xlfn.XLOOKUP(_xlfn.TEXTBEFORE(_xlfn.TEXTAFTER($F10,"_"),"_"),IFERROR(_xlfn.TEXTBEFORE('$_DATI_DI_BASE'!$D$17:$D$20,"_"),'$_DATI_DI_BASE'!$D$17:$D$20),'$_DATI_DI_BASE'!$K$17:$K$20,1)</f>
        <v>25581.599999999999</v>
      </c>
      <c r="S10" s="436"/>
      <c r="U10" s="399" t="s">
        <v>150</v>
      </c>
      <c r="V10" s="400"/>
      <c r="W10" s="104"/>
      <c r="X10" s="104"/>
      <c r="Y10" s="104"/>
      <c r="Z10" s="109"/>
      <c r="AA10" s="104"/>
      <c r="AB10" s="104"/>
      <c r="AC10" s="104"/>
      <c r="AD10" s="104"/>
      <c r="AE10" s="109"/>
      <c r="AF10" s="104"/>
      <c r="AG10" s="104"/>
      <c r="AH10" s="109"/>
      <c r="AI10" s="104"/>
      <c r="AJ10" s="104"/>
      <c r="AK10" s="109"/>
      <c r="AL10" s="104"/>
      <c r="AM10" s="104"/>
      <c r="AN10" s="104"/>
      <c r="AO10" s="109"/>
      <c r="AP10" s="104"/>
      <c r="AQ10" s="104"/>
      <c r="AR10" s="104"/>
      <c r="AS10" s="104"/>
      <c r="AT10" s="109"/>
      <c r="AU10" s="104"/>
      <c r="AV10" s="104"/>
      <c r="AW10" s="105"/>
      <c r="AY10" s="436"/>
      <c r="BA10" s="436"/>
      <c r="BC10" s="384"/>
      <c r="BD10" s="385"/>
      <c r="BE10" s="385"/>
      <c r="BF10" s="385"/>
      <c r="BG10" s="385"/>
      <c r="BH10" s="385"/>
      <c r="BI10" s="385"/>
      <c r="BJ10" s="385"/>
      <c r="BK10" s="385"/>
      <c r="BL10" s="385"/>
      <c r="BM10" s="385"/>
      <c r="BN10" s="385"/>
      <c r="BO10" s="385"/>
      <c r="BP10" s="385"/>
      <c r="BQ10" s="385"/>
      <c r="BR10" s="385"/>
      <c r="BS10" s="385"/>
      <c r="BT10" s="385"/>
      <c r="BU10" s="385"/>
      <c r="BV10" s="385"/>
      <c r="BW10" s="385"/>
      <c r="BX10" s="385"/>
      <c r="BY10" s="385"/>
      <c r="BZ10" s="385"/>
      <c r="CA10" s="386"/>
      <c r="CC10" s="436"/>
    </row>
    <row r="11" spans="1:81" x14ac:dyDescent="0.2">
      <c r="A11" s="1"/>
      <c r="B11" s="1"/>
      <c r="C11" s="1">
        <v>2</v>
      </c>
      <c r="D11" s="1"/>
      <c r="E11" s="1"/>
      <c r="F11" s="35" t="str">
        <f>'$_DATI_DI_BASE'!F47:G47</f>
        <v>EST_ELETTR_005</v>
      </c>
      <c r="G11" s="35" t="str">
        <f>F3</f>
        <v>INT_ASS_001</v>
      </c>
      <c r="H11" s="428" t="s">
        <v>91</v>
      </c>
      <c r="I11" s="428"/>
      <c r="J11" s="428"/>
      <c r="K11" s="428"/>
      <c r="L11" s="428"/>
      <c r="M11" s="428"/>
      <c r="N11" s="125">
        <f>'$_DATI_DI_BASE'!O47</f>
        <v>1</v>
      </c>
      <c r="O11" s="126">
        <f t="shared" si="2"/>
        <v>25581.599999999999</v>
      </c>
      <c r="P11" s="126" cm="1">
        <f t="array" ref="P11">$O11/_xlfn.XLOOKUP(_xlfn.TEXTBEFORE(_xlfn.TEXTAFTER($F11,"_"),"_"),IFERROR(_xlfn.TEXTBEFORE('$_DATI_DI_BASE'!$D$17:$D$20,"_"),'$_DATI_DI_BASE'!$D$17:$D$20),'$_DATI_DI_BASE'!$K$17:$K$20,1)</f>
        <v>25581.599999999999</v>
      </c>
      <c r="S11" s="436"/>
      <c r="U11" s="401"/>
      <c r="V11" s="402"/>
      <c r="X11" s="412" t="str">
        <f t="shared" ref="X11" si="3">$H$4</f>
        <v>(CORPO + INSERTO) PLANCIA SEGMENTO A1</v>
      </c>
      <c r="Y11" s="413"/>
      <c r="Z11" s="413"/>
      <c r="AA11" s="413"/>
      <c r="AB11" s="413"/>
      <c r="AC11" s="414"/>
      <c r="AD11" s="113"/>
      <c r="AE11" s="381" t="str">
        <f t="shared" ref="AE11" si="4">$H$7</f>
        <v>CUPOLOTTO</v>
      </c>
      <c r="AF11" s="383"/>
      <c r="AG11" s="114"/>
      <c r="AH11" s="381" t="str">
        <f t="shared" ref="AH11" si="5">$H$8</f>
        <v>CORPO AIR BAG</v>
      </c>
      <c r="AI11" s="383"/>
      <c r="AJ11" s="114"/>
      <c r="AK11" s="415" t="str">
        <f t="shared" ref="AK11" si="6">$H$9</f>
        <v>CORNICE AIR BAG</v>
      </c>
      <c r="AL11" s="416"/>
      <c r="AM11" s="114"/>
      <c r="AN11" s="381" t="str">
        <f t="shared" ref="AN11" si="7">$H$10</f>
        <v>CENTRALINA ELETTRONICA A1</v>
      </c>
      <c r="AO11" s="382"/>
      <c r="AP11" s="382"/>
      <c r="AQ11" s="383"/>
      <c r="AR11" s="113"/>
      <c r="AS11" s="381" t="str">
        <f t="shared" ref="AS11" si="8">$H$11</f>
        <v>CAVO ELETTRICO COMPLETO</v>
      </c>
      <c r="AT11" s="392"/>
      <c r="AU11" s="392"/>
      <c r="AV11" s="393"/>
      <c r="AW11" s="106"/>
      <c r="AY11" s="436"/>
      <c r="BA11" s="436"/>
      <c r="BE11" s="96"/>
      <c r="BJ11" s="96"/>
      <c r="BM11" s="96"/>
      <c r="BP11" s="96"/>
      <c r="BT11" s="96"/>
      <c r="BY11" s="96"/>
      <c r="CC11" s="436"/>
    </row>
    <row r="12" spans="1:81" x14ac:dyDescent="0.2">
      <c r="A12" s="5"/>
      <c r="B12" s="5">
        <v>1</v>
      </c>
      <c r="C12" s="5"/>
      <c r="D12" s="5"/>
      <c r="E12" s="5"/>
      <c r="F12" s="34" t="str">
        <f>'$_DATI_DI_BASE'!F49:G49</f>
        <v>INT_ASS_002</v>
      </c>
      <c r="G12" s="6"/>
      <c r="H12" s="430" t="str">
        <f>'$_DATI_DI_BASE'!I49</f>
        <v>PLANCIA SEGMENTO B</v>
      </c>
      <c r="I12" s="430"/>
      <c r="J12" s="430"/>
      <c r="K12" s="430"/>
      <c r="L12" s="430"/>
      <c r="M12" s="430"/>
      <c r="N12" s="36"/>
      <c r="O12" s="36">
        <f>_xlfn.XLOOKUP($H12,'$_DATI_DI_BASE'!$D$9:$D$12,'$_DATI_DI_BASE'!$J$9:$J$12)</f>
        <v>17054.400000000001</v>
      </c>
      <c r="P12" s="36" cm="1">
        <f t="array" ref="P12">$O12/_xlfn.XLOOKUP(_xlfn.TEXTBEFORE(_xlfn.TEXTAFTER($F12,"_"),"_"),IFERROR(_xlfn.TEXTBEFORE('$_DATI_DI_BASE'!$D$17:$D$20,"_"),'$_DATI_DI_BASE'!$D$17:$D$20),'$_DATI_DI_BASE'!$K$17:$K$20,1)</f>
        <v>17054.400000000001</v>
      </c>
      <c r="S12" s="436"/>
      <c r="U12" s="401"/>
      <c r="V12" s="402"/>
      <c r="X12" s="389" t="str">
        <f t="shared" ref="X12" si="9">"[" &amp; _xlfn.XLOOKUP(X11,$H$3:$H$11,$F$3:$F$11) &amp; "]"</f>
        <v>[INT_SAL_001]</v>
      </c>
      <c r="Y12" s="390"/>
      <c r="Z12" s="390" t="e">
        <f t="shared" ref="Z12" si="10">"[" &amp; _xlfn.XLOOKUP(Z11,$H$3:$H$11,$F$3:$F$11) &amp; "]"</f>
        <v>#N/A</v>
      </c>
      <c r="AA12" s="390"/>
      <c r="AB12" s="390" t="e">
        <f t="shared" ref="AB12" si="11">"[" &amp; _xlfn.XLOOKUP(AB11,$H$3:$H$11,$F$3:$F$11) &amp; "]"</f>
        <v>#N/A</v>
      </c>
      <c r="AC12" s="391"/>
      <c r="AE12" s="389" t="str">
        <f>"[" &amp; _xlfn.XLOOKUP(AE11,$H$3:$H$11,$F$3:$F$11) &amp; "]"</f>
        <v>[EST_STAMP_009]</v>
      </c>
      <c r="AF12" s="391"/>
      <c r="AH12" s="389" t="str">
        <f>"[" &amp; _xlfn.XLOOKUP(AH11,$H$3:$H$11,$F$3:$F$11) &amp; "]"</f>
        <v>[EST_SICUR_001]</v>
      </c>
      <c r="AI12" s="391"/>
      <c r="AK12" s="389" t="str">
        <f>"[" &amp; _xlfn.XLOOKUP(AK11,$H$3:$H$11,$F$3:$F$11) &amp; "]"</f>
        <v>[EST_SICUR_002]</v>
      </c>
      <c r="AL12" s="391"/>
      <c r="AN12" s="389" t="str">
        <f>"[" &amp; _xlfn.XLOOKUP(AN11,$H$3:$H$11,$F$3:$F$11) &amp; "]"</f>
        <v>[EST_ELETTR_001]</v>
      </c>
      <c r="AO12" s="390"/>
      <c r="AP12" s="390"/>
      <c r="AQ12" s="391"/>
      <c r="AS12" s="389" t="str">
        <f t="shared" ref="AS12" si="12">"[" &amp; _xlfn.XLOOKUP(AS11,$H$3:$H$11,$F$3:$F$11) &amp; "]"</f>
        <v>[EST_ELETTR_005]</v>
      </c>
      <c r="AT12" s="390"/>
      <c r="AU12" s="390" t="e">
        <f t="shared" ref="AU12" si="13">"[" &amp; _xlfn.XLOOKUP(AU11,$H$3:$H$11,$F$3:$F$11) &amp; "]"</f>
        <v>#N/A</v>
      </c>
      <c r="AV12" s="391"/>
      <c r="AW12" s="106"/>
      <c r="AY12" s="436"/>
      <c r="BA12" s="436"/>
      <c r="BE12" s="100"/>
      <c r="BJ12" s="100"/>
      <c r="BM12" s="100"/>
      <c r="BP12" s="100"/>
      <c r="BT12" s="100"/>
      <c r="BY12" s="100"/>
      <c r="CC12" s="436"/>
    </row>
    <row r="13" spans="1:81" x14ac:dyDescent="0.2">
      <c r="A13" s="1"/>
      <c r="B13" s="1"/>
      <c r="C13" s="1">
        <v>2</v>
      </c>
      <c r="D13" s="1"/>
      <c r="E13" s="1"/>
      <c r="F13" s="35" t="str">
        <f>'$_DATI_DI_BASE'!F50:G50</f>
        <v>INT_SAL_002</v>
      </c>
      <c r="G13" s="35" t="str">
        <f>F12</f>
        <v>INT_ASS_002</v>
      </c>
      <c r="H13" s="428" t="str">
        <f>'$_DATI_DI_BASE'!I50</f>
        <v>(CORPO + INSERTO) PLANCIA SEGMENTO B</v>
      </c>
      <c r="I13" s="428"/>
      <c r="J13" s="428"/>
      <c r="K13" s="428"/>
      <c r="L13" s="428"/>
      <c r="M13" s="428"/>
      <c r="N13" s="125">
        <f>'$_DATI_DI_BASE'!O50</f>
        <v>1</v>
      </c>
      <c r="O13" s="126">
        <f>$P$12*$N13</f>
        <v>17054.400000000001</v>
      </c>
      <c r="P13" s="126" cm="1">
        <f t="array" ref="P13">$O13/_xlfn.XLOOKUP(_xlfn.TEXTBEFORE(_xlfn.TEXTAFTER($F13,"_"),"_"),IFERROR(_xlfn.TEXTBEFORE('$_DATI_DI_BASE'!$D$17:$D$20,"_"),'$_DATI_DI_BASE'!$D$17:$D$20),'$_DATI_DI_BASE'!$K$17:$K$20,1)</f>
        <v>17402.448979591838</v>
      </c>
      <c r="S13" s="436"/>
      <c r="U13" s="401"/>
      <c r="V13" s="402"/>
      <c r="X13" s="417" t="str">
        <f>"x"&amp;_xlfn.XLOOKUP(X11,$H$3:$H$11,$N$3:$N$11)</f>
        <v>x1</v>
      </c>
      <c r="Y13" s="418"/>
      <c r="Z13" s="418"/>
      <c r="AA13" s="418"/>
      <c r="AB13" s="418"/>
      <c r="AC13" s="419"/>
      <c r="AE13" s="407" t="str">
        <f>"x"&amp;_xlfn.XLOOKUP(AE11,$H$3:$H$11,$N$3:$N$11)</f>
        <v>x1</v>
      </c>
      <c r="AF13" s="408"/>
      <c r="AH13" s="407" t="str">
        <f>"x"&amp;_xlfn.XLOOKUP(AH11,$H$3:$H$11,$N$3:$N$11)</f>
        <v>x1</v>
      </c>
      <c r="AI13" s="408"/>
      <c r="AK13" s="407" t="str">
        <f>"x"&amp;_xlfn.XLOOKUP(AK11,$H$3:$H$11,$N$3:$N$11)</f>
        <v>x1</v>
      </c>
      <c r="AL13" s="408"/>
      <c r="AN13" s="417" t="str">
        <f t="shared" ref="AN13" si="14">"x"&amp;_xlfn.XLOOKUP(AN11,$H$3:$H$11,$N$3:$N$11)</f>
        <v>x1</v>
      </c>
      <c r="AO13" s="420"/>
      <c r="AP13" s="420" t="e">
        <f t="shared" ref="AP13" si="15">"x"&amp;_xlfn.XLOOKUP(AP11,$H$3:$H$11,$N$3:$N$11)</f>
        <v>#N/A</v>
      </c>
      <c r="AQ13" s="421"/>
      <c r="AS13" s="417" t="str">
        <f t="shared" ref="AS13" si="16">"x"&amp;_xlfn.XLOOKUP(AS11,$H$3:$H$11,$N$3:$N$11)</f>
        <v>x1</v>
      </c>
      <c r="AT13" s="420"/>
      <c r="AU13" s="420" t="e">
        <f t="shared" ref="AU13" si="17">"x"&amp;_xlfn.XLOOKUP(AU11,$H$3:$H$11,$N$3:$N$11)</f>
        <v>#N/A</v>
      </c>
      <c r="AV13" s="421"/>
      <c r="AW13" s="106"/>
      <c r="AY13" s="436"/>
      <c r="BA13" s="436"/>
      <c r="BC13" s="422" t="str">
        <f t="shared" ref="BC13" si="18">$H$4</f>
        <v>(CORPO + INSERTO) PLANCIA SEGMENTO A1</v>
      </c>
      <c r="BD13" s="423"/>
      <c r="BE13" s="423"/>
      <c r="BF13" s="423"/>
      <c r="BG13" s="423"/>
      <c r="BH13" s="424"/>
      <c r="BJ13" s="394" t="str">
        <f t="shared" ref="BJ13" si="19">$H$7</f>
        <v>CUPOLOTTO</v>
      </c>
      <c r="BK13" s="395"/>
      <c r="BL13" s="8"/>
      <c r="BM13" s="394" t="str">
        <f t="shared" ref="BM13" si="20">$H$8</f>
        <v>CORPO AIR BAG</v>
      </c>
      <c r="BN13" s="395"/>
      <c r="BO13" s="8"/>
      <c r="BP13" s="425" t="str">
        <f t="shared" ref="BP13" si="21">$H$9</f>
        <v>CORNICE AIR BAG</v>
      </c>
      <c r="BQ13" s="426"/>
      <c r="BR13" s="8"/>
      <c r="BS13" s="394" t="str">
        <f t="shared" ref="BS13" si="22">$H$10</f>
        <v>CENTRALINA ELETTRONICA A1</v>
      </c>
      <c r="BT13" s="398"/>
      <c r="BU13" s="398"/>
      <c r="BV13" s="395"/>
      <c r="BX13" s="394" t="str">
        <f t="shared" ref="BX13" si="23">$H$11</f>
        <v>CAVO ELETTRICO COMPLETO</v>
      </c>
      <c r="BY13" s="398"/>
      <c r="BZ13" s="398"/>
      <c r="CA13" s="395"/>
      <c r="CC13" s="436"/>
    </row>
    <row r="14" spans="1:81" x14ac:dyDescent="0.2">
      <c r="A14" s="1"/>
      <c r="B14" s="1"/>
      <c r="C14" s="1"/>
      <c r="D14" s="1">
        <v>3</v>
      </c>
      <c r="E14" s="1"/>
      <c r="F14" s="35" t="str">
        <f>'$_DATI_DI_BASE'!F51:G51</f>
        <v>EST_STAMP_002</v>
      </c>
      <c r="G14" s="35" t="str">
        <f>F13</f>
        <v>INT_SAL_002</v>
      </c>
      <c r="H14" s="428" t="str">
        <f>'$_DATI_DI_BASE'!I51</f>
        <v>CORPO PLANCIA B</v>
      </c>
      <c r="I14" s="428"/>
      <c r="J14" s="428"/>
      <c r="K14" s="428"/>
      <c r="L14" s="428"/>
      <c r="M14" s="428"/>
      <c r="N14" s="125">
        <f>'$_DATI_DI_BASE'!O51</f>
        <v>1</v>
      </c>
      <c r="O14" s="126">
        <f>$P$13*$N14</f>
        <v>17402.448979591838</v>
      </c>
      <c r="P14" s="126" cm="1">
        <f t="array" ref="P14">$O14/_xlfn.XLOOKUP(_xlfn.TEXTBEFORE(_xlfn.TEXTAFTER($F14,"_"),"_"),IFERROR(_xlfn.TEXTBEFORE('$_DATI_DI_BASE'!$D$17:$D$20,"_"),'$_DATI_DI_BASE'!$D$17:$D$20),'$_DATI_DI_BASE'!$K$17:$K$20,1)</f>
        <v>17402.448979591838</v>
      </c>
      <c r="S14" s="436"/>
      <c r="U14" s="403"/>
      <c r="V14" s="404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  <c r="AW14" s="108"/>
      <c r="AY14" s="436"/>
      <c r="BA14" s="436"/>
      <c r="BC14" s="379">
        <f>_xlfn.XLOOKUP(BC13,$H$3:$H$11,$O$3:$O$11)</f>
        <v>25581.599999999999</v>
      </c>
      <c r="BD14" s="396"/>
      <c r="BE14" s="396"/>
      <c r="BF14" s="396"/>
      <c r="BG14" s="396"/>
      <c r="BH14" s="388"/>
      <c r="BJ14" s="379">
        <f>_xlfn.XLOOKUP(BJ13,$H$3:$H$11,$P$3:$P$11)</f>
        <v>25581.599999999999</v>
      </c>
      <c r="BK14" s="380"/>
      <c r="BM14" s="379">
        <f>_xlfn.XLOOKUP(BM13,$H$3:$H$11,$P$3:$P$11)</f>
        <v>25581.599999999999</v>
      </c>
      <c r="BN14" s="380"/>
      <c r="BP14" s="379">
        <f>_xlfn.XLOOKUP(BP13,$H$3:$H$11,$P$3:$P$11)</f>
        <v>25581.599999999999</v>
      </c>
      <c r="BQ14" s="380"/>
      <c r="BS14" s="379">
        <f>_xlfn.XLOOKUP(BS13,$H$3:$H$11,$P$3:$P$11)</f>
        <v>25581.599999999999</v>
      </c>
      <c r="BT14" s="397"/>
      <c r="BU14" s="397"/>
      <c r="BV14" s="380"/>
      <c r="BX14" s="379">
        <f>_xlfn.XLOOKUP(BX13,$H$3:$H$11,$P$3:$P$11)</f>
        <v>25581.599999999999</v>
      </c>
      <c r="BY14" s="397"/>
      <c r="BZ14" s="397"/>
      <c r="CA14" s="380"/>
      <c r="CC14" s="436"/>
    </row>
    <row r="15" spans="1:81" x14ac:dyDescent="0.2">
      <c r="A15" s="1"/>
      <c r="B15" s="1"/>
      <c r="C15" s="1"/>
      <c r="D15" s="1">
        <v>3</v>
      </c>
      <c r="E15" s="1"/>
      <c r="F15" s="35" t="str">
        <f>'$_DATI_DI_BASE'!F52:G52</f>
        <v>EST_STAMP_004</v>
      </c>
      <c r="G15" s="35" t="str">
        <f>F13</f>
        <v>INT_SAL_002</v>
      </c>
      <c r="H15" s="428" t="str">
        <f>'$_DATI_DI_BASE'!I52</f>
        <v>INSERTO PLANCIA B</v>
      </c>
      <c r="I15" s="428"/>
      <c r="J15" s="428"/>
      <c r="K15" s="428"/>
      <c r="L15" s="428"/>
      <c r="M15" s="428"/>
      <c r="N15" s="125">
        <f>'$_DATI_DI_BASE'!O52</f>
        <v>1</v>
      </c>
      <c r="O15" s="126">
        <f>$P$13*$N15</f>
        <v>17402.448979591838</v>
      </c>
      <c r="P15" s="126" cm="1">
        <f t="array" ref="P15">$O15/_xlfn.XLOOKUP(_xlfn.TEXTBEFORE(_xlfn.TEXTAFTER($F15,"_"),"_"),IFERROR(_xlfn.TEXTBEFORE('$_DATI_DI_BASE'!$D$17:$D$20,"_"),'$_DATI_DI_BASE'!$D$17:$D$20),'$_DATI_DI_BASE'!$K$17:$K$20,1)</f>
        <v>17402.448979591838</v>
      </c>
      <c r="S15" s="436"/>
      <c r="Y15" s="110"/>
      <c r="Z15" s="100"/>
      <c r="AA15" s="110"/>
      <c r="AB15" s="110"/>
      <c r="AY15" s="436"/>
      <c r="BA15" s="436"/>
      <c r="BE15" s="96"/>
      <c r="CC15" s="436"/>
    </row>
    <row r="16" spans="1:81" x14ac:dyDescent="0.2">
      <c r="A16" s="1"/>
      <c r="B16" s="1"/>
      <c r="C16" s="1">
        <v>2</v>
      </c>
      <c r="D16" s="1"/>
      <c r="E16" s="1"/>
      <c r="F16" s="35" t="str">
        <f>'$_DATI_DI_BASE'!F53:G53</f>
        <v>EST_STAMP_009</v>
      </c>
      <c r="G16" s="35" t="str">
        <f>F12</f>
        <v>INT_ASS_002</v>
      </c>
      <c r="H16" s="428" t="str">
        <f>'$_DATI_DI_BASE'!I53</f>
        <v>CUPOLOTTO</v>
      </c>
      <c r="I16" s="428"/>
      <c r="J16" s="428"/>
      <c r="K16" s="428"/>
      <c r="L16" s="428"/>
      <c r="M16" s="428"/>
      <c r="N16" s="125">
        <f>'$_DATI_DI_BASE'!O53</f>
        <v>2</v>
      </c>
      <c r="O16" s="126">
        <f t="shared" ref="O16:O20" si="24">$P$12*$N16</f>
        <v>34108.800000000003</v>
      </c>
      <c r="P16" s="126" cm="1">
        <f t="array" ref="P16">$O16/_xlfn.XLOOKUP(_xlfn.TEXTBEFORE(_xlfn.TEXTAFTER($F16,"_"),"_"),IFERROR(_xlfn.TEXTBEFORE('$_DATI_DI_BASE'!$D$17:$D$20,"_"),'$_DATI_DI_BASE'!$D$17:$D$20),'$_DATI_DI_BASE'!$K$17:$K$20,1)</f>
        <v>34108.800000000003</v>
      </c>
      <c r="S16" s="436"/>
      <c r="X16" s="98"/>
      <c r="AB16" s="96"/>
      <c r="AY16" s="436"/>
      <c r="BA16" s="436"/>
      <c r="BE16" s="98"/>
      <c r="BF16" s="97"/>
      <c r="CC16" s="436"/>
    </row>
    <row r="17" spans="1:81" ht="15" customHeight="1" x14ac:dyDescent="0.2">
      <c r="A17" s="1"/>
      <c r="B17" s="1"/>
      <c r="C17" s="1">
        <v>2</v>
      </c>
      <c r="D17" s="1"/>
      <c r="E17" s="1"/>
      <c r="F17" s="35" t="str">
        <f>'$_DATI_DI_BASE'!F54:G54</f>
        <v>EST_SICUR_001</v>
      </c>
      <c r="G17" s="35" t="str">
        <f>F12</f>
        <v>INT_ASS_002</v>
      </c>
      <c r="H17" s="428" t="str">
        <f>'$_DATI_DI_BASE'!I54</f>
        <v>CORPO AIR BAG</v>
      </c>
      <c r="I17" s="428"/>
      <c r="J17" s="428"/>
      <c r="K17" s="428"/>
      <c r="L17" s="428"/>
      <c r="M17" s="428"/>
      <c r="N17" s="125">
        <f>'$_DATI_DI_BASE'!O54</f>
        <v>2</v>
      </c>
      <c r="O17" s="126">
        <f t="shared" si="24"/>
        <v>34108.800000000003</v>
      </c>
      <c r="P17" s="126" cm="1">
        <f t="array" ref="P17">$O17/_xlfn.XLOOKUP(_xlfn.TEXTBEFORE(_xlfn.TEXTAFTER($F17,"_"),"_"),IFERROR(_xlfn.TEXTBEFORE('$_DATI_DI_BASE'!$D$17:$D$20,"_"),'$_DATI_DI_BASE'!$D$17:$D$20),'$_DATI_DI_BASE'!$K$17:$K$20,1)</f>
        <v>34108.800000000003</v>
      </c>
      <c r="S17" s="436"/>
      <c r="U17" s="399" t="s">
        <v>59</v>
      </c>
      <c r="V17" s="400"/>
      <c r="W17" s="104"/>
      <c r="X17" s="112"/>
      <c r="Y17" s="104"/>
      <c r="Z17" s="104"/>
      <c r="AA17" s="104"/>
      <c r="AB17" s="112"/>
      <c r="AC17" s="104"/>
      <c r="AD17" s="105"/>
      <c r="AY17" s="436"/>
      <c r="BA17" s="436"/>
      <c r="BE17" s="98"/>
      <c r="CC17" s="436"/>
    </row>
    <row r="18" spans="1:81" x14ac:dyDescent="0.2">
      <c r="A18" s="1"/>
      <c r="B18" s="1"/>
      <c r="C18" s="1">
        <v>2</v>
      </c>
      <c r="D18" s="1"/>
      <c r="E18" s="1"/>
      <c r="F18" s="35" t="str">
        <f>'$_DATI_DI_BASE'!F55:G55</f>
        <v>EST_SICUR_002</v>
      </c>
      <c r="G18" s="35" t="str">
        <f>F12</f>
        <v>INT_ASS_002</v>
      </c>
      <c r="H18" s="428" t="str">
        <f>'$_DATI_DI_BASE'!I55</f>
        <v>CORNICE AIR BAG</v>
      </c>
      <c r="I18" s="428"/>
      <c r="J18" s="428"/>
      <c r="K18" s="428"/>
      <c r="L18" s="428"/>
      <c r="M18" s="428"/>
      <c r="N18" s="125">
        <f>'$_DATI_DI_BASE'!O55</f>
        <v>2</v>
      </c>
      <c r="O18" s="126">
        <f t="shared" si="24"/>
        <v>34108.800000000003</v>
      </c>
      <c r="P18" s="126" cm="1">
        <f t="array" ref="P18">$O18/_xlfn.XLOOKUP(_xlfn.TEXTBEFORE(_xlfn.TEXTAFTER($F18,"_"),"_"),IFERROR(_xlfn.TEXTBEFORE('$_DATI_DI_BASE'!$D$17:$D$20,"_"),'$_DATI_DI_BASE'!$D$17:$D$20),'$_DATI_DI_BASE'!$K$17:$K$20,1)</f>
        <v>34108.800000000003</v>
      </c>
      <c r="S18" s="436"/>
      <c r="U18" s="401"/>
      <c r="V18" s="402"/>
      <c r="X18" s="405" t="str">
        <f t="shared" ref="X18" si="25">$H$5</f>
        <v>CORPO PLANCIA A1</v>
      </c>
      <c r="Y18" s="406"/>
      <c r="AB18" s="405" t="str">
        <f t="shared" ref="AB18" si="26">$H$6</f>
        <v>INSERTO PLANCIA A1</v>
      </c>
      <c r="AC18" s="406"/>
      <c r="AD18" s="106"/>
      <c r="AY18" s="436"/>
      <c r="BA18" s="436"/>
      <c r="BE18" s="98"/>
      <c r="CC18" s="436"/>
    </row>
    <row r="19" spans="1:81" x14ac:dyDescent="0.2">
      <c r="A19" s="1"/>
      <c r="B19" s="1"/>
      <c r="C19" s="1">
        <v>2</v>
      </c>
      <c r="D19" s="1"/>
      <c r="E19" s="1"/>
      <c r="F19" s="35" t="str">
        <f>'$_DATI_DI_BASE'!F56:G56</f>
        <v>EST_ELETTR_003</v>
      </c>
      <c r="G19" s="35" t="str">
        <f>F12</f>
        <v>INT_ASS_002</v>
      </c>
      <c r="H19" s="428" t="str">
        <f>'$_DATI_DI_BASE'!I56</f>
        <v>CENTRALINA ELETTRONICA B</v>
      </c>
      <c r="I19" s="428"/>
      <c r="J19" s="428"/>
      <c r="K19" s="428"/>
      <c r="L19" s="428"/>
      <c r="M19" s="428"/>
      <c r="N19" s="125">
        <f>'$_DATI_DI_BASE'!O56</f>
        <v>1</v>
      </c>
      <c r="O19" s="126">
        <f t="shared" si="24"/>
        <v>17054.400000000001</v>
      </c>
      <c r="P19" s="126" cm="1">
        <f t="array" ref="P19">$O19/_xlfn.XLOOKUP(_xlfn.TEXTBEFORE(_xlfn.TEXTAFTER($F19,"_"),"_"),IFERROR(_xlfn.TEXTBEFORE('$_DATI_DI_BASE'!$D$17:$D$20,"_"),'$_DATI_DI_BASE'!$D$17:$D$20),'$_DATI_DI_BASE'!$K$17:$K$20,1)</f>
        <v>17054.400000000001</v>
      </c>
      <c r="S19" s="436"/>
      <c r="U19" s="401"/>
      <c r="V19" s="402"/>
      <c r="X19" s="389" t="str">
        <f>"[" &amp; _xlfn.XLOOKUP(X18,$H$3:$H$11,$F$3:$F$11) &amp; "]"</f>
        <v>[EST_STAMP_001]</v>
      </c>
      <c r="Y19" s="391"/>
      <c r="AB19" s="389" t="str">
        <f>"[" &amp; _xlfn.XLOOKUP(AB18,$H$3:$H$11,$F$3:$F$11) &amp; "]"</f>
        <v>[EST_STAMP_003]</v>
      </c>
      <c r="AC19" s="391"/>
      <c r="AD19" s="106"/>
      <c r="AY19" s="436"/>
      <c r="BA19" s="436"/>
      <c r="BC19" s="110"/>
      <c r="BD19" s="110"/>
      <c r="BE19" s="100"/>
      <c r="BG19" s="110"/>
      <c r="BH19" s="110"/>
      <c r="BK19" s="100"/>
      <c r="BL19" s="377" t="str">
        <f>BC24</f>
        <v>CORPO PLANCIA A1</v>
      </c>
      <c r="BM19" s="378"/>
      <c r="CC19" s="436"/>
    </row>
    <row r="20" spans="1:81" x14ac:dyDescent="0.2">
      <c r="A20" s="1"/>
      <c r="B20" s="1"/>
      <c r="C20" s="1">
        <v>2</v>
      </c>
      <c r="D20" s="1"/>
      <c r="E20" s="1"/>
      <c r="F20" s="35" t="str">
        <f>'$_DATI_DI_BASE'!F57:G57</f>
        <v>EST_ELETTR_005</v>
      </c>
      <c r="G20" s="35" t="str">
        <f>F12</f>
        <v>INT_ASS_002</v>
      </c>
      <c r="H20" s="428" t="s">
        <v>91</v>
      </c>
      <c r="I20" s="428"/>
      <c r="J20" s="428"/>
      <c r="K20" s="428"/>
      <c r="L20" s="428"/>
      <c r="M20" s="428"/>
      <c r="N20" s="125">
        <f>'$_DATI_DI_BASE'!O57</f>
        <v>1</v>
      </c>
      <c r="O20" s="126">
        <f t="shared" si="24"/>
        <v>17054.400000000001</v>
      </c>
      <c r="P20" s="126" cm="1">
        <f t="array" ref="P20">$O20/_xlfn.XLOOKUP(_xlfn.TEXTBEFORE(_xlfn.TEXTAFTER($F20,"_"),"_"),IFERROR(_xlfn.TEXTBEFORE('$_DATI_DI_BASE'!$D$17:$D$20,"_"),'$_DATI_DI_BASE'!$D$17:$D$20),'$_DATI_DI_BASE'!$K$17:$K$20,1)</f>
        <v>17054.400000000001</v>
      </c>
      <c r="S20" s="436"/>
      <c r="U20" s="401"/>
      <c r="V20" s="402"/>
      <c r="X20" s="407" t="str">
        <f>"x"&amp;_xlfn.XLOOKUP(X18,$H$3:$H$11,$N$3:$N$11)</f>
        <v>x1</v>
      </c>
      <c r="Y20" s="408"/>
      <c r="AB20" s="407" t="str">
        <f>"x"&amp;_xlfn.XLOOKUP(AB18,$H$3:$H$11,$N$3:$N$11)</f>
        <v>x1</v>
      </c>
      <c r="AC20" s="408"/>
      <c r="AD20" s="106"/>
      <c r="AY20" s="436"/>
      <c r="BA20" s="436"/>
      <c r="BC20" s="381" t="s">
        <v>59</v>
      </c>
      <c r="BD20" s="382"/>
      <c r="BE20" s="382"/>
      <c r="BF20" s="382"/>
      <c r="BG20" s="382"/>
      <c r="BH20" s="383"/>
      <c r="BI20" s="387" t="s">
        <v>151</v>
      </c>
      <c r="BJ20" s="388"/>
      <c r="BL20" s="379">
        <f>BC25-BC14</f>
        <v>522.07346938775663</v>
      </c>
      <c r="BM20" s="380"/>
      <c r="CC20" s="436"/>
    </row>
    <row r="21" spans="1:81" x14ac:dyDescent="0.2">
      <c r="A21" s="1"/>
      <c r="B21" s="1"/>
      <c r="C21" s="1"/>
      <c r="D21" s="1"/>
      <c r="E21" s="1"/>
      <c r="F21" s="1"/>
      <c r="G21" s="1"/>
      <c r="H21" s="428"/>
      <c r="I21" s="428"/>
      <c r="J21" s="428"/>
      <c r="K21" s="428"/>
      <c r="L21" s="428"/>
      <c r="M21" s="428"/>
      <c r="O21" s="2"/>
      <c r="P21" s="2"/>
      <c r="S21" s="436"/>
      <c r="U21" s="403"/>
      <c r="V21" s="404"/>
      <c r="W21" s="107"/>
      <c r="X21" s="107"/>
      <c r="Y21" s="107"/>
      <c r="Z21" s="107"/>
      <c r="AA21" s="107"/>
      <c r="AB21" s="107"/>
      <c r="AC21" s="107"/>
      <c r="AD21" s="108"/>
      <c r="AY21" s="436"/>
      <c r="BA21" s="436"/>
      <c r="BC21" s="384"/>
      <c r="BD21" s="385"/>
      <c r="BE21" s="385"/>
      <c r="BF21" s="385"/>
      <c r="BG21" s="385"/>
      <c r="BH21" s="386"/>
      <c r="BJ21" s="96"/>
      <c r="CC21" s="436"/>
    </row>
    <row r="22" spans="1:81" ht="16" thickBot="1" x14ac:dyDescent="0.25">
      <c r="A22" s="1"/>
      <c r="B22" s="1"/>
      <c r="C22" s="1"/>
      <c r="D22" s="1"/>
      <c r="E22" s="1"/>
      <c r="F22" s="1"/>
      <c r="G22" s="434"/>
      <c r="H22" s="434"/>
      <c r="I22" s="434"/>
      <c r="J22" s="434"/>
      <c r="K22" s="434"/>
      <c r="L22" s="434"/>
      <c r="M22" s="434"/>
      <c r="N22" s="1"/>
      <c r="O22" s="2"/>
      <c r="P22" s="2"/>
      <c r="S22" s="436"/>
      <c r="AY22" s="436"/>
      <c r="BA22" s="436"/>
      <c r="BC22" s="96"/>
      <c r="BG22" s="96"/>
      <c r="BJ22" s="98"/>
      <c r="BK22" s="100"/>
      <c r="BL22" s="377" t="str">
        <f>BG24</f>
        <v>INSERTO PLANCIA A1</v>
      </c>
      <c r="BM22" s="378"/>
      <c r="CC22" s="436"/>
    </row>
    <row r="23" spans="1:81" x14ac:dyDescent="0.2">
      <c r="A23" s="1"/>
      <c r="B23" s="1"/>
      <c r="C23" s="1"/>
      <c r="D23" s="1"/>
      <c r="E23" s="1"/>
      <c r="F23" s="435" t="s">
        <v>116</v>
      </c>
      <c r="G23" s="330"/>
      <c r="H23" s="330"/>
      <c r="I23" s="330"/>
      <c r="J23" s="330"/>
      <c r="K23" s="330"/>
      <c r="L23" s="330"/>
      <c r="M23" s="330" t="s">
        <v>69</v>
      </c>
      <c r="N23" s="330"/>
      <c r="O23" s="40" t="s">
        <v>152</v>
      </c>
      <c r="P23" s="38" t="s">
        <v>153</v>
      </c>
      <c r="S23" s="436"/>
      <c r="AY23" s="436"/>
      <c r="BA23" s="436"/>
      <c r="BC23" s="100"/>
      <c r="BG23" s="100"/>
      <c r="BL23" s="379">
        <f>BG25-BC14</f>
        <v>522.07346938775663</v>
      </c>
      <c r="BM23" s="380"/>
      <c r="CC23" s="436"/>
    </row>
    <row r="24" spans="1:81" x14ac:dyDescent="0.2">
      <c r="A24" s="1"/>
      <c r="B24" s="1"/>
      <c r="C24" s="1"/>
      <c r="D24" s="1"/>
      <c r="E24" s="1"/>
      <c r="F24" s="247" t="s">
        <v>52</v>
      </c>
      <c r="G24" s="248"/>
      <c r="H24" s="339" t="str">
        <f>'$_DATI_DI_BASE'!$I$39:$I$39</f>
        <v>PLANCIA SEGMENTO A1</v>
      </c>
      <c r="I24" s="340"/>
      <c r="J24" s="340"/>
      <c r="K24" s="340"/>
      <c r="L24" s="341"/>
      <c r="M24" s="345" t="str">
        <f>_xlfn.XLOOKUP($H24,'$_DATI_DI_BASE'!$I$39:$I$57,'$_DATI_DI_BASE'!$F$39:$F$57)</f>
        <v>INT_ASS_001</v>
      </c>
      <c r="N24" s="346"/>
      <c r="O24" s="127">
        <f>_xlfn.XLOOKUP($H24,'$_DATI_DI_BASE'!$E$106:$E$109,'$_DATI_DI_BASE'!$L$106:$L$109)</f>
        <v>7</v>
      </c>
      <c r="P24" s="128">
        <f>_xlfn.XLOOKUP($H24,$H$3:$H$20,$P$3:$P$20)/$O24</f>
        <v>3654.5142857142855</v>
      </c>
      <c r="R24" s="8"/>
      <c r="S24" s="436"/>
      <c r="AY24" s="436"/>
      <c r="BA24" s="436"/>
      <c r="BC24" s="377" t="str">
        <f t="shared" ref="BC24" si="27">$H$5</f>
        <v>CORPO PLANCIA A1</v>
      </c>
      <c r="BD24" s="378"/>
      <c r="BG24" s="377" t="str">
        <f t="shared" ref="BG24" si="28">$H$6</f>
        <v>INSERTO PLANCIA A1</v>
      </c>
      <c r="BH24" s="378"/>
      <c r="CC24" s="436"/>
    </row>
    <row r="25" spans="1:81" x14ac:dyDescent="0.2">
      <c r="A25" s="1"/>
      <c r="B25" s="1"/>
      <c r="C25" s="1"/>
      <c r="D25" s="1"/>
      <c r="E25" s="1"/>
      <c r="F25" s="247"/>
      <c r="G25" s="248"/>
      <c r="H25" s="339" t="str">
        <f>'$_DATI_DI_BASE'!$I$49:$I$49</f>
        <v>PLANCIA SEGMENTO B</v>
      </c>
      <c r="I25" s="340"/>
      <c r="J25" s="340"/>
      <c r="K25" s="340"/>
      <c r="L25" s="341"/>
      <c r="M25" s="345" t="str">
        <f>'$_DATI_DI_BASE'!F49</f>
        <v>INT_ASS_002</v>
      </c>
      <c r="N25" s="346"/>
      <c r="O25" s="127">
        <f>_xlfn.XLOOKUP($H25,'$_DATI_DI_BASE'!$E$106:$E$109,'$_DATI_DI_BASE'!$L$106:$L$109)</f>
        <v>7</v>
      </c>
      <c r="P25" s="128">
        <f>_xlfn.XLOOKUP($H25,$H$3:$H$20,$P$3:$P$20)/$O25</f>
        <v>2436.3428571428572</v>
      </c>
      <c r="R25" s="8"/>
      <c r="S25" s="436"/>
      <c r="AY25" s="436"/>
      <c r="BA25" s="436"/>
      <c r="BC25" s="379">
        <f>_xlfn.XLOOKUP(BC24,$H$3:$H$11,$P$3:$P$11)</f>
        <v>26103.673469387755</v>
      </c>
      <c r="BD25" s="388"/>
      <c r="BG25" s="379">
        <f>_xlfn.XLOOKUP(BG24,$H$3:$H$11,$P$3:$P$11)</f>
        <v>26103.673469387755</v>
      </c>
      <c r="BH25" s="388"/>
      <c r="CC25" s="436"/>
    </row>
    <row r="26" spans="1:81" x14ac:dyDescent="0.2">
      <c r="A26" s="1"/>
      <c r="B26" s="1"/>
      <c r="C26" s="1"/>
      <c r="D26" s="1"/>
      <c r="E26" s="1"/>
      <c r="F26" s="247" t="s">
        <v>59</v>
      </c>
      <c r="G26" s="248"/>
      <c r="H26" s="339" t="str">
        <f>'$_DATI_DI_BASE'!$I$40:$I$40</f>
        <v>(CORPO + INSERTO) PLANCIA SEGMENTO A1</v>
      </c>
      <c r="I26" s="340"/>
      <c r="J26" s="340"/>
      <c r="K26" s="340"/>
      <c r="L26" s="341"/>
      <c r="M26" s="345" t="str">
        <f>'$_DATI_DI_BASE'!F40</f>
        <v>INT_SAL_001</v>
      </c>
      <c r="N26" s="346"/>
      <c r="O26" s="127">
        <f>_xlfn.XLOOKUP($H26,'$_DATI_DI_BASE'!$E$106:$E$109,'$_DATI_DI_BASE'!$L$106:$L$109)</f>
        <v>4</v>
      </c>
      <c r="P26" s="128">
        <f>_xlfn.XLOOKUP($H26,$H$3:$H$20,$P$3:$P$20)/$O26</f>
        <v>6525.9183673469388</v>
      </c>
      <c r="R26" s="8"/>
      <c r="S26" s="436"/>
      <c r="AY26" s="436"/>
      <c r="BA26" s="436"/>
      <c r="CC26" s="436"/>
    </row>
    <row r="27" spans="1:81" ht="16" thickBot="1" x14ac:dyDescent="0.25">
      <c r="A27" s="1"/>
      <c r="B27" s="1"/>
      <c r="C27" s="1"/>
      <c r="D27" s="1"/>
      <c r="E27" s="1"/>
      <c r="F27" s="432"/>
      <c r="G27" s="433"/>
      <c r="H27" s="342" t="str">
        <f>'$_DATI_DI_BASE'!$I$50:$I$50</f>
        <v>(CORPO + INSERTO) PLANCIA SEGMENTO B</v>
      </c>
      <c r="I27" s="343"/>
      <c r="J27" s="343"/>
      <c r="K27" s="343"/>
      <c r="L27" s="344"/>
      <c r="M27" s="347" t="str">
        <f>'$_DATI_DI_BASE'!F50</f>
        <v>INT_SAL_002</v>
      </c>
      <c r="N27" s="348"/>
      <c r="O27" s="129">
        <f>_xlfn.XLOOKUP($H27,'$_DATI_DI_BASE'!$E$106:$E$109,'$_DATI_DI_BASE'!$L$106:$L$109)</f>
        <v>4</v>
      </c>
      <c r="P27" s="130">
        <f>_xlfn.XLOOKUP($H27,$H$3:$H$20,$P$3:$P$20)/$O27</f>
        <v>4350.6122448979595</v>
      </c>
      <c r="R27" s="8"/>
      <c r="S27" s="436"/>
      <c r="AY27" s="436"/>
      <c r="BA27" s="436"/>
      <c r="CC27" s="436"/>
    </row>
    <row r="28" spans="1:81" x14ac:dyDescent="0.2">
      <c r="A28" s="1"/>
      <c r="B28" s="1"/>
      <c r="C28" s="1"/>
      <c r="D28" s="1"/>
      <c r="E28" s="1"/>
      <c r="F28" s="1"/>
      <c r="G28" s="1"/>
      <c r="H28" s="103"/>
      <c r="I28" s="103"/>
      <c r="J28" s="103"/>
      <c r="K28" s="103"/>
      <c r="L28" s="103"/>
      <c r="M28" s="103"/>
      <c r="O28" s="2"/>
      <c r="P28" s="2"/>
      <c r="S28" s="436"/>
      <c r="AY28" s="436"/>
      <c r="BA28" s="436"/>
      <c r="CC28" s="436"/>
    </row>
    <row r="29" spans="1:81" x14ac:dyDescent="0.2">
      <c r="A29" s="1"/>
      <c r="S29" s="436"/>
      <c r="AY29" s="436"/>
      <c r="BA29" s="436"/>
      <c r="CC29" s="436"/>
    </row>
    <row r="30" spans="1:81" ht="16" customHeight="1" x14ac:dyDescent="0.2">
      <c r="A30" s="1"/>
      <c r="S30" s="436"/>
      <c r="T30" s="431"/>
      <c r="U30" s="431"/>
      <c r="V30" s="431"/>
      <c r="W30" s="431"/>
      <c r="X30" s="431"/>
      <c r="Y30" s="431"/>
      <c r="Z30" s="431"/>
      <c r="AA30" s="431"/>
      <c r="AB30" s="431"/>
      <c r="AC30" s="431"/>
      <c r="AD30" s="431"/>
      <c r="AE30" s="431"/>
      <c r="AF30" s="431"/>
      <c r="AG30" s="431"/>
      <c r="AH30" s="431"/>
      <c r="AI30" s="431"/>
      <c r="AJ30" s="431"/>
      <c r="AK30" s="431"/>
      <c r="AL30" s="431"/>
      <c r="AM30" s="431"/>
      <c r="AN30" s="431"/>
      <c r="AO30" s="431"/>
      <c r="AP30" s="431"/>
      <c r="AQ30" s="431"/>
      <c r="AR30" s="431"/>
      <c r="AS30" s="431"/>
      <c r="AT30" s="431"/>
      <c r="AU30" s="431"/>
      <c r="AV30" s="431"/>
      <c r="AW30" s="431"/>
      <c r="AX30" s="431"/>
      <c r="AY30" s="436"/>
      <c r="BA30" s="436"/>
      <c r="BB30" s="431"/>
      <c r="BC30" s="431"/>
      <c r="BD30" s="431"/>
      <c r="BE30" s="431"/>
      <c r="BF30" s="431"/>
      <c r="BG30" s="431"/>
      <c r="BH30" s="431"/>
      <c r="BI30" s="431"/>
      <c r="BJ30" s="431"/>
      <c r="BK30" s="431"/>
      <c r="BL30" s="431"/>
      <c r="BM30" s="431"/>
      <c r="BN30" s="431"/>
      <c r="BO30" s="431"/>
      <c r="BP30" s="431"/>
      <c r="BQ30" s="431"/>
      <c r="BR30" s="431"/>
      <c r="BS30" s="431"/>
      <c r="BT30" s="431"/>
      <c r="BU30" s="431"/>
      <c r="BV30" s="431"/>
      <c r="BW30" s="431"/>
      <c r="BX30" s="431"/>
      <c r="BY30" s="431"/>
      <c r="BZ30" s="431"/>
      <c r="CA30" s="431"/>
      <c r="CB30" s="431"/>
      <c r="CC30" s="436"/>
    </row>
    <row r="31" spans="1:81" ht="15" customHeight="1" x14ac:dyDescent="0.2">
      <c r="A31" s="1"/>
      <c r="S31" s="436"/>
      <c r="T31" s="431"/>
      <c r="U31" s="431"/>
      <c r="V31" s="431"/>
      <c r="W31" s="431"/>
      <c r="X31" s="431"/>
      <c r="Y31" s="431"/>
      <c r="Z31" s="431"/>
      <c r="AA31" s="431"/>
      <c r="AB31" s="431"/>
      <c r="AC31" s="431"/>
      <c r="AD31" s="431"/>
      <c r="AE31" s="431"/>
      <c r="AF31" s="431"/>
      <c r="AG31" s="431"/>
      <c r="AH31" s="431"/>
      <c r="AI31" s="431"/>
      <c r="AJ31" s="431"/>
      <c r="AK31" s="431"/>
      <c r="AL31" s="431"/>
      <c r="AM31" s="431"/>
      <c r="AN31" s="431"/>
      <c r="AO31" s="431"/>
      <c r="AP31" s="431"/>
      <c r="AQ31" s="431"/>
      <c r="AR31" s="431"/>
      <c r="AS31" s="431"/>
      <c r="AT31" s="431"/>
      <c r="AU31" s="431"/>
      <c r="AV31" s="431"/>
      <c r="AW31" s="431"/>
      <c r="AX31" s="431"/>
      <c r="AY31" s="436"/>
      <c r="BA31" s="436"/>
      <c r="BB31" s="431"/>
      <c r="BC31" s="431"/>
      <c r="BD31" s="431"/>
      <c r="BE31" s="431"/>
      <c r="BF31" s="431"/>
      <c r="BG31" s="431"/>
      <c r="BH31" s="431"/>
      <c r="BI31" s="431"/>
      <c r="BJ31" s="431"/>
      <c r="BK31" s="431"/>
      <c r="BL31" s="431"/>
      <c r="BM31" s="431"/>
      <c r="BN31" s="431"/>
      <c r="BO31" s="431"/>
      <c r="BP31" s="431"/>
      <c r="BQ31" s="431"/>
      <c r="BR31" s="431"/>
      <c r="BS31" s="431"/>
      <c r="BT31" s="431"/>
      <c r="BU31" s="431"/>
      <c r="BV31" s="431"/>
      <c r="BW31" s="431"/>
      <c r="BX31" s="431"/>
      <c r="BY31" s="431"/>
      <c r="BZ31" s="431"/>
      <c r="CA31" s="431"/>
      <c r="CB31" s="431"/>
      <c r="CC31" s="436"/>
    </row>
    <row r="32" spans="1:81" ht="15.75" customHeight="1" x14ac:dyDescent="0.2">
      <c r="A32" s="1"/>
      <c r="S32" s="436"/>
      <c r="AY32" s="436"/>
      <c r="BA32" s="436"/>
      <c r="CC32" s="436"/>
    </row>
    <row r="33" spans="1:81" x14ac:dyDescent="0.2">
      <c r="A33" s="1"/>
      <c r="S33" s="436"/>
      <c r="AI33" s="381" t="str">
        <f>$H$12</f>
        <v>PLANCIA SEGMENTO B</v>
      </c>
      <c r="AJ33" s="382"/>
      <c r="AK33" s="382"/>
      <c r="AL33" s="383"/>
      <c r="AY33" s="436"/>
      <c r="BA33" s="436"/>
      <c r="BN33" s="394" t="str">
        <f>$H$12</f>
        <v>PLANCIA SEGMENTO B</v>
      </c>
      <c r="BO33" s="398"/>
      <c r="BP33" s="398"/>
      <c r="BQ33" s="395"/>
      <c r="CC33" s="436"/>
    </row>
    <row r="34" spans="1:81" x14ac:dyDescent="0.2">
      <c r="A34" s="1"/>
      <c r="S34" s="436"/>
      <c r="AC34" s="8"/>
      <c r="AI34" s="409" t="str">
        <f>"[" &amp; _xlfn.XLOOKUP(AI33,$H$12:$H$20,$F$12:$F$20) &amp; "]"</f>
        <v>[INT_ASS_002]</v>
      </c>
      <c r="AJ34" s="410"/>
      <c r="AK34" s="410"/>
      <c r="AL34" s="411"/>
      <c r="AY34" s="436"/>
      <c r="BA34" s="436"/>
      <c r="BN34" s="379">
        <f>_xlfn.XLOOKUP(BN33,$H$3:$H$20,$P$3:$P$20)</f>
        <v>17054.400000000001</v>
      </c>
      <c r="BO34" s="397"/>
      <c r="BP34" s="397"/>
      <c r="BQ34" s="380"/>
      <c r="CC34" s="436"/>
    </row>
    <row r="35" spans="1:81" x14ac:dyDescent="0.2">
      <c r="S35" s="436"/>
      <c r="AJ35" s="96"/>
      <c r="AY35" s="436"/>
      <c r="BA35" s="436"/>
      <c r="BO35" s="96"/>
      <c r="CC35" s="436"/>
    </row>
    <row r="36" spans="1:81" x14ac:dyDescent="0.2">
      <c r="S36" s="436"/>
      <c r="AA36" s="110"/>
      <c r="AB36" s="110"/>
      <c r="AC36" s="110"/>
      <c r="AD36" s="110"/>
      <c r="AE36" s="110"/>
      <c r="AF36" s="110"/>
      <c r="AG36" s="110"/>
      <c r="AH36" s="110"/>
      <c r="AI36" s="110"/>
      <c r="AJ36" s="10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Y36" s="436"/>
      <c r="BA36" s="436"/>
      <c r="BH36" s="8"/>
      <c r="BO36" s="100"/>
      <c r="CC36" s="436"/>
    </row>
    <row r="37" spans="1:81" ht="15.75" customHeight="1" x14ac:dyDescent="0.2">
      <c r="S37" s="436"/>
      <c r="Z37" s="98"/>
      <c r="AE37" s="96"/>
      <c r="AH37" s="96"/>
      <c r="AK37" s="96"/>
      <c r="AO37" s="96"/>
      <c r="AT37" s="96"/>
      <c r="AY37" s="436"/>
      <c r="BA37" s="436"/>
      <c r="BC37" s="381" t="s">
        <v>150</v>
      </c>
      <c r="BD37" s="382"/>
      <c r="BE37" s="382"/>
      <c r="BF37" s="382"/>
      <c r="BG37" s="382"/>
      <c r="BH37" s="382"/>
      <c r="BI37" s="382"/>
      <c r="BJ37" s="382"/>
      <c r="BK37" s="382"/>
      <c r="BL37" s="382"/>
      <c r="BM37" s="382"/>
      <c r="BN37" s="382"/>
      <c r="BO37" s="382"/>
      <c r="BP37" s="382"/>
      <c r="BQ37" s="382"/>
      <c r="BR37" s="382"/>
      <c r="BS37" s="382"/>
      <c r="BT37" s="382"/>
      <c r="BU37" s="382"/>
      <c r="BV37" s="382"/>
      <c r="BW37" s="382"/>
      <c r="BX37" s="382"/>
      <c r="BY37" s="382"/>
      <c r="BZ37" s="382"/>
      <c r="CA37" s="383"/>
      <c r="CC37" s="436"/>
    </row>
    <row r="38" spans="1:81" ht="15" customHeight="1" x14ac:dyDescent="0.2">
      <c r="S38" s="436"/>
      <c r="U38" s="399" t="s">
        <v>150</v>
      </c>
      <c r="V38" s="400"/>
      <c r="W38" s="104"/>
      <c r="X38" s="104"/>
      <c r="Y38" s="104"/>
      <c r="Z38" s="109"/>
      <c r="AA38" s="104"/>
      <c r="AB38" s="104"/>
      <c r="AC38" s="104"/>
      <c r="AD38" s="104"/>
      <c r="AE38" s="109"/>
      <c r="AF38" s="104"/>
      <c r="AG38" s="104"/>
      <c r="AH38" s="109"/>
      <c r="AI38" s="104"/>
      <c r="AJ38" s="104"/>
      <c r="AK38" s="109"/>
      <c r="AL38" s="104"/>
      <c r="AM38" s="104"/>
      <c r="AN38" s="104"/>
      <c r="AO38" s="109"/>
      <c r="AP38" s="104"/>
      <c r="AQ38" s="104"/>
      <c r="AR38" s="104"/>
      <c r="AS38" s="104"/>
      <c r="AT38" s="109"/>
      <c r="AU38" s="104"/>
      <c r="AV38" s="104"/>
      <c r="AW38" s="105"/>
      <c r="AY38" s="436"/>
      <c r="BA38" s="436"/>
      <c r="BC38" s="384"/>
      <c r="BD38" s="385"/>
      <c r="BE38" s="385"/>
      <c r="BF38" s="385"/>
      <c r="BG38" s="385"/>
      <c r="BH38" s="385"/>
      <c r="BI38" s="385"/>
      <c r="BJ38" s="385"/>
      <c r="BK38" s="385"/>
      <c r="BL38" s="385"/>
      <c r="BM38" s="385"/>
      <c r="BN38" s="385"/>
      <c r="BO38" s="385"/>
      <c r="BP38" s="385"/>
      <c r="BQ38" s="385"/>
      <c r="BR38" s="385"/>
      <c r="BS38" s="385"/>
      <c r="BT38" s="385"/>
      <c r="BU38" s="385"/>
      <c r="BV38" s="385"/>
      <c r="BW38" s="385"/>
      <c r="BX38" s="385"/>
      <c r="BY38" s="385"/>
      <c r="BZ38" s="385"/>
      <c r="CA38" s="386"/>
      <c r="CC38" s="436"/>
    </row>
    <row r="39" spans="1:81" x14ac:dyDescent="0.2">
      <c r="S39" s="436"/>
      <c r="U39" s="401"/>
      <c r="V39" s="402"/>
      <c r="X39" s="412" t="str">
        <f>$H$13</f>
        <v>(CORPO + INSERTO) PLANCIA SEGMENTO B</v>
      </c>
      <c r="Y39" s="413"/>
      <c r="Z39" s="413"/>
      <c r="AA39" s="413"/>
      <c r="AB39" s="413"/>
      <c r="AC39" s="414"/>
      <c r="AD39" s="113"/>
      <c r="AE39" s="381" t="str">
        <f>$H$16</f>
        <v>CUPOLOTTO</v>
      </c>
      <c r="AF39" s="383"/>
      <c r="AG39" s="114"/>
      <c r="AH39" s="381" t="str">
        <f>$H$17</f>
        <v>CORPO AIR BAG</v>
      </c>
      <c r="AI39" s="383"/>
      <c r="AJ39" s="114"/>
      <c r="AK39" s="415" t="str">
        <f>$H$18</f>
        <v>CORNICE AIR BAG</v>
      </c>
      <c r="AL39" s="416"/>
      <c r="AM39" s="114"/>
      <c r="AN39" s="381" t="str">
        <f>$H$19</f>
        <v>CENTRALINA ELETTRONICA B</v>
      </c>
      <c r="AO39" s="382"/>
      <c r="AP39" s="382"/>
      <c r="AQ39" s="383"/>
      <c r="AR39" s="113"/>
      <c r="AS39" s="381" t="str">
        <f>$H$20</f>
        <v>CAVO ELETTRICO COMPLETO</v>
      </c>
      <c r="AT39" s="392"/>
      <c r="AU39" s="392"/>
      <c r="AV39" s="393"/>
      <c r="AW39" s="106"/>
      <c r="AY39" s="436"/>
      <c r="BA39" s="436"/>
      <c r="BE39" s="96"/>
      <c r="BJ39" s="96"/>
      <c r="BM39" s="96"/>
      <c r="BP39" s="96"/>
      <c r="BT39" s="96"/>
      <c r="BY39" s="96"/>
      <c r="CC39" s="436"/>
    </row>
    <row r="40" spans="1:81" x14ac:dyDescent="0.2">
      <c r="S40" s="436"/>
      <c r="U40" s="401"/>
      <c r="V40" s="402"/>
      <c r="X40" s="389" t="str">
        <f>"[" &amp; _xlfn.XLOOKUP(X39,$H$12:$H$20,$F$12:$F$20) &amp; "]"</f>
        <v>[INT_SAL_002]</v>
      </c>
      <c r="Y40" s="390"/>
      <c r="Z40" s="390" t="e">
        <f t="shared" ref="Z40" si="29">"[" &amp; _xlfn.XLOOKUP(Z39,$H$3:$H$20,$F$3:$F$20) &amp; "]"</f>
        <v>#N/A</v>
      </c>
      <c r="AA40" s="390"/>
      <c r="AB40" s="390" t="e">
        <f t="shared" ref="AB40" si="30">"[" &amp; _xlfn.XLOOKUP(AB39,$H$3:$H$20,$F$3:$F$20) &amp; "]"</f>
        <v>#N/A</v>
      </c>
      <c r="AC40" s="391"/>
      <c r="AE40" s="389" t="str">
        <f>"[" &amp; _xlfn.XLOOKUP(AE39,$H$12:$H$20,$F$12:$F$20) &amp; "]"</f>
        <v>[EST_STAMP_009]</v>
      </c>
      <c r="AF40" s="391"/>
      <c r="AH40" s="389" t="str">
        <f>"[" &amp; _xlfn.XLOOKUP(AH39,$H$12:$H$20,$F$12:$F$20) &amp; "]"</f>
        <v>[EST_SICUR_001]</v>
      </c>
      <c r="AI40" s="391"/>
      <c r="AK40" s="389" t="str">
        <f>"[" &amp; _xlfn.XLOOKUP(AK39,$H$12:$H$20,$F$12:$F$20) &amp; "]"</f>
        <v>[EST_SICUR_002]</v>
      </c>
      <c r="AL40" s="391"/>
      <c r="AN40" s="389" t="str">
        <f t="shared" ref="AN40" si="31">"[" &amp; _xlfn.XLOOKUP(AN39,$H$12:$H$20,$F$12:$F$20) &amp; "]"</f>
        <v>[EST_ELETTR_003]</v>
      </c>
      <c r="AO40" s="390"/>
      <c r="AP40" s="390" t="e">
        <f t="shared" ref="AP40" si="32">"[" &amp; _xlfn.XLOOKUP(AP39,$H$12:$H$20,$F$12:$F$20) &amp; "]"</f>
        <v>#N/A</v>
      </c>
      <c r="AQ40" s="391"/>
      <c r="AS40" s="389" t="str">
        <f t="shared" ref="AS40" si="33">"[" &amp; _xlfn.XLOOKUP(AS39,$H$12:$H$20,$F$12:$F$20) &amp; "]"</f>
        <v>[EST_ELETTR_005]</v>
      </c>
      <c r="AT40" s="390"/>
      <c r="AU40" s="390" t="e">
        <f t="shared" ref="AU40" si="34">"[" &amp; _xlfn.XLOOKUP(AU39,$H$12:$H$20,$F$12:$F$20) &amp; "]"</f>
        <v>#N/A</v>
      </c>
      <c r="AV40" s="391"/>
      <c r="AW40" s="106"/>
      <c r="AY40" s="436"/>
      <c r="BA40" s="436"/>
      <c r="BE40" s="100"/>
      <c r="BJ40" s="100"/>
      <c r="BM40" s="100"/>
      <c r="BP40" s="100"/>
      <c r="BT40" s="100"/>
      <c r="BY40" s="100"/>
      <c r="CC40" s="436"/>
    </row>
    <row r="41" spans="1:81" x14ac:dyDescent="0.2">
      <c r="S41" s="436"/>
      <c r="U41" s="401"/>
      <c r="V41" s="402"/>
      <c r="X41" s="417" t="str">
        <f>"x"&amp;_xlfn.XLOOKUP(X39,$H$12:$H$20,$N$12:$N$20)</f>
        <v>x1</v>
      </c>
      <c r="Y41" s="418"/>
      <c r="Z41" s="418"/>
      <c r="AA41" s="418"/>
      <c r="AB41" s="418"/>
      <c r="AC41" s="419"/>
      <c r="AE41" s="407" t="str">
        <f>"x"&amp;_xlfn.XLOOKUP(AE39,$H$12:$H$20,$N$12:$N$20)</f>
        <v>x2</v>
      </c>
      <c r="AF41" s="408"/>
      <c r="AH41" s="407" t="str">
        <f>"x"&amp;_xlfn.XLOOKUP(AH39,$H$12:$H$20,$N$12:$N$20)</f>
        <v>x2</v>
      </c>
      <c r="AI41" s="408"/>
      <c r="AK41" s="407" t="str">
        <f>"x"&amp;_xlfn.XLOOKUP(AK39,$H$12:$H$20,$N$12:$N$20)</f>
        <v>x2</v>
      </c>
      <c r="AL41" s="408"/>
      <c r="AN41" s="417" t="str">
        <f t="shared" ref="AN41" si="35">"x"&amp;_xlfn.XLOOKUP(AN39,$H$12:$H$20,$N$12:$N$20)</f>
        <v>x1</v>
      </c>
      <c r="AO41" s="420"/>
      <c r="AP41" s="420" t="e">
        <f t="shared" ref="AP41" si="36">"x"&amp;_xlfn.XLOOKUP(AP39,$H$12:$H$20,$N$12:$N$20)</f>
        <v>#N/A</v>
      </c>
      <c r="AQ41" s="421"/>
      <c r="AS41" s="417" t="str">
        <f t="shared" ref="AS41" si="37">"x"&amp;_xlfn.XLOOKUP(AS39,$H$12:$H$20,$N$12:$N$20)</f>
        <v>x1</v>
      </c>
      <c r="AT41" s="420"/>
      <c r="AU41" s="420" t="e">
        <f t="shared" ref="AU41" si="38">"x"&amp;_xlfn.XLOOKUP(AU39,$H$12:$H$20,$N$12:$N$20)</f>
        <v>#N/A</v>
      </c>
      <c r="AV41" s="421"/>
      <c r="AW41" s="106"/>
      <c r="AY41" s="436"/>
      <c r="BA41" s="436"/>
      <c r="BC41" s="422" t="str">
        <f>$H$13</f>
        <v>(CORPO + INSERTO) PLANCIA SEGMENTO B</v>
      </c>
      <c r="BD41" s="423"/>
      <c r="BE41" s="423"/>
      <c r="BF41" s="423"/>
      <c r="BG41" s="423"/>
      <c r="BH41" s="424"/>
      <c r="BJ41" s="394" t="str">
        <f>$H$16</f>
        <v>CUPOLOTTO</v>
      </c>
      <c r="BK41" s="395"/>
      <c r="BL41" s="8"/>
      <c r="BM41" s="394" t="str">
        <f>$H$17</f>
        <v>CORPO AIR BAG</v>
      </c>
      <c r="BN41" s="395"/>
      <c r="BO41" s="8"/>
      <c r="BP41" s="425" t="str">
        <f>$H$18</f>
        <v>CORNICE AIR BAG</v>
      </c>
      <c r="BQ41" s="426"/>
      <c r="BR41" s="8"/>
      <c r="BS41" s="394" t="str">
        <f>$H$19</f>
        <v>CENTRALINA ELETTRONICA B</v>
      </c>
      <c r="BT41" s="398"/>
      <c r="BU41" s="398"/>
      <c r="BV41" s="395"/>
      <c r="BX41" s="394" t="str">
        <f>$H$20</f>
        <v>CAVO ELETTRICO COMPLETO</v>
      </c>
      <c r="BY41" s="398"/>
      <c r="BZ41" s="398"/>
      <c r="CA41" s="395"/>
      <c r="CC41" s="436"/>
    </row>
    <row r="42" spans="1:81" x14ac:dyDescent="0.2">
      <c r="S42" s="436"/>
      <c r="U42" s="403"/>
      <c r="V42" s="404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7"/>
      <c r="AT42" s="107"/>
      <c r="AU42" s="107"/>
      <c r="AV42" s="107"/>
      <c r="AW42" s="108"/>
      <c r="AY42" s="436"/>
      <c r="BA42" s="436"/>
      <c r="BC42" s="379">
        <f>_xlfn.XLOOKUP(BC41,$H$12:$H$20,$O$12:$O$20)</f>
        <v>17054.400000000001</v>
      </c>
      <c r="BD42" s="396"/>
      <c r="BE42" s="396" t="e">
        <f>_xlfn.XLOOKUP(BE41,$H$3:$H$11,$P$3:$P$11)</f>
        <v>#N/A</v>
      </c>
      <c r="BF42" s="396"/>
      <c r="BG42" s="396" t="e">
        <f>_xlfn.XLOOKUP(BG41,$H$3:$H$11,$P$3:$P$11)</f>
        <v>#N/A</v>
      </c>
      <c r="BH42" s="388"/>
      <c r="BJ42" s="379">
        <f>_xlfn.XLOOKUP(BJ41,$H$12:$H$20,$P$12:$P$20)</f>
        <v>34108.800000000003</v>
      </c>
      <c r="BK42" s="380"/>
      <c r="BM42" s="379">
        <f>_xlfn.XLOOKUP(BM41,$H$12:$H$20,$P$12:$P$20)</f>
        <v>34108.800000000003</v>
      </c>
      <c r="BN42" s="380"/>
      <c r="BP42" s="379">
        <f>_xlfn.XLOOKUP(BP41,$H$12:$H$20,$P$12:$P$20)</f>
        <v>34108.800000000003</v>
      </c>
      <c r="BQ42" s="380"/>
      <c r="BS42" s="379">
        <f>_xlfn.XLOOKUP(BS41,$H$12:$H$20,$P$12:$P$20)</f>
        <v>17054.400000000001</v>
      </c>
      <c r="BT42" s="397"/>
      <c r="BU42" s="397"/>
      <c r="BV42" s="380"/>
      <c r="BX42" s="379">
        <f>_xlfn.XLOOKUP(BX41,$H$12:$H$20,$P$12:$P$20)</f>
        <v>17054.400000000001</v>
      </c>
      <c r="BY42" s="397"/>
      <c r="BZ42" s="397"/>
      <c r="CA42" s="380"/>
      <c r="CC42" s="436"/>
    </row>
    <row r="43" spans="1:81" x14ac:dyDescent="0.2">
      <c r="S43" s="436"/>
      <c r="Y43" s="110"/>
      <c r="Z43" s="100"/>
      <c r="AA43" s="110"/>
      <c r="AB43" s="110"/>
      <c r="AY43" s="436"/>
      <c r="BA43" s="436"/>
      <c r="BE43" s="96"/>
      <c r="CC43" s="436"/>
    </row>
    <row r="44" spans="1:81" ht="15" customHeight="1" x14ac:dyDescent="0.2">
      <c r="S44" s="436"/>
      <c r="X44" s="98"/>
      <c r="AB44" s="96"/>
      <c r="AY44" s="436"/>
      <c r="BA44" s="436"/>
      <c r="BE44" s="98"/>
      <c r="CC44" s="436"/>
    </row>
    <row r="45" spans="1:81" ht="15.75" customHeight="1" x14ac:dyDescent="0.2">
      <c r="S45" s="436"/>
      <c r="U45" s="399" t="s">
        <v>59</v>
      </c>
      <c r="V45" s="400"/>
      <c r="W45" s="104"/>
      <c r="X45" s="112"/>
      <c r="Y45" s="104"/>
      <c r="Z45" s="104"/>
      <c r="AA45" s="104"/>
      <c r="AB45" s="112"/>
      <c r="AC45" s="104"/>
      <c r="AD45" s="105"/>
      <c r="AY45" s="436"/>
      <c r="BA45" s="436"/>
      <c r="BE45" s="98"/>
      <c r="CC45" s="436"/>
    </row>
    <row r="46" spans="1:81" x14ac:dyDescent="0.2">
      <c r="S46" s="436"/>
      <c r="U46" s="401"/>
      <c r="V46" s="402"/>
      <c r="X46" s="405" t="str">
        <f>$H$14</f>
        <v>CORPO PLANCIA B</v>
      </c>
      <c r="Y46" s="406"/>
      <c r="AB46" s="405" t="str">
        <f>$H$15</f>
        <v>INSERTO PLANCIA B</v>
      </c>
      <c r="AC46" s="406"/>
      <c r="AD46" s="106"/>
      <c r="AY46" s="436"/>
      <c r="BA46" s="436"/>
      <c r="BE46" s="98"/>
      <c r="CC46" s="436"/>
    </row>
    <row r="47" spans="1:81" x14ac:dyDescent="0.2">
      <c r="S47" s="436"/>
      <c r="U47" s="401"/>
      <c r="V47" s="402"/>
      <c r="X47" s="389" t="str">
        <f>"[" &amp; _xlfn.XLOOKUP(X46,$H$12:$H$20,$F$12:$F$20) &amp; "]"</f>
        <v>[EST_STAMP_002]</v>
      </c>
      <c r="Y47" s="391"/>
      <c r="AB47" s="389" t="str">
        <f>"[" &amp; _xlfn.XLOOKUP(AB46,$H$12:$H$20,$F$12:$F$20) &amp; "]"</f>
        <v>[EST_STAMP_004]</v>
      </c>
      <c r="AC47" s="391"/>
      <c r="AD47" s="106"/>
      <c r="AY47" s="436"/>
      <c r="BA47" s="436"/>
      <c r="BC47" s="110"/>
      <c r="BD47" s="110"/>
      <c r="BE47" s="100"/>
      <c r="BG47" s="110"/>
      <c r="BH47" s="110"/>
      <c r="BK47" s="100"/>
      <c r="BL47" s="377" t="str">
        <f>BC52</f>
        <v>CORPO PLANCIA B</v>
      </c>
      <c r="BM47" s="378"/>
      <c r="CC47" s="436"/>
    </row>
    <row r="48" spans="1:81" x14ac:dyDescent="0.2">
      <c r="S48" s="436"/>
      <c r="U48" s="401"/>
      <c r="V48" s="402"/>
      <c r="X48" s="407" t="str">
        <f>"x"&amp;_xlfn.XLOOKUP(X46,$H$12:$H$20,$N$12:$N$20)</f>
        <v>x1</v>
      </c>
      <c r="Y48" s="408"/>
      <c r="AB48" s="407" t="str">
        <f>"x"&amp;_xlfn.XLOOKUP(AB46,$H$12:$H$20,$N$12:$N$20)</f>
        <v>x1</v>
      </c>
      <c r="AC48" s="408"/>
      <c r="AD48" s="106"/>
      <c r="AY48" s="436"/>
      <c r="BA48" s="436"/>
      <c r="BC48" s="381" t="s">
        <v>59</v>
      </c>
      <c r="BD48" s="382"/>
      <c r="BE48" s="382"/>
      <c r="BF48" s="382"/>
      <c r="BG48" s="382"/>
      <c r="BH48" s="383"/>
      <c r="BI48" s="387" t="s">
        <v>151</v>
      </c>
      <c r="BJ48" s="388"/>
      <c r="BL48" s="379">
        <f>BC53-BC42</f>
        <v>348.04897959183654</v>
      </c>
      <c r="BM48" s="380"/>
      <c r="CC48" s="436"/>
    </row>
    <row r="49" spans="19:81" x14ac:dyDescent="0.2">
      <c r="S49" s="436"/>
      <c r="U49" s="403"/>
      <c r="V49" s="404"/>
      <c r="W49" s="107"/>
      <c r="X49" s="107"/>
      <c r="Y49" s="107"/>
      <c r="Z49" s="107"/>
      <c r="AA49" s="107"/>
      <c r="AB49" s="107"/>
      <c r="AC49" s="107"/>
      <c r="AD49" s="108"/>
      <c r="AY49" s="436"/>
      <c r="BA49" s="436"/>
      <c r="BC49" s="384"/>
      <c r="BD49" s="385"/>
      <c r="BE49" s="385"/>
      <c r="BF49" s="385"/>
      <c r="BG49" s="385"/>
      <c r="BH49" s="386"/>
      <c r="BJ49" s="96"/>
      <c r="CC49" s="436"/>
    </row>
    <row r="50" spans="19:81" x14ac:dyDescent="0.2">
      <c r="S50" s="436"/>
      <c r="AY50" s="436"/>
      <c r="BA50" s="436"/>
      <c r="BC50" s="96"/>
      <c r="BG50" s="96"/>
      <c r="BJ50" s="98"/>
      <c r="BK50" s="100"/>
      <c r="BL50" s="377" t="str">
        <f>BG52</f>
        <v>INSERTO PLANCIA B</v>
      </c>
      <c r="BM50" s="378"/>
      <c r="CC50" s="436"/>
    </row>
    <row r="51" spans="19:81" x14ac:dyDescent="0.2">
      <c r="S51" s="436"/>
      <c r="AY51" s="436"/>
      <c r="BA51" s="436"/>
      <c r="BC51" s="100"/>
      <c r="BG51" s="100"/>
      <c r="BL51" s="379">
        <f>BG53-BC42</f>
        <v>348.04897959183654</v>
      </c>
      <c r="BM51" s="380"/>
      <c r="CC51" s="436"/>
    </row>
    <row r="52" spans="19:81" x14ac:dyDescent="0.2">
      <c r="S52" s="436"/>
      <c r="AY52" s="436"/>
      <c r="BA52" s="436"/>
      <c r="BC52" s="377" t="str">
        <f>$H$14</f>
        <v>CORPO PLANCIA B</v>
      </c>
      <c r="BD52" s="378"/>
      <c r="BG52" s="377" t="str">
        <f>$H$15</f>
        <v>INSERTO PLANCIA B</v>
      </c>
      <c r="BH52" s="378"/>
      <c r="CC52" s="436"/>
    </row>
    <row r="53" spans="19:81" x14ac:dyDescent="0.2">
      <c r="S53" s="436"/>
      <c r="AY53" s="436"/>
      <c r="BA53" s="436"/>
      <c r="BC53" s="379">
        <f>_xlfn.XLOOKUP(BC52,$H$12:$H$20,$P$12:$P$20)</f>
        <v>17402.448979591838</v>
      </c>
      <c r="BD53" s="388"/>
      <c r="BG53" s="379">
        <f>_xlfn.XLOOKUP(BG52,$H$12:$H$20,$P$12:$P$20)</f>
        <v>17402.448979591838</v>
      </c>
      <c r="BH53" s="388"/>
      <c r="CC53" s="436"/>
    </row>
    <row r="54" spans="19:81" x14ac:dyDescent="0.2">
      <c r="S54" s="436"/>
      <c r="AY54" s="436"/>
      <c r="BA54" s="436"/>
      <c r="CC54" s="436"/>
    </row>
    <row r="55" spans="19:81" ht="16" customHeight="1" x14ac:dyDescent="0.2">
      <c r="S55" s="436"/>
      <c r="AY55" s="436"/>
      <c r="BA55" s="436"/>
      <c r="CC55" s="436"/>
    </row>
    <row r="56" spans="19:81" x14ac:dyDescent="0.2">
      <c r="S56" s="436"/>
      <c r="AY56" s="436"/>
      <c r="BA56" s="436"/>
      <c r="CC56" s="436"/>
    </row>
    <row r="57" spans="19:81" x14ac:dyDescent="0.2">
      <c r="S57" s="436"/>
      <c r="AY57" s="436"/>
      <c r="BA57" s="436"/>
      <c r="CC57" s="436"/>
    </row>
    <row r="58" spans="19:81" x14ac:dyDescent="0.2">
      <c r="S58" s="436"/>
      <c r="T58" s="436"/>
      <c r="U58" s="436"/>
      <c r="V58" s="436"/>
      <c r="W58" s="436"/>
      <c r="X58" s="436"/>
      <c r="Y58" s="436"/>
      <c r="Z58" s="436"/>
      <c r="AA58" s="436"/>
      <c r="AB58" s="436"/>
      <c r="AC58" s="436"/>
      <c r="AD58" s="436"/>
      <c r="AE58" s="436"/>
      <c r="AF58" s="436"/>
      <c r="AG58" s="436"/>
      <c r="AH58" s="436"/>
      <c r="AI58" s="436"/>
      <c r="AJ58" s="436"/>
      <c r="AK58" s="436"/>
      <c r="AL58" s="436"/>
      <c r="AM58" s="436"/>
      <c r="AN58" s="436"/>
      <c r="AO58" s="436"/>
      <c r="AP58" s="436"/>
      <c r="AQ58" s="436"/>
      <c r="AR58" s="436"/>
      <c r="AS58" s="436"/>
      <c r="AT58" s="436"/>
      <c r="AU58" s="436"/>
      <c r="AV58" s="436"/>
      <c r="AW58" s="436"/>
      <c r="AX58" s="436"/>
      <c r="AY58" s="436"/>
      <c r="BA58" s="436"/>
      <c r="BB58" s="436"/>
      <c r="BC58" s="436"/>
      <c r="BD58" s="436"/>
      <c r="BE58" s="436"/>
      <c r="BF58" s="436"/>
      <c r="BG58" s="436"/>
      <c r="BH58" s="436"/>
      <c r="BI58" s="436"/>
      <c r="BJ58" s="436"/>
      <c r="BK58" s="436"/>
      <c r="BL58" s="436"/>
      <c r="BM58" s="436"/>
      <c r="BN58" s="436"/>
      <c r="BO58" s="436"/>
      <c r="BP58" s="436"/>
      <c r="BQ58" s="436"/>
      <c r="BR58" s="436"/>
      <c r="BS58" s="436"/>
      <c r="BT58" s="436"/>
      <c r="BU58" s="436"/>
      <c r="BV58" s="436"/>
      <c r="BW58" s="436"/>
      <c r="BX58" s="436"/>
      <c r="BY58" s="436"/>
      <c r="BZ58" s="436"/>
      <c r="CA58" s="436"/>
      <c r="CB58" s="436"/>
      <c r="CC58" s="436"/>
    </row>
    <row r="59" spans="19:81" x14ac:dyDescent="0.2">
      <c r="S59" s="436"/>
      <c r="T59" s="436"/>
      <c r="U59" s="436"/>
      <c r="V59" s="436"/>
      <c r="W59" s="436"/>
      <c r="X59" s="436"/>
      <c r="Y59" s="436"/>
      <c r="Z59" s="436"/>
      <c r="AA59" s="436"/>
      <c r="AB59" s="436"/>
      <c r="AC59" s="436"/>
      <c r="AD59" s="436"/>
      <c r="AE59" s="436"/>
      <c r="AF59" s="436"/>
      <c r="AG59" s="436"/>
      <c r="AH59" s="436"/>
      <c r="AI59" s="436"/>
      <c r="AJ59" s="436"/>
      <c r="AK59" s="436"/>
      <c r="AL59" s="436"/>
      <c r="AM59" s="436"/>
      <c r="AN59" s="436"/>
      <c r="AO59" s="436"/>
      <c r="AP59" s="436"/>
      <c r="AQ59" s="436"/>
      <c r="AR59" s="436"/>
      <c r="AS59" s="436"/>
      <c r="AT59" s="436"/>
      <c r="AU59" s="436"/>
      <c r="AV59" s="436"/>
      <c r="AW59" s="436"/>
      <c r="AX59" s="436"/>
      <c r="AY59" s="436"/>
      <c r="BA59" s="436"/>
      <c r="BB59" s="436"/>
      <c r="BC59" s="436"/>
      <c r="BD59" s="436"/>
      <c r="BE59" s="436"/>
      <c r="BF59" s="436"/>
      <c r="BG59" s="436"/>
      <c r="BH59" s="436"/>
      <c r="BI59" s="436"/>
      <c r="BJ59" s="436"/>
      <c r="BK59" s="436"/>
      <c r="BL59" s="436"/>
      <c r="BM59" s="436"/>
      <c r="BN59" s="436"/>
      <c r="BO59" s="436"/>
      <c r="BP59" s="436"/>
      <c r="BQ59" s="436"/>
      <c r="BR59" s="436"/>
      <c r="BS59" s="436"/>
      <c r="BT59" s="436"/>
      <c r="BU59" s="436"/>
      <c r="BV59" s="436"/>
      <c r="BW59" s="436"/>
      <c r="BX59" s="436"/>
      <c r="BY59" s="436"/>
      <c r="BZ59" s="436"/>
      <c r="CA59" s="436"/>
      <c r="CB59" s="436"/>
      <c r="CC59" s="436"/>
    </row>
    <row r="61" spans="19:81" ht="16" customHeight="1" x14ac:dyDescent="0.2"/>
    <row r="62" spans="19:81" ht="16" customHeight="1" x14ac:dyDescent="0.2"/>
    <row r="63" spans="19:81" ht="15" customHeight="1" x14ac:dyDescent="0.2"/>
    <row r="64" spans="19:81" ht="15" customHeight="1" x14ac:dyDescent="0.2"/>
  </sheetData>
  <autoFilter ref="A1:P35" xr:uid="{00000000-0009-0000-0000-000001000000}">
    <filterColumn colId="7" showButton="0"/>
    <filterColumn colId="8" showButton="0"/>
    <filterColumn colId="9" showButton="0"/>
    <filterColumn colId="10" showButton="0"/>
    <filterColumn colId="11" showButton="0"/>
  </autoFilter>
  <mergeCells count="149">
    <mergeCell ref="BS14:BV14"/>
    <mergeCell ref="AS11:AV11"/>
    <mergeCell ref="X13:AC13"/>
    <mergeCell ref="AE13:AF13"/>
    <mergeCell ref="AH13:AI13"/>
    <mergeCell ref="AK13:AL13"/>
    <mergeCell ref="AN13:AQ13"/>
    <mergeCell ref="AS13:AV13"/>
    <mergeCell ref="X11:AC11"/>
    <mergeCell ref="AE11:AF11"/>
    <mergeCell ref="AH11:AI11"/>
    <mergeCell ref="AK11:AL11"/>
    <mergeCell ref="BB58:CB59"/>
    <mergeCell ref="CC4:CC59"/>
    <mergeCell ref="BA4:BA59"/>
    <mergeCell ref="S4:S59"/>
    <mergeCell ref="AY4:AY59"/>
    <mergeCell ref="T58:AX59"/>
    <mergeCell ref="T30:AX31"/>
    <mergeCell ref="BB30:CB31"/>
    <mergeCell ref="X12:AC12"/>
    <mergeCell ref="AE12:AF12"/>
    <mergeCell ref="AH12:AI12"/>
    <mergeCell ref="AK12:AL12"/>
    <mergeCell ref="AN12:AQ12"/>
    <mergeCell ref="BG25:BH25"/>
    <mergeCell ref="BS13:BV13"/>
    <mergeCell ref="BX13:CA13"/>
    <mergeCell ref="BG24:BH24"/>
    <mergeCell ref="BP13:BQ13"/>
    <mergeCell ref="BC13:BH13"/>
    <mergeCell ref="AI5:AL5"/>
    <mergeCell ref="AI6:AL6"/>
    <mergeCell ref="U10:V14"/>
    <mergeCell ref="BC9:CA10"/>
    <mergeCell ref="BN5:BQ5"/>
    <mergeCell ref="H21:M21"/>
    <mergeCell ref="F26:G27"/>
    <mergeCell ref="G22:M22"/>
    <mergeCell ref="X18:Y18"/>
    <mergeCell ref="AB18:AC18"/>
    <mergeCell ref="X20:Y20"/>
    <mergeCell ref="AB20:AC20"/>
    <mergeCell ref="F24:G25"/>
    <mergeCell ref="H26:L26"/>
    <mergeCell ref="F23:L23"/>
    <mergeCell ref="H27:L27"/>
    <mergeCell ref="H25:L25"/>
    <mergeCell ref="H24:L24"/>
    <mergeCell ref="H18:M18"/>
    <mergeCell ref="H19:M19"/>
    <mergeCell ref="M26:N26"/>
    <mergeCell ref="M23:N23"/>
    <mergeCell ref="M27:N27"/>
    <mergeCell ref="M25:N25"/>
    <mergeCell ref="M24:N24"/>
    <mergeCell ref="U17:V21"/>
    <mergeCell ref="X19:Y19"/>
    <mergeCell ref="AB19:AC19"/>
    <mergeCell ref="BL20:BM20"/>
    <mergeCell ref="BL19:BM19"/>
    <mergeCell ref="H1:M1"/>
    <mergeCell ref="H14:M14"/>
    <mergeCell ref="H7:M7"/>
    <mergeCell ref="H9:M9"/>
    <mergeCell ref="H2:M2"/>
    <mergeCell ref="H12:M12"/>
    <mergeCell ref="H13:M13"/>
    <mergeCell ref="H8:M8"/>
    <mergeCell ref="H10:M10"/>
    <mergeCell ref="H4:M4"/>
    <mergeCell ref="H5:M5"/>
    <mergeCell ref="H6:M6"/>
    <mergeCell ref="H11:M11"/>
    <mergeCell ref="H15:M15"/>
    <mergeCell ref="H16:M16"/>
    <mergeCell ref="H20:M20"/>
    <mergeCell ref="H17:M17"/>
    <mergeCell ref="BA2:CC3"/>
    <mergeCell ref="S2:AY3"/>
    <mergeCell ref="BN6:BQ6"/>
    <mergeCell ref="BM14:BN14"/>
    <mergeCell ref="BP14:BQ14"/>
    <mergeCell ref="BC53:BD53"/>
    <mergeCell ref="BG53:BH53"/>
    <mergeCell ref="BX42:CA42"/>
    <mergeCell ref="BC42:BH42"/>
    <mergeCell ref="BJ42:BK42"/>
    <mergeCell ref="BM42:BN42"/>
    <mergeCell ref="BP42:BQ42"/>
    <mergeCell ref="BS42:BV42"/>
    <mergeCell ref="AN41:AQ41"/>
    <mergeCell ref="AS41:AV41"/>
    <mergeCell ref="BL50:BM50"/>
    <mergeCell ref="BG52:BH52"/>
    <mergeCell ref="BC52:BD52"/>
    <mergeCell ref="BL51:BM51"/>
    <mergeCell ref="BC41:BH41"/>
    <mergeCell ref="BJ41:BK41"/>
    <mergeCell ref="BM41:BN41"/>
    <mergeCell ref="BP41:BQ41"/>
    <mergeCell ref="BS41:BV41"/>
    <mergeCell ref="BX41:CA41"/>
    <mergeCell ref="U45:V49"/>
    <mergeCell ref="X46:Y46"/>
    <mergeCell ref="AB46:AC46"/>
    <mergeCell ref="X47:Y47"/>
    <mergeCell ref="AB47:AC47"/>
    <mergeCell ref="X48:Y48"/>
    <mergeCell ref="AB48:AC48"/>
    <mergeCell ref="AI33:AL33"/>
    <mergeCell ref="AI34:AL34"/>
    <mergeCell ref="U38:V42"/>
    <mergeCell ref="X39:AC39"/>
    <mergeCell ref="AE39:AF39"/>
    <mergeCell ref="AH39:AI39"/>
    <mergeCell ref="AK39:AL39"/>
    <mergeCell ref="X40:AC40"/>
    <mergeCell ref="AE40:AF40"/>
    <mergeCell ref="AH40:AI40"/>
    <mergeCell ref="AK40:AL40"/>
    <mergeCell ref="X41:AC41"/>
    <mergeCell ref="AE41:AF41"/>
    <mergeCell ref="AH41:AI41"/>
    <mergeCell ref="AK41:AL41"/>
    <mergeCell ref="BL22:BM22"/>
    <mergeCell ref="BL23:BM23"/>
    <mergeCell ref="BC48:BH49"/>
    <mergeCell ref="BL47:BM47"/>
    <mergeCell ref="BL48:BM48"/>
    <mergeCell ref="BI48:BJ48"/>
    <mergeCell ref="AN11:AQ11"/>
    <mergeCell ref="AS12:AV12"/>
    <mergeCell ref="AN39:AQ39"/>
    <mergeCell ref="AS39:AV39"/>
    <mergeCell ref="AN40:AQ40"/>
    <mergeCell ref="AS40:AV40"/>
    <mergeCell ref="BJ13:BK13"/>
    <mergeCell ref="BM13:BN13"/>
    <mergeCell ref="BC14:BH14"/>
    <mergeCell ref="BJ14:BK14"/>
    <mergeCell ref="BN34:BQ34"/>
    <mergeCell ref="BC37:CA38"/>
    <mergeCell ref="BX14:CA14"/>
    <mergeCell ref="BN33:BQ33"/>
    <mergeCell ref="BC25:BD25"/>
    <mergeCell ref="BC24:BD24"/>
    <mergeCell ref="BC20:BH21"/>
    <mergeCell ref="BI20:BJ20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0"/>
  <sheetViews>
    <sheetView zoomScale="85" zoomScaleNormal="85" workbookViewId="0">
      <pane xSplit="11" ySplit="6" topLeftCell="L7" activePane="bottomRight" state="frozen"/>
      <selection pane="topRight" activeCell="M1" sqref="M1"/>
      <selection pane="bottomLeft" activeCell="A7" sqref="A7"/>
      <selection pane="bottomRight" activeCell="M29" sqref="M29"/>
    </sheetView>
  </sheetViews>
  <sheetFormatPr baseColWidth="10" defaultColWidth="8.83203125" defaultRowHeight="15" x14ac:dyDescent="0.2"/>
  <cols>
    <col min="3" max="3" width="14.1640625" customWidth="1"/>
    <col min="8" max="8" width="9.1640625" customWidth="1"/>
    <col min="9" max="9" width="9.33203125" customWidth="1"/>
    <col min="10" max="10" width="9" customWidth="1"/>
    <col min="11" max="11" width="10.33203125" customWidth="1"/>
    <col min="12" max="22" width="14.83203125" customWidth="1"/>
  </cols>
  <sheetData>
    <row r="1" spans="1:22" ht="14.5" customHeight="1" x14ac:dyDescent="0.2">
      <c r="A1" s="452" t="s">
        <v>154</v>
      </c>
      <c r="B1" s="452"/>
      <c r="C1" s="452"/>
      <c r="D1" s="11">
        <f>D2+D3</f>
        <v>43506.122448979593</v>
      </c>
      <c r="E1" s="466" t="s">
        <v>155</v>
      </c>
      <c r="F1" s="466"/>
      <c r="G1" s="1">
        <f>'$_DATI_DI_BASE'!N8</f>
        <v>330</v>
      </c>
      <c r="H1" s="3"/>
      <c r="I1" s="1"/>
      <c r="L1" s="248" t="s">
        <v>156</v>
      </c>
      <c r="M1" s="248" t="s">
        <v>157</v>
      </c>
      <c r="N1" s="248" t="s">
        <v>158</v>
      </c>
      <c r="O1" s="248" t="s">
        <v>159</v>
      </c>
      <c r="P1" s="463" t="s">
        <v>160</v>
      </c>
      <c r="Q1" s="461" t="s">
        <v>161</v>
      </c>
      <c r="R1" s="456" t="s">
        <v>162</v>
      </c>
      <c r="S1" s="456" t="s">
        <v>163</v>
      </c>
      <c r="T1" s="248" t="s">
        <v>164</v>
      </c>
      <c r="U1" s="248" t="s">
        <v>165</v>
      </c>
      <c r="V1" s="248" t="s">
        <v>166</v>
      </c>
    </row>
    <row r="2" spans="1:22" ht="14.5" customHeight="1" x14ac:dyDescent="0.2">
      <c r="A2" s="460" t="s">
        <v>167</v>
      </c>
      <c r="B2" s="460"/>
      <c r="C2" s="460"/>
      <c r="D2" s="11">
        <f>'$_FABBISOGNI'!P4</f>
        <v>26103.673469387755</v>
      </c>
      <c r="E2" s="466" t="s">
        <v>168</v>
      </c>
      <c r="F2" s="466"/>
      <c r="G2" s="1">
        <v>22</v>
      </c>
      <c r="I2" s="1"/>
      <c r="L2" s="248"/>
      <c r="M2" s="248"/>
      <c r="N2" s="248"/>
      <c r="O2" s="230"/>
      <c r="P2" s="464"/>
      <c r="Q2" s="462"/>
      <c r="R2" s="457"/>
      <c r="S2" s="457"/>
      <c r="T2" s="230"/>
      <c r="U2" s="230"/>
      <c r="V2" s="230"/>
    </row>
    <row r="3" spans="1:22" ht="14.5" customHeight="1" x14ac:dyDescent="0.2">
      <c r="A3" s="460" t="s">
        <v>169</v>
      </c>
      <c r="B3" s="460"/>
      <c r="C3" s="460"/>
      <c r="D3" s="11">
        <f>'$_FABBISOGNI'!P13</f>
        <v>17402.448979591838</v>
      </c>
      <c r="E3" s="466" t="s">
        <v>170</v>
      </c>
      <c r="F3" s="466"/>
      <c r="G3" s="1">
        <f>'$_DATI_DI_BASE'!N7</f>
        <v>15</v>
      </c>
      <c r="I3" s="1"/>
      <c r="L3" s="248"/>
      <c r="M3" s="248"/>
      <c r="N3" s="248"/>
      <c r="O3" s="230"/>
      <c r="P3" s="464"/>
      <c r="Q3" s="462"/>
      <c r="R3" s="457"/>
      <c r="S3" s="457"/>
      <c r="T3" s="230"/>
      <c r="U3" s="230"/>
      <c r="V3" s="230"/>
    </row>
    <row r="4" spans="1:22" ht="14.5" customHeight="1" x14ac:dyDescent="0.2">
      <c r="A4" s="230" t="s">
        <v>116</v>
      </c>
      <c r="B4" s="230"/>
      <c r="C4" s="257" t="s">
        <v>142</v>
      </c>
      <c r="D4" s="257" t="s">
        <v>71</v>
      </c>
      <c r="E4" s="257"/>
      <c r="F4" s="257"/>
      <c r="G4" s="257"/>
      <c r="H4" s="257"/>
      <c r="I4" s="236" t="s">
        <v>171</v>
      </c>
      <c r="J4" s="236"/>
      <c r="K4" s="467" t="s">
        <v>172</v>
      </c>
      <c r="L4" s="248"/>
      <c r="M4" s="248"/>
      <c r="N4" s="230"/>
      <c r="O4" s="230"/>
      <c r="P4" s="464"/>
      <c r="Q4" s="462"/>
      <c r="R4" s="457"/>
      <c r="S4" s="457"/>
      <c r="T4" s="230"/>
      <c r="U4" s="230"/>
      <c r="V4" s="230"/>
    </row>
    <row r="5" spans="1:22" ht="14.5" customHeight="1" x14ac:dyDescent="0.2">
      <c r="A5" s="230"/>
      <c r="B5" s="230"/>
      <c r="C5" s="257"/>
      <c r="D5" s="257"/>
      <c r="E5" s="257"/>
      <c r="F5" s="257"/>
      <c r="G5" s="257"/>
      <c r="H5" s="257"/>
      <c r="I5" s="24" t="s">
        <v>173</v>
      </c>
      <c r="J5" s="24" t="s">
        <v>174</v>
      </c>
      <c r="K5" s="467"/>
      <c r="L5" s="248"/>
      <c r="M5" s="248"/>
      <c r="N5" s="230"/>
      <c r="O5" s="230"/>
      <c r="P5" s="465"/>
      <c r="Q5" s="462"/>
      <c r="R5" s="458"/>
      <c r="S5" s="458"/>
      <c r="T5" s="230"/>
      <c r="U5" s="230"/>
      <c r="V5" s="230"/>
    </row>
    <row r="6" spans="1:22" x14ac:dyDescent="0.2">
      <c r="A6" s="452"/>
      <c r="B6" s="452"/>
      <c r="C6" s="452"/>
      <c r="D6" s="452"/>
      <c r="E6" s="452"/>
      <c r="F6" s="452"/>
      <c r="G6" s="452"/>
      <c r="H6" s="452"/>
      <c r="I6" s="452"/>
      <c r="J6" s="452"/>
      <c r="K6" s="452"/>
    </row>
    <row r="7" spans="1:22" ht="14.5" customHeight="1" x14ac:dyDescent="0.2">
      <c r="A7" s="248" t="s">
        <v>52</v>
      </c>
      <c r="B7" s="248"/>
      <c r="C7" s="37" t="str">
        <f>'$_FABBISOGNI'!F3</f>
        <v>INT_ASS_001</v>
      </c>
      <c r="D7" s="453" t="str">
        <f>'$_DATI_DI_BASE'!I39</f>
        <v>PLANCIA SEGMENTO A1</v>
      </c>
      <c r="E7" s="454"/>
      <c r="F7" s="454"/>
      <c r="G7" s="454"/>
      <c r="H7" s="455"/>
      <c r="I7" s="131">
        <f>_xlfn.XLOOKUP($D7,'$_FABBISOGNI'!$H$3:$H$20,'$_FABBISOGNI'!$P$3:$P$20)</f>
        <v>25581.599999999999</v>
      </c>
      <c r="J7" s="131"/>
      <c r="K7" s="131">
        <f>SUM($I7:$J7)</f>
        <v>25581.599999999999</v>
      </c>
      <c r="L7" s="132">
        <f>_xlfn.XLOOKUP($D7,'$_FABBISOGNI'!$H$24:$H$27,'$_FABBISOGNI'!$P$24:$P$27)</f>
        <v>3654.5142857142855</v>
      </c>
      <c r="M7" s="127">
        <v>0</v>
      </c>
      <c r="N7" s="133">
        <f>_xlfn.XLOOKUP($D7,'$_DATI_DI_BASE'!$E$106:$E$109,'$_DATI_DI_BASE'!$P$106:$P$109)</f>
        <v>2.5</v>
      </c>
      <c r="O7" s="134">
        <f>$G$3*$G$2*60</f>
        <v>19800</v>
      </c>
      <c r="P7" s="135">
        <f>O7*'$_DATI_DI_BASE'!I17</f>
        <v>19404</v>
      </c>
      <c r="Q7" s="135">
        <f>M7*'$_FABBISOGNI'!O24</f>
        <v>0</v>
      </c>
      <c r="R7" s="135">
        <f>P7-Q7</f>
        <v>19404</v>
      </c>
      <c r="S7" s="136">
        <f>R7*_xlfn.XLOOKUP($A$7,'$_DATI_DI_BASE'!$E$17:$E$20,'$_DATI_DI_BASE'!$J$17:$J$20)</f>
        <v>18821.88</v>
      </c>
      <c r="T7" s="137">
        <f>$S7/$K$7</f>
        <v>0.73575851393188862</v>
      </c>
      <c r="U7" s="133">
        <f>$N7/$T7</f>
        <v>3.3978539869556066</v>
      </c>
      <c r="V7" s="138">
        <f>ROUNDUP($U7,0)</f>
        <v>4</v>
      </c>
    </row>
    <row r="8" spans="1:22" ht="14.5" customHeight="1" x14ac:dyDescent="0.2">
      <c r="A8" s="248"/>
      <c r="B8" s="248"/>
      <c r="C8" s="37" t="str">
        <f>'$_DATI_DI_BASE'!F49</f>
        <v>INT_ASS_002</v>
      </c>
      <c r="D8" s="234" t="str">
        <f>'$_DATI_DI_BASE'!I49</f>
        <v>PLANCIA SEGMENTO B</v>
      </c>
      <c r="E8" s="234"/>
      <c r="F8" s="234"/>
      <c r="G8" s="234"/>
      <c r="H8" s="234"/>
      <c r="I8" s="131"/>
      <c r="J8" s="131">
        <f>_xlfn.XLOOKUP($D8,'$_FABBISOGNI'!$H$3:$H$20,'$_FABBISOGNI'!$P$3:$P$20)</f>
        <v>17054.400000000001</v>
      </c>
      <c r="K8" s="131">
        <f>SUM($I8:$J8)</f>
        <v>17054.400000000001</v>
      </c>
      <c r="L8" s="132">
        <f>_xlfn.XLOOKUP($D8,'$_FABBISOGNI'!$H$24:$H$27,'$_FABBISOGNI'!$P$24:$P$27)</f>
        <v>2436.3428571428572</v>
      </c>
      <c r="M8" s="127">
        <v>0</v>
      </c>
      <c r="N8" s="133">
        <f>_xlfn.XLOOKUP($D8,'$_DATI_DI_BASE'!$E$106:$E$109,'$_DATI_DI_BASE'!$P$106:$P$109)</f>
        <v>2.5</v>
      </c>
      <c r="O8" s="134">
        <f t="shared" ref="O8:O11" si="0">$G$3*$G$2*60</f>
        <v>19800</v>
      </c>
      <c r="P8" s="135">
        <f>O8*'$_DATI_DI_BASE'!I17</f>
        <v>19404</v>
      </c>
      <c r="Q8" s="135">
        <f>M8*'$_FABBISOGNI'!O25</f>
        <v>0</v>
      </c>
      <c r="R8" s="135">
        <f>P8-Q8</f>
        <v>19404</v>
      </c>
      <c r="S8" s="136">
        <f>R8*_xlfn.XLOOKUP($A$7,'$_DATI_DI_BASE'!$E$17:$E$20,'$_DATI_DI_BASE'!$J$17:$J$20)</f>
        <v>18821.88</v>
      </c>
      <c r="T8" s="137">
        <f>S8/$K$8</f>
        <v>1.1036377708978329</v>
      </c>
      <c r="U8" s="133">
        <f t="shared" ref="U8:U11" si="1">$N8/$T8</f>
        <v>2.2652359913037379</v>
      </c>
      <c r="V8" s="138">
        <f>ROUNDUP($U8,0)</f>
        <v>3</v>
      </c>
    </row>
    <row r="9" spans="1:22" x14ac:dyDescent="0.2">
      <c r="A9" s="459"/>
      <c r="B9" s="459"/>
      <c r="C9" s="459"/>
      <c r="D9" s="459"/>
      <c r="E9" s="459"/>
      <c r="F9" s="459"/>
      <c r="G9" s="459"/>
      <c r="H9" s="459"/>
      <c r="I9" s="459"/>
      <c r="J9" s="459"/>
      <c r="K9" s="459"/>
      <c r="L9" s="1"/>
      <c r="M9" s="1"/>
      <c r="N9" s="4"/>
      <c r="P9" s="25"/>
      <c r="R9" s="25"/>
      <c r="T9" s="14"/>
      <c r="U9" s="14"/>
    </row>
    <row r="10" spans="1:22" ht="19" customHeight="1" x14ac:dyDescent="0.2">
      <c r="A10" s="248" t="s">
        <v>59</v>
      </c>
      <c r="B10" s="248"/>
      <c r="C10" s="37" t="str">
        <f>'$_DATI_DI_BASE'!F40</f>
        <v>INT_SAL_001</v>
      </c>
      <c r="D10" s="234" t="str">
        <f>'$_FABBISOGNI'!H4</f>
        <v>(CORPO + INSERTO) PLANCIA SEGMENTO A1</v>
      </c>
      <c r="E10" s="234"/>
      <c r="F10" s="234"/>
      <c r="G10" s="234"/>
      <c r="H10" s="234"/>
      <c r="I10" s="131">
        <f>_xlfn.XLOOKUP($D10,'$_FABBISOGNI'!$H$3:$H$20,'$_FABBISOGNI'!$P$3:$P$20)</f>
        <v>26103.673469387755</v>
      </c>
      <c r="J10" s="131"/>
      <c r="K10" s="131">
        <f t="shared" ref="K10:K11" si="2">SUM($I10:$J10)</f>
        <v>26103.673469387755</v>
      </c>
      <c r="L10" s="132">
        <f>_xlfn.XLOOKUP($D10,'$_FABBISOGNI'!$H$24:$H$27,'$_FABBISOGNI'!$P$24:$P$27)</f>
        <v>6525.9183673469388</v>
      </c>
      <c r="M10" s="127">
        <f>_xlfn.XLOOKUP($D10,'$_DATI_DI_BASE'!$E$106:$E$109,'$_DATI_DI_BASE'!$N$106:$N$109)</f>
        <v>45</v>
      </c>
      <c r="N10" s="133">
        <f>_xlfn.XLOOKUP($D10,'$_DATI_DI_BASE'!$E$106:$E$109,'$_DATI_DI_BASE'!$P$106:$P$109)</f>
        <v>2</v>
      </c>
      <c r="O10" s="134">
        <f t="shared" si="0"/>
        <v>19800</v>
      </c>
      <c r="P10" s="135">
        <f>O10*'$_DATI_DI_BASE'!I19</f>
        <v>19206</v>
      </c>
      <c r="Q10" s="135">
        <f>M10*'$_FABBISOGNI'!O26</f>
        <v>180</v>
      </c>
      <c r="R10" s="135">
        <f>P10-Q10</f>
        <v>19026</v>
      </c>
      <c r="S10" s="136">
        <f>R10*_xlfn.XLOOKUP($A$10,'$_DATI_DI_BASE'!$E$17:$E$20,'$_DATI_DI_BASE'!$J$17:$J$20)</f>
        <v>17884.439999999999</v>
      </c>
      <c r="T10" s="137">
        <f>$S10/$K$10</f>
        <v>0.68513115676892766</v>
      </c>
      <c r="U10" s="133">
        <f t="shared" si="1"/>
        <v>2.9191491004904551</v>
      </c>
      <c r="V10" s="468">
        <f>ROUNDUP(SUM($U$10:$U$11),0)</f>
        <v>5</v>
      </c>
    </row>
    <row r="11" spans="1:22" ht="19" customHeight="1" x14ac:dyDescent="0.2">
      <c r="A11" s="248"/>
      <c r="B11" s="248"/>
      <c r="C11" s="37" t="str">
        <f>'$_DATI_DI_BASE'!F50</f>
        <v>INT_SAL_002</v>
      </c>
      <c r="D11" s="234" t="str">
        <f>'$_FABBISOGNI'!H13</f>
        <v>(CORPO + INSERTO) PLANCIA SEGMENTO B</v>
      </c>
      <c r="E11" s="234"/>
      <c r="F11" s="234"/>
      <c r="G11" s="234"/>
      <c r="H11" s="234"/>
      <c r="I11" s="131"/>
      <c r="J11" s="131">
        <f>_xlfn.XLOOKUP($D11,'$_FABBISOGNI'!$H$3:$H$20,'$_FABBISOGNI'!$P$3:$P$20)</f>
        <v>17402.448979591838</v>
      </c>
      <c r="K11" s="131">
        <f t="shared" si="2"/>
        <v>17402.448979591838</v>
      </c>
      <c r="L11" s="132">
        <f>_xlfn.XLOOKUP($D11,'$_FABBISOGNI'!$H$24:$H$27,'$_FABBISOGNI'!$P$24:$P$27)</f>
        <v>4350.6122448979595</v>
      </c>
      <c r="M11" s="127">
        <f>_xlfn.XLOOKUP($D11,'$_DATI_DI_BASE'!$E$106:$E$109,'$_DATI_DI_BASE'!$N$106:$N$109)</f>
        <v>60</v>
      </c>
      <c r="N11" s="133">
        <f>_xlfn.XLOOKUP($D11,'$_DATI_DI_BASE'!$E$106:$E$109,'$_DATI_DI_BASE'!$P$106:$P$109)</f>
        <v>2</v>
      </c>
      <c r="O11" s="134">
        <f t="shared" si="0"/>
        <v>19800</v>
      </c>
      <c r="P11" s="135">
        <f>O11*'$_DATI_DI_BASE'!I19</f>
        <v>19206</v>
      </c>
      <c r="Q11" s="135">
        <f>M11*'$_FABBISOGNI'!O27</f>
        <v>240</v>
      </c>
      <c r="R11" s="135">
        <f>P11-Q11</f>
        <v>18966</v>
      </c>
      <c r="S11" s="136">
        <f>R11*_xlfn.XLOOKUP($A$10,'$_DATI_DI_BASE'!$E$17:$E$20,'$_DATI_DI_BASE'!$J$17:$J$20)</f>
        <v>17828.039999999997</v>
      </c>
      <c r="T11" s="137">
        <f>S11/$K$11</f>
        <v>1.0244558119898675</v>
      </c>
      <c r="U11" s="133">
        <f t="shared" si="1"/>
        <v>1.9522559944437909</v>
      </c>
      <c r="V11" s="469"/>
    </row>
    <row r="12" spans="1:22" x14ac:dyDescent="0.2">
      <c r="L12" s="1"/>
      <c r="M12" s="1"/>
      <c r="N12" s="4"/>
    </row>
    <row r="13" spans="1:22" x14ac:dyDescent="0.2">
      <c r="A13" s="3"/>
      <c r="B13" s="3"/>
      <c r="I13" s="2"/>
      <c r="J13" s="2"/>
      <c r="K13" s="2"/>
      <c r="L13" s="1"/>
      <c r="M13" s="1"/>
      <c r="N13" s="4"/>
    </row>
    <row r="14" spans="1:22" ht="27.75" customHeight="1" x14ac:dyDescent="0.2">
      <c r="A14" s="230" t="s">
        <v>116</v>
      </c>
      <c r="B14" s="230"/>
      <c r="C14" s="257" t="s">
        <v>142</v>
      </c>
      <c r="D14" s="257" t="s">
        <v>71</v>
      </c>
      <c r="E14" s="257"/>
      <c r="F14" s="257"/>
      <c r="G14" s="257"/>
      <c r="H14" s="257"/>
      <c r="I14" s="236" t="s">
        <v>171</v>
      </c>
      <c r="J14" s="236"/>
      <c r="K14" s="467" t="s">
        <v>172</v>
      </c>
      <c r="L14" s="248" t="s">
        <v>175</v>
      </c>
      <c r="M14" s="471" t="s">
        <v>176</v>
      </c>
      <c r="N14" s="473" t="s">
        <v>177</v>
      </c>
      <c r="O14" s="441" t="s">
        <v>178</v>
      </c>
      <c r="P14" s="441" t="s">
        <v>179</v>
      </c>
      <c r="Q14" s="448" t="s">
        <v>180</v>
      </c>
      <c r="R14" s="448" t="s">
        <v>181</v>
      </c>
      <c r="S14" s="441" t="s">
        <v>182</v>
      </c>
      <c r="T14" s="448" t="s">
        <v>183</v>
      </c>
      <c r="U14" s="448" t="s">
        <v>184</v>
      </c>
      <c r="V14" s="441" t="s">
        <v>185</v>
      </c>
    </row>
    <row r="15" spans="1:22" ht="27.75" customHeight="1" x14ac:dyDescent="0.2">
      <c r="A15" s="230"/>
      <c r="B15" s="230"/>
      <c r="C15" s="257"/>
      <c r="D15" s="257"/>
      <c r="E15" s="257"/>
      <c r="F15" s="257"/>
      <c r="G15" s="257"/>
      <c r="H15" s="257"/>
      <c r="I15" s="24" t="s">
        <v>173</v>
      </c>
      <c r="J15" s="24" t="s">
        <v>174</v>
      </c>
      <c r="K15" s="467"/>
      <c r="L15" s="230"/>
      <c r="M15" s="472"/>
      <c r="N15" s="474"/>
      <c r="O15" s="442"/>
      <c r="P15" s="442"/>
      <c r="Q15" s="449"/>
      <c r="R15" s="449"/>
      <c r="S15" s="442"/>
      <c r="T15" s="449"/>
      <c r="U15" s="449"/>
      <c r="V15" s="442"/>
    </row>
    <row r="16" spans="1:22" x14ac:dyDescent="0.2">
      <c r="A16" s="452"/>
      <c r="B16" s="452"/>
      <c r="C16" s="452"/>
      <c r="D16" s="452"/>
      <c r="E16" s="452"/>
      <c r="F16" s="452"/>
      <c r="G16" s="452"/>
      <c r="H16" s="452"/>
      <c r="I16" s="452"/>
      <c r="J16" s="452"/>
      <c r="K16" s="452"/>
      <c r="L16" s="1"/>
    </row>
    <row r="17" spans="1:25" x14ac:dyDescent="0.2">
      <c r="A17" s="248" t="s">
        <v>52</v>
      </c>
      <c r="B17" s="248"/>
      <c r="C17" s="37" t="str">
        <f>C7</f>
        <v>INT_ASS_001</v>
      </c>
      <c r="D17" s="234" t="str">
        <f>D7</f>
        <v>PLANCIA SEGMENTO A1</v>
      </c>
      <c r="E17" s="234"/>
      <c r="F17" s="234"/>
      <c r="G17" s="234"/>
      <c r="H17" s="234"/>
      <c r="I17" s="139">
        <f>_xlfn.XLOOKUP($D17,'$_FABBISOGNI'!$H$3:$H$20,'$_FABBISOGNI'!$P$3:$P$20)</f>
        <v>25581.599999999999</v>
      </c>
      <c r="J17" s="131"/>
      <c r="K17" s="131">
        <f t="shared" ref="K17:K18" si="3">SUM($I17:$J17)</f>
        <v>25581.599999999999</v>
      </c>
      <c r="L17" s="168">
        <f>'$_OP_MONTAGGIO (TIPO A1)'!P22/'$_MACCHINE'!T7</f>
        <v>12.450846067746685</v>
      </c>
      <c r="M17" s="133">
        <f>V7</f>
        <v>4</v>
      </c>
      <c r="N17" s="140">
        <f>4</f>
        <v>4</v>
      </c>
      <c r="O17" s="166">
        <f>O7*N17*M17</f>
        <v>316800</v>
      </c>
      <c r="P17" s="167">
        <f>R7*N17*M17</f>
        <v>310464</v>
      </c>
      <c r="Q17" s="141">
        <f>P17/O17</f>
        <v>0.98</v>
      </c>
      <c r="R17" s="450">
        <f>'$_DATI_DI_BASE'!J17</f>
        <v>0.97</v>
      </c>
      <c r="S17" s="165">
        <f>L17/(N17*M17)</f>
        <v>0.77817787923416781</v>
      </c>
      <c r="T17" s="163">
        <f>R17*S17</f>
        <v>0.75483254285714274</v>
      </c>
      <c r="U17" s="146">
        <f>'$_DATI_DI_BASE'!$K$17</f>
        <v>1</v>
      </c>
      <c r="V17" s="164">
        <f>U17*T17*Q17</f>
        <v>0.73973589199999989</v>
      </c>
    </row>
    <row r="18" spans="1:25" x14ac:dyDescent="0.2">
      <c r="A18" s="248"/>
      <c r="B18" s="248"/>
      <c r="C18" s="37" t="str">
        <f>C8</f>
        <v>INT_ASS_002</v>
      </c>
      <c r="D18" s="234" t="str">
        <f>D8</f>
        <v>PLANCIA SEGMENTO B</v>
      </c>
      <c r="E18" s="234"/>
      <c r="F18" s="234"/>
      <c r="G18" s="234"/>
      <c r="H18" s="234"/>
      <c r="I18" s="142"/>
      <c r="J18" s="131">
        <f>_xlfn.XLOOKUP($D18,'$_FABBISOGNI'!$H$3:$H$20,'$_FABBISOGNI'!$P$3:$P$20)</f>
        <v>17054.400000000001</v>
      </c>
      <c r="K18" s="131">
        <f t="shared" si="3"/>
        <v>17054.400000000001</v>
      </c>
      <c r="L18" s="168">
        <f>'$_OP_MONTAGGIO (TIPO B)'!P26/'$_MACCHINE'!T8</f>
        <v>12.151015807560135</v>
      </c>
      <c r="M18" s="133">
        <f>V8</f>
        <v>3</v>
      </c>
      <c r="N18" s="140">
        <v>9</v>
      </c>
      <c r="O18" s="166">
        <f>O8*N18*M18</f>
        <v>534600</v>
      </c>
      <c r="P18" s="167">
        <f>R8*N18*M18</f>
        <v>523908</v>
      </c>
      <c r="Q18" s="141">
        <f>P18/O18</f>
        <v>0.98</v>
      </c>
      <c r="R18" s="451"/>
      <c r="S18" s="165">
        <f>L18/(N18*M18)</f>
        <v>0.45003762250222723</v>
      </c>
      <c r="T18" s="163">
        <f>R17*S18</f>
        <v>0.43653649382716042</v>
      </c>
      <c r="U18" s="146">
        <f>'$_DATI_DI_BASE'!$K$17</f>
        <v>1</v>
      </c>
      <c r="V18" s="164">
        <f>U18*T18*Q18</f>
        <v>0.4278057639506172</v>
      </c>
    </row>
    <row r="19" spans="1:25" x14ac:dyDescent="0.2">
      <c r="A19" s="27"/>
      <c r="B19" s="27"/>
      <c r="C19" s="55"/>
      <c r="D19" s="54"/>
      <c r="E19" s="54"/>
      <c r="F19" s="54"/>
      <c r="G19" s="54"/>
      <c r="H19" s="54"/>
      <c r="I19" s="55"/>
      <c r="J19" s="2"/>
      <c r="K19" s="2"/>
      <c r="L19" s="8"/>
      <c r="M19" s="65"/>
      <c r="N19" s="143" t="s">
        <v>186</v>
      </c>
      <c r="O19" s="166">
        <f>SUM(O17:O18)</f>
        <v>851400</v>
      </c>
      <c r="P19" s="166">
        <f>SUM(P17:P18)</f>
        <v>834372</v>
      </c>
      <c r="Q19" s="141">
        <f>P19/O19</f>
        <v>0.98</v>
      </c>
      <c r="R19" s="144">
        <f>R17</f>
        <v>0.97</v>
      </c>
      <c r="S19" s="165">
        <f>SUM(L17:L18)/(M17*N17+M18*N18)</f>
        <v>0.57213632268155401</v>
      </c>
      <c r="T19" s="163">
        <f>S19*R19</f>
        <v>0.55497223300110743</v>
      </c>
      <c r="U19" s="162">
        <f>'$_DATI_DI_BASE'!$K$17</f>
        <v>1</v>
      </c>
      <c r="V19" s="164">
        <f>U19*T19*Q19</f>
        <v>0.54387278834108532</v>
      </c>
      <c r="Y19">
        <f>(K17*N7+N8*K18)/(O7*(M17*N17+M18*N18))</f>
        <v>0.1251937984496124</v>
      </c>
    </row>
    <row r="20" spans="1:25" x14ac:dyDescent="0.2">
      <c r="A20" s="27"/>
      <c r="B20" s="27"/>
      <c r="C20" s="55"/>
      <c r="D20" s="54"/>
      <c r="E20" s="54"/>
      <c r="F20" s="54"/>
      <c r="G20" s="54"/>
      <c r="H20" s="54"/>
      <c r="I20" s="55"/>
      <c r="J20" s="2"/>
      <c r="K20" s="2"/>
      <c r="T20" s="3"/>
      <c r="U20" s="3"/>
    </row>
    <row r="21" spans="1:25" ht="27" customHeight="1" x14ac:dyDescent="0.2">
      <c r="A21" s="230" t="s">
        <v>116</v>
      </c>
      <c r="B21" s="230"/>
      <c r="C21" s="257" t="s">
        <v>142</v>
      </c>
      <c r="D21" s="257" t="s">
        <v>71</v>
      </c>
      <c r="E21" s="257"/>
      <c r="F21" s="257"/>
      <c r="G21" s="257"/>
      <c r="H21" s="257"/>
      <c r="I21" s="236" t="s">
        <v>171</v>
      </c>
      <c r="J21" s="236"/>
      <c r="K21" s="467" t="s">
        <v>172</v>
      </c>
      <c r="L21" s="248" t="s">
        <v>175</v>
      </c>
      <c r="M21" s="248" t="s">
        <v>187</v>
      </c>
      <c r="N21" s="248"/>
      <c r="O21" s="248" t="s">
        <v>188</v>
      </c>
      <c r="P21" s="441" t="s">
        <v>189</v>
      </c>
      <c r="Q21" s="448" t="s">
        <v>190</v>
      </c>
      <c r="R21" s="448" t="s">
        <v>181</v>
      </c>
      <c r="S21" s="448" t="s">
        <v>191</v>
      </c>
      <c r="T21" s="448" t="s">
        <v>192</v>
      </c>
      <c r="U21" s="448" t="s">
        <v>184</v>
      </c>
      <c r="V21" s="448" t="s">
        <v>193</v>
      </c>
    </row>
    <row r="22" spans="1:25" ht="27" customHeight="1" x14ac:dyDescent="0.2">
      <c r="A22" s="230"/>
      <c r="B22" s="230"/>
      <c r="C22" s="257"/>
      <c r="D22" s="257"/>
      <c r="E22" s="257"/>
      <c r="F22" s="257"/>
      <c r="G22" s="257"/>
      <c r="H22" s="257"/>
      <c r="I22" s="24" t="s">
        <v>173</v>
      </c>
      <c r="J22" s="24" t="s">
        <v>174</v>
      </c>
      <c r="K22" s="467"/>
      <c r="L22" s="230"/>
      <c r="M22" s="248"/>
      <c r="N22" s="248"/>
      <c r="O22" s="248"/>
      <c r="P22" s="442"/>
      <c r="Q22" s="449"/>
      <c r="R22" s="449"/>
      <c r="S22" s="449"/>
      <c r="T22" s="449"/>
      <c r="U22" s="449"/>
      <c r="V22" s="449"/>
    </row>
    <row r="23" spans="1:25" x14ac:dyDescent="0.2">
      <c r="A23" s="396"/>
      <c r="B23" s="396"/>
      <c r="C23" s="396"/>
      <c r="D23" s="396"/>
      <c r="E23" s="396"/>
      <c r="F23" s="396"/>
      <c r="G23" s="396"/>
      <c r="H23" s="396"/>
      <c r="I23" s="396"/>
      <c r="J23" s="396"/>
      <c r="K23" s="396"/>
      <c r="L23" s="1"/>
    </row>
    <row r="24" spans="1:25" ht="15" customHeight="1" x14ac:dyDescent="0.2">
      <c r="A24" s="248" t="s">
        <v>59</v>
      </c>
      <c r="B24" s="248"/>
      <c r="C24" s="37" t="str">
        <f>C10</f>
        <v>INT_SAL_001</v>
      </c>
      <c r="D24" s="234" t="str">
        <f>D10</f>
        <v>(CORPO + INSERTO) PLANCIA SEGMENTO A1</v>
      </c>
      <c r="E24" s="234"/>
      <c r="F24" s="234"/>
      <c r="G24" s="234"/>
      <c r="H24" s="234"/>
      <c r="I24" s="131">
        <f>_xlfn.XLOOKUP($D24,'$_FABBISOGNI'!$H$3:$H$20,'$_FABBISOGNI'!$P$3:$P$20)</f>
        <v>26103.673469387755</v>
      </c>
      <c r="J24" s="131"/>
      <c r="K24" s="131">
        <f t="shared" ref="K24:K25" si="4">SUM($I24:$J24)</f>
        <v>26103.673469387755</v>
      </c>
      <c r="L24" s="145">
        <f>$U10</f>
        <v>2.9191491004904551</v>
      </c>
      <c r="M24" s="470">
        <f>$V$10</f>
        <v>5</v>
      </c>
      <c r="N24" s="470"/>
      <c r="O24" s="443">
        <f>$M$24*$O$7</f>
        <v>99000</v>
      </c>
      <c r="P24" s="444">
        <f>($R$10*$L$24+$R$11*$L$25)/$S$24</f>
        <v>95009.772511848336</v>
      </c>
      <c r="Q24" s="437">
        <f>$P$24/$O$24</f>
        <v>0.95969467183685186</v>
      </c>
      <c r="R24" s="439">
        <f>_xlfn.XLOOKUP($A$24,'$_DATI_DI_BASE'!$E$17:$E$20,'$_DATI_DI_BASE'!$J$17:$J$20)</f>
        <v>0.94</v>
      </c>
      <c r="S24" s="446">
        <f>SUM($L$24:$L$25)/$M$24</f>
        <v>0.97428101898684927</v>
      </c>
      <c r="T24" s="437">
        <f>$R$24*$S$24</f>
        <v>0.91582415784763826</v>
      </c>
      <c r="U24" s="439">
        <f>_xlfn.XLOOKUP($A$24,'$_DATI_DI_BASE'!$E$17:$E$20,'$_DATI_DI_BASE'!$K$17:$K$20)</f>
        <v>0.98</v>
      </c>
      <c r="V24" s="437">
        <f>$U$24*$T$24*$Q$24</f>
        <v>0.8613333333333334</v>
      </c>
    </row>
    <row r="25" spans="1:25" x14ac:dyDescent="0.2">
      <c r="A25" s="248"/>
      <c r="B25" s="248"/>
      <c r="C25" s="37" t="str">
        <f>C11</f>
        <v>INT_SAL_002</v>
      </c>
      <c r="D25" s="234" t="str">
        <f>D11</f>
        <v>(CORPO + INSERTO) PLANCIA SEGMENTO B</v>
      </c>
      <c r="E25" s="234"/>
      <c r="F25" s="234"/>
      <c r="G25" s="234"/>
      <c r="H25" s="234"/>
      <c r="I25" s="131"/>
      <c r="J25" s="131">
        <f>_xlfn.XLOOKUP($D25,'$_FABBISOGNI'!$H$3:$H$20,'$_FABBISOGNI'!$P$3:$P$20)</f>
        <v>17402.448979591838</v>
      </c>
      <c r="K25" s="131">
        <f t="shared" si="4"/>
        <v>17402.448979591838</v>
      </c>
      <c r="L25" s="145">
        <f>$U11</f>
        <v>1.9522559944437909</v>
      </c>
      <c r="M25" s="470"/>
      <c r="N25" s="470"/>
      <c r="O25" s="443"/>
      <c r="P25" s="445"/>
      <c r="Q25" s="438"/>
      <c r="R25" s="440"/>
      <c r="S25" s="447"/>
      <c r="T25" s="438"/>
      <c r="U25" s="440"/>
      <c r="V25" s="438"/>
    </row>
    <row r="26" spans="1:25" x14ac:dyDescent="0.2">
      <c r="T26" s="3"/>
      <c r="U26" s="3"/>
    </row>
    <row r="28" spans="1:25" x14ac:dyDescent="0.2">
      <c r="T28" s="3"/>
      <c r="U28" s="3"/>
    </row>
    <row r="30" spans="1:25" x14ac:dyDescent="0.2">
      <c r="T30" s="3"/>
      <c r="U30" s="3"/>
    </row>
  </sheetData>
  <mergeCells count="80">
    <mergeCell ref="A14:B15"/>
    <mergeCell ref="C14:C15"/>
    <mergeCell ref="D14:H15"/>
    <mergeCell ref="A17:B18"/>
    <mergeCell ref="A24:B25"/>
    <mergeCell ref="D24:H24"/>
    <mergeCell ref="D25:H25"/>
    <mergeCell ref="A21:B22"/>
    <mergeCell ref="A23:K23"/>
    <mergeCell ref="C21:C22"/>
    <mergeCell ref="D21:H22"/>
    <mergeCell ref="I21:J21"/>
    <mergeCell ref="K21:K22"/>
    <mergeCell ref="K14:K15"/>
    <mergeCell ref="D17:H17"/>
    <mergeCell ref="D18:H18"/>
    <mergeCell ref="M24:N25"/>
    <mergeCell ref="L14:L15"/>
    <mergeCell ref="M14:M15"/>
    <mergeCell ref="M21:N22"/>
    <mergeCell ref="L21:L22"/>
    <mergeCell ref="N14:N15"/>
    <mergeCell ref="V1:V5"/>
    <mergeCell ref="T1:T5"/>
    <mergeCell ref="D4:H5"/>
    <mergeCell ref="O21:O22"/>
    <mergeCell ref="D10:H10"/>
    <mergeCell ref="E2:F2"/>
    <mergeCell ref="E3:F3"/>
    <mergeCell ref="V21:V22"/>
    <mergeCell ref="P21:P22"/>
    <mergeCell ref="Q21:Q22"/>
    <mergeCell ref="R21:R22"/>
    <mergeCell ref="V10:V11"/>
    <mergeCell ref="P14:P15"/>
    <mergeCell ref="T21:T22"/>
    <mergeCell ref="U21:U22"/>
    <mergeCell ref="I14:J14"/>
    <mergeCell ref="C4:C5"/>
    <mergeCell ref="A1:C1"/>
    <mergeCell ref="A3:C3"/>
    <mergeCell ref="A4:B5"/>
    <mergeCell ref="U1:U5"/>
    <mergeCell ref="L1:L5"/>
    <mergeCell ref="M1:M5"/>
    <mergeCell ref="N1:N5"/>
    <mergeCell ref="K4:K5"/>
    <mergeCell ref="I4:J4"/>
    <mergeCell ref="A6:K6"/>
    <mergeCell ref="D7:H7"/>
    <mergeCell ref="S1:S5"/>
    <mergeCell ref="Q14:Q15"/>
    <mergeCell ref="A16:K16"/>
    <mergeCell ref="A9:K9"/>
    <mergeCell ref="D8:H8"/>
    <mergeCell ref="A7:B8"/>
    <mergeCell ref="D11:H11"/>
    <mergeCell ref="A10:B11"/>
    <mergeCell ref="A2:C2"/>
    <mergeCell ref="R1:R5"/>
    <mergeCell ref="O1:O5"/>
    <mergeCell ref="Q1:Q5"/>
    <mergeCell ref="P1:P5"/>
    <mergeCell ref="E1:F1"/>
    <mergeCell ref="V24:V25"/>
    <mergeCell ref="T24:T25"/>
    <mergeCell ref="U24:U25"/>
    <mergeCell ref="V14:V15"/>
    <mergeCell ref="O14:O15"/>
    <mergeCell ref="O24:O25"/>
    <mergeCell ref="P24:P25"/>
    <mergeCell ref="Q24:Q25"/>
    <mergeCell ref="R24:R25"/>
    <mergeCell ref="S24:S25"/>
    <mergeCell ref="U14:U15"/>
    <mergeCell ref="S14:S15"/>
    <mergeCell ref="R14:R15"/>
    <mergeCell ref="S21:S22"/>
    <mergeCell ref="T14:T15"/>
    <mergeCell ref="R17:R18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3"/>
  <sheetViews>
    <sheetView zoomScale="110" zoomScaleNormal="110" workbookViewId="0">
      <pane xSplit="8" ySplit="5" topLeftCell="L6" activePane="bottomRight" state="frozen"/>
      <selection pane="topRight" activeCell="J1" sqref="J1"/>
      <selection pane="bottomLeft" activeCell="A6" sqref="A6"/>
      <selection pane="bottomRight" activeCell="U26" sqref="U26"/>
    </sheetView>
  </sheetViews>
  <sheetFormatPr baseColWidth="10" defaultColWidth="8.83203125" defaultRowHeight="15" outlineLevelCol="1" x14ac:dyDescent="0.2"/>
  <cols>
    <col min="3" max="3" width="19.5" customWidth="1"/>
    <col min="4" max="4" width="10.33203125" customWidth="1"/>
    <col min="9" max="11" width="8.83203125" style="3"/>
    <col min="12" max="12" width="10.83203125" style="3" customWidth="1" outlineLevel="1"/>
    <col min="13" max="13" width="15.5" style="3" customWidth="1" outlineLevel="1"/>
    <col min="14" max="15" width="8.83203125" style="3" customWidth="1" outlineLevel="1"/>
    <col min="16" max="16" width="11" bestFit="1" customWidth="1"/>
    <col min="17" max="17" width="9.6640625" bestFit="1" customWidth="1"/>
    <col min="23" max="23" width="8.83203125" customWidth="1"/>
    <col min="26" max="26" width="16.33203125" customWidth="1"/>
    <col min="27" max="28" width="11.1640625" bestFit="1" customWidth="1"/>
    <col min="29" max="29" width="19.5" customWidth="1"/>
    <col min="30" max="30" width="9" bestFit="1" customWidth="1"/>
  </cols>
  <sheetData>
    <row r="1" spans="1:30" ht="18.75" customHeight="1" x14ac:dyDescent="0.2">
      <c r="A1" s="434" t="s">
        <v>194</v>
      </c>
      <c r="B1" s="434"/>
      <c r="C1" s="434"/>
      <c r="D1" s="179">
        <f>SUM($D$2:$D$3)</f>
        <v>42636</v>
      </c>
      <c r="E1" s="500" t="s">
        <v>18</v>
      </c>
      <c r="F1" s="500"/>
      <c r="G1" s="179">
        <f>$D$1/$G$2</f>
        <v>1938</v>
      </c>
      <c r="H1" s="1" t="s">
        <v>195</v>
      </c>
      <c r="I1" s="503" t="s">
        <v>196</v>
      </c>
      <c r="J1" s="504"/>
      <c r="K1" s="504"/>
      <c r="L1" s="504"/>
      <c r="M1" s="504"/>
      <c r="N1" s="504"/>
      <c r="O1" s="504"/>
      <c r="P1" s="482" t="s">
        <v>197</v>
      </c>
      <c r="Q1" s="483"/>
      <c r="R1" s="483"/>
      <c r="S1" s="483"/>
      <c r="T1" s="483"/>
      <c r="U1" s="484"/>
    </row>
    <row r="2" spans="1:30" ht="18.75" customHeight="1" x14ac:dyDescent="0.2">
      <c r="A2" s="434" t="s">
        <v>198</v>
      </c>
      <c r="B2" s="434"/>
      <c r="C2" s="434"/>
      <c r="D2" s="179">
        <f>'$_FABBISOGNI'!O3</f>
        <v>25581.599999999999</v>
      </c>
      <c r="E2" s="500" t="s">
        <v>199</v>
      </c>
      <c r="F2" s="500"/>
      <c r="G2" s="15">
        <f>'$_DATI_DI_BASE'!$N$6</f>
        <v>22</v>
      </c>
      <c r="I2" s="505"/>
      <c r="J2" s="506"/>
      <c r="K2" s="506"/>
      <c r="L2" s="506"/>
      <c r="M2" s="506"/>
      <c r="N2" s="506"/>
      <c r="O2" s="506"/>
      <c r="P2" s="485"/>
      <c r="Q2" s="486"/>
      <c r="R2" s="486"/>
      <c r="S2" s="486"/>
      <c r="T2" s="486"/>
      <c r="U2" s="487"/>
    </row>
    <row r="3" spans="1:30" ht="18.75" customHeight="1" x14ac:dyDescent="0.2">
      <c r="A3" s="434" t="s">
        <v>200</v>
      </c>
      <c r="B3" s="434"/>
      <c r="C3" s="434"/>
      <c r="D3" s="179">
        <f>'$_FABBISOGNI'!O12</f>
        <v>17054.400000000001</v>
      </c>
      <c r="E3" s="277" t="s">
        <v>201</v>
      </c>
      <c r="F3" s="277"/>
      <c r="G3" s="180">
        <v>0.2</v>
      </c>
      <c r="I3" s="505"/>
      <c r="J3" s="506"/>
      <c r="K3" s="506"/>
      <c r="L3" s="506"/>
      <c r="M3" s="506"/>
      <c r="N3" s="506"/>
      <c r="O3" s="506"/>
      <c r="P3" s="485"/>
      <c r="Q3" s="486"/>
      <c r="R3" s="486"/>
      <c r="S3" s="486"/>
      <c r="T3" s="486"/>
      <c r="U3" s="487"/>
    </row>
    <row r="4" spans="1:30" ht="14.5" customHeight="1" x14ac:dyDescent="0.2">
      <c r="A4" s="377"/>
      <c r="B4" s="479"/>
      <c r="C4" s="501" t="s">
        <v>142</v>
      </c>
      <c r="D4" s="501" t="s">
        <v>71</v>
      </c>
      <c r="E4" s="501"/>
      <c r="F4" s="501"/>
      <c r="G4" s="501"/>
      <c r="H4" s="501"/>
      <c r="I4" s="495" t="s">
        <v>171</v>
      </c>
      <c r="J4" s="496"/>
      <c r="K4" s="286" t="s">
        <v>172</v>
      </c>
      <c r="L4" s="480" t="s">
        <v>202</v>
      </c>
      <c r="M4" s="480" t="s">
        <v>203</v>
      </c>
      <c r="N4" s="286" t="s">
        <v>204</v>
      </c>
      <c r="O4" s="493" t="s">
        <v>205</v>
      </c>
      <c r="P4" s="471" t="s">
        <v>206</v>
      </c>
      <c r="Q4" s="480" t="s">
        <v>207</v>
      </c>
      <c r="R4" s="480" t="s">
        <v>172</v>
      </c>
      <c r="S4" s="493" t="s">
        <v>205</v>
      </c>
      <c r="T4" s="475" t="s">
        <v>208</v>
      </c>
      <c r="U4" s="498" t="s">
        <v>209</v>
      </c>
    </row>
    <row r="5" spans="1:30" ht="14.5" customHeight="1" x14ac:dyDescent="0.2">
      <c r="A5" s="387"/>
      <c r="B5" s="396"/>
      <c r="C5" s="502"/>
      <c r="D5" s="502"/>
      <c r="E5" s="502"/>
      <c r="F5" s="502"/>
      <c r="G5" s="502"/>
      <c r="H5" s="502"/>
      <c r="I5" s="208" t="s">
        <v>173</v>
      </c>
      <c r="J5" s="209" t="s">
        <v>174</v>
      </c>
      <c r="K5" s="497"/>
      <c r="L5" s="497"/>
      <c r="M5" s="218"/>
      <c r="N5" s="497"/>
      <c r="O5" s="494"/>
      <c r="P5" s="472"/>
      <c r="Q5" s="218"/>
      <c r="R5" s="218"/>
      <c r="S5" s="494"/>
      <c r="T5" s="476"/>
      <c r="U5" s="499"/>
      <c r="Z5" s="169" t="s">
        <v>210</v>
      </c>
      <c r="AA5" s="169" t="s">
        <v>211</v>
      </c>
      <c r="AB5" s="169" t="s">
        <v>212</v>
      </c>
      <c r="AC5" s="169" t="s">
        <v>213</v>
      </c>
      <c r="AD5" s="169" t="s">
        <v>214</v>
      </c>
    </row>
    <row r="6" spans="1:30" ht="14.5" customHeight="1" x14ac:dyDescent="0.2">
      <c r="A6" s="471" t="s">
        <v>215</v>
      </c>
      <c r="B6" s="480"/>
      <c r="C6" s="185" t="str">
        <f>'$_DATI_DI_BASE'!F41</f>
        <v>EST_STAMP_001</v>
      </c>
      <c r="D6" s="478" t="str">
        <f>'$_DATI_DI_BASE'!I41</f>
        <v>CORPO PLANCIA A1</v>
      </c>
      <c r="E6" s="478"/>
      <c r="F6" s="478"/>
      <c r="G6" s="478"/>
      <c r="H6" s="478"/>
      <c r="I6" s="202">
        <f>_xlfn.XLOOKUP($D6,'$_FABBISOGNI'!$H$3:$H$11,'$_FABBISOGNI'!$P$3:$P$11,0)</f>
        <v>26103.673469387755</v>
      </c>
      <c r="J6" s="186">
        <f>_xlfn.XLOOKUP($D6,'$_FABBISOGNI'!$H$12:$H$20,'$_FABBISOGNI'!$P$12:$P$20,0)</f>
        <v>0</v>
      </c>
      <c r="K6" s="186">
        <f>SUM($I6:$J6)</f>
        <v>26103.673469387755</v>
      </c>
      <c r="L6" s="172" t="str">
        <f>_xlfn.XLOOKUP($D6,'$_DATI_DI_BASE'!$E$65:$E$81,'$_DATI_DI_BASE'!$D$65:$D$81)</f>
        <v>PED+SCA</v>
      </c>
      <c r="M6" s="172" t="str">
        <f>_xlfn.XLOOKUP($D6,'$_DATI_DI_BASE'!$E$65:$E$81,'$_DATI_DI_BASE'!$J$65:$J$81)</f>
        <v>1400x800x600</v>
      </c>
      <c r="N6" s="187">
        <f>_xlfn.XLOOKUP($D6,'$_DATI_DI_BASE'!$E$65:$E$81,'$_DATI_DI_BASE'!$L$65:$L$81)</f>
        <v>6</v>
      </c>
      <c r="O6" s="186">
        <f>ROUNDUP($K6/$N6,0)</f>
        <v>4351</v>
      </c>
      <c r="P6" s="203">
        <f>(K6/$G$2)*'$_DATI_DI_BASE'!$G$26</f>
        <v>3559.591836734694</v>
      </c>
      <c r="Q6" s="188">
        <f>ROUNDUP((K6/$G$2)*'$_DATI_DI_BASE'!$H$26,0)</f>
        <v>1187</v>
      </c>
      <c r="R6" s="188">
        <f t="shared" ref="R6:R15" si="0">P6+Q6</f>
        <v>4746.591836734694</v>
      </c>
      <c r="S6" s="189">
        <f>ROUNDUP(R6/N6,0)</f>
        <v>792</v>
      </c>
      <c r="T6" s="190">
        <f>('$_DATI_DI_BASE'!$G$26+'$_DATI_DI_BASE'!$H$26*2)/2</f>
        <v>2.5</v>
      </c>
      <c r="U6" s="191">
        <f>$G$2/T6</f>
        <v>8.8000000000000007</v>
      </c>
      <c r="Z6" s="169" t="str">
        <f t="shared" ref="Z6:Z15" si="1">_xlfn.XLOOKUP($AB6,$AA$6:$AA$15,$C$6:$C$15)</f>
        <v>EST_STAMP_001</v>
      </c>
      <c r="AA6" s="170">
        <f t="shared" ref="AA6:AA15" si="2">U6</f>
        <v>8.8000000000000007</v>
      </c>
      <c r="AB6" s="170" cm="1">
        <f t="array" ref="AB6:AB15">_xlfn._xlws.SORT(AA6:AA15,1,-1)</f>
        <v>8.8000000000000007</v>
      </c>
      <c r="AC6" s="171">
        <f t="shared" ref="AC6:AC15" si="3">AB6/$AB$16</f>
        <v>0.10975609756097564</v>
      </c>
      <c r="AD6" s="171">
        <f>AC6</f>
        <v>0.10975609756097564</v>
      </c>
    </row>
    <row r="7" spans="1:30" x14ac:dyDescent="0.2">
      <c r="A7" s="481"/>
      <c r="B7" s="215"/>
      <c r="C7" s="3" t="str">
        <f>'$_DATI_DI_BASE'!F51</f>
        <v>EST_STAMP_002</v>
      </c>
      <c r="D7" s="428" t="str">
        <f>'$_DATI_DI_BASE'!I51</f>
        <v>CORPO PLANCIA B</v>
      </c>
      <c r="E7" s="428"/>
      <c r="F7" s="428"/>
      <c r="G7" s="428"/>
      <c r="H7" s="428"/>
      <c r="I7" s="175">
        <f>_xlfn.XLOOKUP($D7,'$_FABBISOGNI'!$H$3:$H$11,'$_FABBISOGNI'!$P$3:$P$11,0)</f>
        <v>0</v>
      </c>
      <c r="J7" s="181">
        <f>_xlfn.XLOOKUP($D7,'$_FABBISOGNI'!$H$12:$H$20,'$_FABBISOGNI'!$P$12:$P$20,0)</f>
        <v>17402.448979591838</v>
      </c>
      <c r="K7" s="181">
        <f t="shared" ref="K7:K21" si="4">SUM($I7:$J7)</f>
        <v>17402.448979591838</v>
      </c>
      <c r="L7" s="125" t="str">
        <f>_xlfn.XLOOKUP($D7,'$_DATI_DI_BASE'!$E$65:$E$81,'$_DATI_DI_BASE'!$D$65:$D$81)</f>
        <v>PED+SCA</v>
      </c>
      <c r="M7" s="126" t="str">
        <f>_xlfn.XLOOKUP($D7,'$_DATI_DI_BASE'!$E$65:$E$81,'$_DATI_DI_BASE'!$J$65:$J$81)</f>
        <v>1400x800x600</v>
      </c>
      <c r="N7" s="126">
        <f>_xlfn.XLOOKUP($D7,'$_DATI_DI_BASE'!$E$65:$E$81,'$_DATI_DI_BASE'!$L$65:$L$81)</f>
        <v>4</v>
      </c>
      <c r="O7" s="181">
        <f t="shared" ref="O7:O21" si="5">ROUNDUP($K7/$N7,0)</f>
        <v>4351</v>
      </c>
      <c r="P7" s="204">
        <f>(K7/$G$2)*'$_DATI_DI_BASE'!$G$26</f>
        <v>2373.0612244897961</v>
      </c>
      <c r="Q7" s="182">
        <f>ROUNDUP((K7/$G$2)*'$_DATI_DI_BASE'!$H$26,0)</f>
        <v>792</v>
      </c>
      <c r="R7" s="182">
        <f t="shared" si="0"/>
        <v>3165.0612244897961</v>
      </c>
      <c r="S7" s="183">
        <f t="shared" ref="S7:S21" si="6">ROUNDUP(R7/N7,0)</f>
        <v>792</v>
      </c>
      <c r="T7" s="184">
        <f>('$_DATI_DI_BASE'!$G$26+'$_DATI_DI_BASE'!$H$26*2)/2</f>
        <v>2.5</v>
      </c>
      <c r="U7" s="192">
        <f t="shared" ref="U7:U15" si="7">$G$2/T7</f>
        <v>8.8000000000000007</v>
      </c>
      <c r="W7" s="161"/>
      <c r="Z7" s="169" t="str">
        <f t="shared" si="1"/>
        <v>EST_STAMP_001</v>
      </c>
      <c r="AA7" s="170">
        <f t="shared" si="2"/>
        <v>8.8000000000000007</v>
      </c>
      <c r="AB7" s="170">
        <v>8.8000000000000007</v>
      </c>
      <c r="AC7" s="171">
        <f t="shared" si="3"/>
        <v>0.10975609756097564</v>
      </c>
      <c r="AD7" s="171">
        <f t="shared" ref="AD7:AD15" si="8">AC7+AD6</f>
        <v>0.21951219512195128</v>
      </c>
    </row>
    <row r="8" spans="1:30" x14ac:dyDescent="0.2">
      <c r="A8" s="481"/>
      <c r="B8" s="215"/>
      <c r="C8" s="3" t="str">
        <f>'$_DATI_DI_BASE'!F42</f>
        <v>EST_STAMP_003</v>
      </c>
      <c r="D8" s="428" t="str">
        <f>'$_DATI_DI_BASE'!I42</f>
        <v>INSERTO PLANCIA A1</v>
      </c>
      <c r="E8" s="428"/>
      <c r="F8" s="428"/>
      <c r="G8" s="428"/>
      <c r="H8" s="428"/>
      <c r="I8" s="175">
        <f>_xlfn.XLOOKUP($D8,'$_FABBISOGNI'!$H$3:$H$11,'$_FABBISOGNI'!$P$3:$P$11,0)</f>
        <v>26103.673469387755</v>
      </c>
      <c r="J8" s="181">
        <f>_xlfn.XLOOKUP($D8,'$_FABBISOGNI'!$H$12:$H$20,'$_FABBISOGNI'!$P$12:$P$20,0)</f>
        <v>0</v>
      </c>
      <c r="K8" s="181">
        <f t="shared" si="4"/>
        <v>26103.673469387755</v>
      </c>
      <c r="L8" s="125" t="str">
        <f>_xlfn.XLOOKUP($D8,'$_DATI_DI_BASE'!$E$65:$E$81,'$_DATI_DI_BASE'!$D$65:$D$81)</f>
        <v>PED+SCA</v>
      </c>
      <c r="M8" s="125" t="str">
        <f>_xlfn.XLOOKUP($D8,'$_DATI_DI_BASE'!$E$65:$E$81,'$_DATI_DI_BASE'!$J$65:$J$81)</f>
        <v>1400x800x600</v>
      </c>
      <c r="N8" s="126">
        <f>_xlfn.XLOOKUP($D8,'$_DATI_DI_BASE'!$E$65:$E$81,'$_DATI_DI_BASE'!$L$65:$L$81)</f>
        <v>10</v>
      </c>
      <c r="O8" s="181">
        <f t="shared" si="5"/>
        <v>2611</v>
      </c>
      <c r="P8" s="204">
        <f>(K8/$G$2)*'$_DATI_DI_BASE'!$G$26</f>
        <v>3559.591836734694</v>
      </c>
      <c r="Q8" s="182">
        <f>ROUNDUP((K8/$G$2)*'$_DATI_DI_BASE'!$H$26,0)</f>
        <v>1187</v>
      </c>
      <c r="R8" s="182">
        <f t="shared" si="0"/>
        <v>4746.591836734694</v>
      </c>
      <c r="S8" s="183">
        <f t="shared" si="6"/>
        <v>475</v>
      </c>
      <c r="T8" s="184">
        <f>('$_DATI_DI_BASE'!$G$26+'$_DATI_DI_BASE'!$H$26*2)/2</f>
        <v>2.5</v>
      </c>
      <c r="U8" s="192">
        <f t="shared" si="7"/>
        <v>8.8000000000000007</v>
      </c>
      <c r="Z8" s="169" t="str">
        <f t="shared" si="1"/>
        <v>EST_STAMP_001</v>
      </c>
      <c r="AA8" s="170">
        <f t="shared" si="2"/>
        <v>8.8000000000000007</v>
      </c>
      <c r="AB8" s="170">
        <v>8.8000000000000007</v>
      </c>
      <c r="AC8" s="171">
        <f t="shared" si="3"/>
        <v>0.10975609756097564</v>
      </c>
      <c r="AD8" s="171">
        <f t="shared" si="8"/>
        <v>0.3292682926829269</v>
      </c>
    </row>
    <row r="9" spans="1:30" x14ac:dyDescent="0.2">
      <c r="A9" s="481"/>
      <c r="B9" s="215"/>
      <c r="C9" s="3" t="str">
        <f>'$_DATI_DI_BASE'!F52</f>
        <v>EST_STAMP_004</v>
      </c>
      <c r="D9" s="428" t="str">
        <f>'$_DATI_DI_BASE'!I52</f>
        <v>INSERTO PLANCIA B</v>
      </c>
      <c r="E9" s="428"/>
      <c r="F9" s="428"/>
      <c r="G9" s="428"/>
      <c r="H9" s="428"/>
      <c r="I9" s="175">
        <f>_xlfn.XLOOKUP($D9,'$_FABBISOGNI'!$H$3:$H$11,'$_FABBISOGNI'!$P$3:$P$11,0)</f>
        <v>0</v>
      </c>
      <c r="J9" s="181">
        <f>_xlfn.XLOOKUP($D9,'$_FABBISOGNI'!$H$12:$H$20,'$_FABBISOGNI'!$P$12:$P$20,0)</f>
        <v>17402.448979591838</v>
      </c>
      <c r="K9" s="181">
        <f t="shared" si="4"/>
        <v>17402.448979591838</v>
      </c>
      <c r="L9" s="125" t="str">
        <f>_xlfn.XLOOKUP($D9,'$_DATI_DI_BASE'!$E$65:$E$81,'$_DATI_DI_BASE'!$D$65:$D$81)</f>
        <v>PED+SCA</v>
      </c>
      <c r="M9" s="125" t="str">
        <f>_xlfn.XLOOKUP($D9,'$_DATI_DI_BASE'!$E$65:$E$81,'$_DATI_DI_BASE'!$J$65:$J$81)</f>
        <v>1400x800x600</v>
      </c>
      <c r="N9" s="126">
        <f>_xlfn.XLOOKUP($D9,'$_DATI_DI_BASE'!$E$65:$E$81,'$_DATI_DI_BASE'!$L$65:$L$81)</f>
        <v>8</v>
      </c>
      <c r="O9" s="181">
        <f t="shared" si="5"/>
        <v>2176</v>
      </c>
      <c r="P9" s="204">
        <f>(K9/$G$2)*'$_DATI_DI_BASE'!$G$26</f>
        <v>2373.0612244897961</v>
      </c>
      <c r="Q9" s="182">
        <f>ROUNDUP((K9/$G$2)*'$_DATI_DI_BASE'!$H$26,0)</f>
        <v>792</v>
      </c>
      <c r="R9" s="182">
        <f t="shared" si="0"/>
        <v>3165.0612244897961</v>
      </c>
      <c r="S9" s="183">
        <f t="shared" si="6"/>
        <v>396</v>
      </c>
      <c r="T9" s="184">
        <f>('$_DATI_DI_BASE'!$G$26+'$_DATI_DI_BASE'!$H$26*2)/2</f>
        <v>2.5</v>
      </c>
      <c r="U9" s="192">
        <f t="shared" si="7"/>
        <v>8.8000000000000007</v>
      </c>
      <c r="Z9" s="169" t="str">
        <f t="shared" si="1"/>
        <v>EST_STAMP_001</v>
      </c>
      <c r="AA9" s="170">
        <f t="shared" si="2"/>
        <v>8.8000000000000007</v>
      </c>
      <c r="AB9" s="170">
        <v>8.8000000000000007</v>
      </c>
      <c r="AC9" s="171">
        <f t="shared" si="3"/>
        <v>0.10975609756097564</v>
      </c>
      <c r="AD9" s="171">
        <f t="shared" si="8"/>
        <v>0.43902439024390255</v>
      </c>
    </row>
    <row r="10" spans="1:30" x14ac:dyDescent="0.2">
      <c r="A10" s="481"/>
      <c r="B10" s="215"/>
      <c r="C10" s="3" t="str">
        <f>'$_DATI_DI_BASE'!F43</f>
        <v>EST_STAMP_009</v>
      </c>
      <c r="D10" s="428" t="str">
        <f>'$_DATI_DI_BASE'!I43</f>
        <v>CUPOLOTTO</v>
      </c>
      <c r="E10" s="428"/>
      <c r="F10" s="428"/>
      <c r="G10" s="428"/>
      <c r="H10" s="428"/>
      <c r="I10" s="175">
        <f>_xlfn.XLOOKUP($D10,'$_FABBISOGNI'!$H$3:$H$11,'$_FABBISOGNI'!$P$3:$P$11,0)</f>
        <v>25581.599999999999</v>
      </c>
      <c r="J10" s="181">
        <f>_xlfn.XLOOKUP($D10,'$_FABBISOGNI'!$H$12:$H$20,'$_FABBISOGNI'!$P$12:$P$20,0)</f>
        <v>34108.800000000003</v>
      </c>
      <c r="K10" s="181">
        <f t="shared" si="4"/>
        <v>59690.400000000001</v>
      </c>
      <c r="L10" s="125" t="str">
        <f>_xlfn.XLOOKUP($D10,'$_DATI_DI_BASE'!$E$65:$E$81,'$_DATI_DI_BASE'!$D$65:$D$81)</f>
        <v>PED+SCA</v>
      </c>
      <c r="M10" s="125" t="str">
        <f>_xlfn.XLOOKUP($D10,'$_DATI_DI_BASE'!$E$65:$E$81,'$_DATI_DI_BASE'!$J$65:$J$81)</f>
        <v>1000x800x800</v>
      </c>
      <c r="N10" s="126">
        <f>_xlfn.XLOOKUP($D10,'$_DATI_DI_BASE'!$E$65:$E$81,'$_DATI_DI_BASE'!$L$65:$L$81)</f>
        <v>100</v>
      </c>
      <c r="O10" s="181">
        <f>ROUNDUP($K10/$N10,0)</f>
        <v>597</v>
      </c>
      <c r="P10" s="204">
        <f>(K10/$G$2)*'$_DATI_DI_BASE'!$G$26</f>
        <v>8139.6</v>
      </c>
      <c r="Q10" s="182">
        <f>ROUNDUP((K10/$G$2)*'$_DATI_DI_BASE'!$H$26,0)</f>
        <v>2714</v>
      </c>
      <c r="R10" s="182">
        <f t="shared" si="0"/>
        <v>10853.6</v>
      </c>
      <c r="S10" s="183">
        <f>ROUNDUP(R10/N10,0)</f>
        <v>109</v>
      </c>
      <c r="T10" s="184">
        <f>('$_DATI_DI_BASE'!$G$26+'$_DATI_DI_BASE'!$H$26*2)/2</f>
        <v>2.5</v>
      </c>
      <c r="U10" s="192">
        <f t="shared" si="7"/>
        <v>8.8000000000000007</v>
      </c>
      <c r="Z10" s="169" t="str">
        <f t="shared" si="1"/>
        <v>EST_STAMP_001</v>
      </c>
      <c r="AA10" s="170">
        <f t="shared" si="2"/>
        <v>8.8000000000000007</v>
      </c>
      <c r="AB10" s="170">
        <v>8.8000000000000007</v>
      </c>
      <c r="AC10" s="171">
        <f t="shared" si="3"/>
        <v>0.10975609756097564</v>
      </c>
      <c r="AD10" s="171">
        <f t="shared" si="8"/>
        <v>0.5487804878048782</v>
      </c>
    </row>
    <row r="11" spans="1:30" x14ac:dyDescent="0.2">
      <c r="A11" s="481"/>
      <c r="B11" s="215"/>
      <c r="C11" s="3" t="str">
        <f>'$_DATI_DI_BASE'!F44</f>
        <v>EST_SICUR_001</v>
      </c>
      <c r="D11" s="428" t="str">
        <f>'$_DATI_DI_BASE'!I44</f>
        <v>CORPO AIR BAG</v>
      </c>
      <c r="E11" s="428"/>
      <c r="F11" s="428"/>
      <c r="G11" s="428"/>
      <c r="H11" s="428"/>
      <c r="I11" s="175">
        <f>_xlfn.XLOOKUP($D11,'$_FABBISOGNI'!$H$3:$H$11,'$_FABBISOGNI'!$P$3:$P$11,0)</f>
        <v>25581.599999999999</v>
      </c>
      <c r="J11" s="181">
        <f>_xlfn.XLOOKUP($D11,'$_FABBISOGNI'!$H$12:$H$20,'$_FABBISOGNI'!$P$12:$P$20,0)</f>
        <v>34108.800000000003</v>
      </c>
      <c r="K11" s="181">
        <f t="shared" si="4"/>
        <v>59690.400000000001</v>
      </c>
      <c r="L11" s="125" t="str">
        <f>_xlfn.XLOOKUP($D11,'$_DATI_DI_BASE'!$E$65:$E$81,'$_DATI_DI_BASE'!$D$65:$D$81)</f>
        <v>ODETTE</v>
      </c>
      <c r="M11" s="125" t="str">
        <f>_xlfn.XLOOKUP($D11,'$_DATI_DI_BASE'!$E$65:$E$81,'$_DATI_DI_BASE'!$J$65:$J$81)</f>
        <v>600x400x320</v>
      </c>
      <c r="N11" s="126">
        <f>_xlfn.XLOOKUP($D11,'$_DATI_DI_BASE'!$E$65:$E$81,'$_DATI_DI_BASE'!$L$65:$L$81)</f>
        <v>20</v>
      </c>
      <c r="O11" s="181">
        <f>ROUNDUP($K11/(N11*4*'$_DATI_DI_BASE'!M77),0)</f>
        <v>187</v>
      </c>
      <c r="P11" s="204">
        <f>(K11/$G$2)*'$_DATI_DI_BASE'!$G$26</f>
        <v>8139.6</v>
      </c>
      <c r="Q11" s="182">
        <f>ROUNDUP((K11/$G$2)*'$_DATI_DI_BASE'!$H$28,0)</f>
        <v>5427</v>
      </c>
      <c r="R11" s="182">
        <f t="shared" si="0"/>
        <v>13566.6</v>
      </c>
      <c r="S11" s="183">
        <f>ROUNDUP($R11/(N11*4*'$_DATI_DI_BASE'!M77),0)</f>
        <v>43</v>
      </c>
      <c r="T11" s="184">
        <f>('$_DATI_DI_BASE'!$G$28+'$_DATI_DI_BASE'!$H$28*2)/2</f>
        <v>4.5</v>
      </c>
      <c r="U11" s="192">
        <f t="shared" si="7"/>
        <v>4.8888888888888893</v>
      </c>
      <c r="Z11" s="169" t="str">
        <f t="shared" si="1"/>
        <v>EST_STAMP_001</v>
      </c>
      <c r="AA11" s="170">
        <f t="shared" si="2"/>
        <v>4.8888888888888893</v>
      </c>
      <c r="AB11" s="170">
        <v>8.8000000000000007</v>
      </c>
      <c r="AC11" s="171">
        <f t="shared" si="3"/>
        <v>0.10975609756097564</v>
      </c>
      <c r="AD11" s="171">
        <f t="shared" si="8"/>
        <v>0.6585365853658538</v>
      </c>
    </row>
    <row r="12" spans="1:30" x14ac:dyDescent="0.2">
      <c r="A12" s="481"/>
      <c r="B12" s="215"/>
      <c r="C12" s="3" t="str">
        <f>'$_DATI_DI_BASE'!F45</f>
        <v>EST_SICUR_002</v>
      </c>
      <c r="D12" s="428" t="str">
        <f>'$_DATI_DI_BASE'!I45</f>
        <v>CORNICE AIR BAG</v>
      </c>
      <c r="E12" s="428"/>
      <c r="F12" s="428"/>
      <c r="G12" s="428"/>
      <c r="H12" s="428"/>
      <c r="I12" s="175">
        <f>_xlfn.XLOOKUP($D12,'$_FABBISOGNI'!$H$3:$H$11,'$_FABBISOGNI'!$P$3:$P$11,0)</f>
        <v>25581.599999999999</v>
      </c>
      <c r="J12" s="181">
        <f>_xlfn.XLOOKUP($D12,'$_FABBISOGNI'!$H$12:$H$20,'$_FABBISOGNI'!$P$12:$P$20,0)</f>
        <v>34108.800000000003</v>
      </c>
      <c r="K12" s="181">
        <f t="shared" si="4"/>
        <v>59690.400000000001</v>
      </c>
      <c r="L12" s="125" t="str">
        <f>_xlfn.XLOOKUP($D12,'$_DATI_DI_BASE'!$E$65:$E$81,'$_DATI_DI_BASE'!$D$65:$D$81)</f>
        <v>ODETTE</v>
      </c>
      <c r="M12" s="125" t="str">
        <f>_xlfn.XLOOKUP($D12,'$_DATI_DI_BASE'!$E$65:$E$81,'$_DATI_DI_BASE'!$J$65:$J$81)</f>
        <v>600x400x320</v>
      </c>
      <c r="N12" s="126">
        <f>_xlfn.XLOOKUP($D12,'$_DATI_DI_BASE'!$E$65:$E$81,'$_DATI_DI_BASE'!$L$65:$L$81)</f>
        <v>50</v>
      </c>
      <c r="O12" s="181">
        <f>ROUNDUP($K12/(N12*4*'$_DATI_DI_BASE'!M78),0)</f>
        <v>75</v>
      </c>
      <c r="P12" s="204">
        <f>(K12/$G$2)*'$_DATI_DI_BASE'!$G$26</f>
        <v>8139.6</v>
      </c>
      <c r="Q12" s="182">
        <f>ROUNDUP((K12/$G$2)*'$_DATI_DI_BASE'!$H$28,0)</f>
        <v>5427</v>
      </c>
      <c r="R12" s="182">
        <f t="shared" si="0"/>
        <v>13566.6</v>
      </c>
      <c r="S12" s="183">
        <f>ROUNDUP($R12/(N12*4*'$_DATI_DI_BASE'!M78),0)</f>
        <v>17</v>
      </c>
      <c r="T12" s="184">
        <f>('$_DATI_DI_BASE'!$G$28+'$_DATI_DI_BASE'!$H$28*2)/2</f>
        <v>4.5</v>
      </c>
      <c r="U12" s="192">
        <f t="shared" si="7"/>
        <v>4.8888888888888893</v>
      </c>
      <c r="Z12" s="169" t="str">
        <f t="shared" si="1"/>
        <v>EST_STAMP_001</v>
      </c>
      <c r="AA12" s="170">
        <f t="shared" si="2"/>
        <v>4.8888888888888893</v>
      </c>
      <c r="AB12" s="170">
        <v>8.8000000000000007</v>
      </c>
      <c r="AC12" s="171">
        <f t="shared" si="3"/>
        <v>0.10975609756097564</v>
      </c>
      <c r="AD12" s="171">
        <f t="shared" si="8"/>
        <v>0.7682926829268294</v>
      </c>
    </row>
    <row r="13" spans="1:30" x14ac:dyDescent="0.2">
      <c r="A13" s="481"/>
      <c r="B13" s="215"/>
      <c r="C13" s="3" t="str">
        <f>'$_DATI_DI_BASE'!F46</f>
        <v>EST_ELETTR_001</v>
      </c>
      <c r="D13" s="428" t="str">
        <f>'$_DATI_DI_BASE'!I46</f>
        <v>CENTRALINA ELETTRONICA A1</v>
      </c>
      <c r="E13" s="428"/>
      <c r="F13" s="428"/>
      <c r="G13" s="428"/>
      <c r="H13" s="428"/>
      <c r="I13" s="175">
        <f>_xlfn.XLOOKUP($D13,'$_FABBISOGNI'!$H$3:$H$11,'$_FABBISOGNI'!$P$3:$P$11,0)</f>
        <v>25581.599999999999</v>
      </c>
      <c r="J13" s="181">
        <f>_xlfn.XLOOKUP($D13,'$_FABBISOGNI'!$H$12:$H$20,'$_FABBISOGNI'!$P$12:$P$20,0)</f>
        <v>0</v>
      </c>
      <c r="K13" s="181">
        <f t="shared" si="4"/>
        <v>25581.599999999999</v>
      </c>
      <c r="L13" s="125" t="str">
        <f>_xlfn.XLOOKUP($D13,'$_DATI_DI_BASE'!$E$65:$E$81,'$_DATI_DI_BASE'!$D$65:$D$81)</f>
        <v>ODETTE</v>
      </c>
      <c r="M13" s="125" t="str">
        <f>_xlfn.XLOOKUP($D13,'$_DATI_DI_BASE'!$E$65:$E$81,'$_DATI_DI_BASE'!$J$65:$J$81)</f>
        <v>600x400x320</v>
      </c>
      <c r="N13" s="126">
        <f>_xlfn.XLOOKUP($D13,'$_DATI_DI_BASE'!$E$65:$E$81,'$_DATI_DI_BASE'!$L$65:$L$81)</f>
        <v>50</v>
      </c>
      <c r="O13" s="181">
        <f>ROUNDUP($K13/(N13*4*'$_DATI_DI_BASE'!M79),0)</f>
        <v>64</v>
      </c>
      <c r="P13" s="204">
        <f>(K13/$G$2)*'$_DATI_DI_BASE'!$G$26</f>
        <v>3488.3999999999996</v>
      </c>
      <c r="Q13" s="182">
        <f>ROUNDUP((K13/$G$2)*'$_DATI_DI_BASE'!$H$30,0)</f>
        <v>1163</v>
      </c>
      <c r="R13" s="182">
        <f t="shared" si="0"/>
        <v>4651.3999999999996</v>
      </c>
      <c r="S13" s="183">
        <f>ROUNDUP($R13/(N13*4*'$_DATI_DI_BASE'!M79),0)</f>
        <v>12</v>
      </c>
      <c r="T13" s="184">
        <f>('$_DATI_DI_BASE'!$G$30+'$_DATI_DI_BASE'!$H$30*2)/2</f>
        <v>2.5</v>
      </c>
      <c r="U13" s="192">
        <f t="shared" si="7"/>
        <v>8.8000000000000007</v>
      </c>
      <c r="Z13" s="169" t="str">
        <f t="shared" si="1"/>
        <v>EST_STAMP_001</v>
      </c>
      <c r="AA13" s="170">
        <f t="shared" si="2"/>
        <v>8.8000000000000007</v>
      </c>
      <c r="AB13" s="170">
        <v>8.8000000000000007</v>
      </c>
      <c r="AC13" s="171">
        <f t="shared" si="3"/>
        <v>0.10975609756097564</v>
      </c>
      <c r="AD13" s="171">
        <f t="shared" si="8"/>
        <v>0.87804878048780499</v>
      </c>
    </row>
    <row r="14" spans="1:30" x14ac:dyDescent="0.2">
      <c r="A14" s="481"/>
      <c r="B14" s="215"/>
      <c r="C14" s="3" t="str">
        <f>'$_DATI_DI_BASE'!F56</f>
        <v>EST_ELETTR_003</v>
      </c>
      <c r="D14" s="428" t="str">
        <f>'$_DATI_DI_BASE'!I56</f>
        <v>CENTRALINA ELETTRONICA B</v>
      </c>
      <c r="E14" s="428"/>
      <c r="F14" s="428"/>
      <c r="G14" s="428"/>
      <c r="H14" s="428"/>
      <c r="I14" s="175">
        <f>_xlfn.XLOOKUP($D14,'$_FABBISOGNI'!$H$3:$H$11,'$_FABBISOGNI'!$P$3:$P$11,0)</f>
        <v>0</v>
      </c>
      <c r="J14" s="181">
        <f>_xlfn.XLOOKUP($D14,'$_FABBISOGNI'!$H$12:$H$20,'$_FABBISOGNI'!$P$12:$P$20,0)</f>
        <v>17054.400000000001</v>
      </c>
      <c r="K14" s="181">
        <f t="shared" si="4"/>
        <v>17054.400000000001</v>
      </c>
      <c r="L14" s="125" t="str">
        <f>_xlfn.XLOOKUP($D14,'$_DATI_DI_BASE'!$E$65:$E$81,'$_DATI_DI_BASE'!$D$65:$D$81)</f>
        <v>ODETTE</v>
      </c>
      <c r="M14" s="125" t="str">
        <f>_xlfn.XLOOKUP($D14,'$_DATI_DI_BASE'!$E$65:$E$81,'$_DATI_DI_BASE'!$J$65:$J$81)</f>
        <v>600x400x320</v>
      </c>
      <c r="N14" s="126">
        <f>_xlfn.XLOOKUP($D14,'$_DATI_DI_BASE'!$E$65:$E$81,'$_DATI_DI_BASE'!$L$65:$L$81)</f>
        <v>50</v>
      </c>
      <c r="O14" s="181">
        <f>ROUNDUP($K14/(N14*4*'$_DATI_DI_BASE'!M80),0)</f>
        <v>43</v>
      </c>
      <c r="P14" s="204">
        <f>(K14/$G$2)*'$_DATI_DI_BASE'!$G$26</f>
        <v>2325.6000000000004</v>
      </c>
      <c r="Q14" s="182">
        <f>ROUNDUP((K14/$G$2)*'$_DATI_DI_BASE'!$H$30,0)</f>
        <v>776</v>
      </c>
      <c r="R14" s="182">
        <f t="shared" si="0"/>
        <v>3101.6000000000004</v>
      </c>
      <c r="S14" s="183">
        <f>ROUNDUP($R14/(N14*4*'$_DATI_DI_BASE'!M80),0)</f>
        <v>8</v>
      </c>
      <c r="T14" s="184">
        <f>('$_DATI_DI_BASE'!$G$30+'$_DATI_DI_BASE'!$H$30*2)/2</f>
        <v>2.5</v>
      </c>
      <c r="U14" s="192">
        <f t="shared" si="7"/>
        <v>8.8000000000000007</v>
      </c>
      <c r="Z14" s="169" t="str">
        <f t="shared" si="1"/>
        <v>EST_SICUR_001</v>
      </c>
      <c r="AA14" s="170">
        <f t="shared" si="2"/>
        <v>8.8000000000000007</v>
      </c>
      <c r="AB14" s="170">
        <v>4.8888888888888893</v>
      </c>
      <c r="AC14" s="171">
        <f t="shared" si="3"/>
        <v>6.097560975609758E-2</v>
      </c>
      <c r="AD14" s="171">
        <f t="shared" si="8"/>
        <v>0.93902439024390261</v>
      </c>
    </row>
    <row r="15" spans="1:30" x14ac:dyDescent="0.2">
      <c r="A15" s="472"/>
      <c r="B15" s="218"/>
      <c r="C15" s="178" t="str">
        <f>'$_DATI_DI_BASE'!F57</f>
        <v>EST_ELETTR_005</v>
      </c>
      <c r="D15" s="477" t="str">
        <f>'$_DATI_DI_BASE'!I57</f>
        <v>CAVO ELETTRICO COMPLETO</v>
      </c>
      <c r="E15" s="477"/>
      <c r="F15" s="477"/>
      <c r="G15" s="477"/>
      <c r="H15" s="477"/>
      <c r="I15" s="173">
        <f>_xlfn.XLOOKUP($D15,'$_FABBISOGNI'!$H$3:$H$11,'$_FABBISOGNI'!$P$3:$P$11,0)</f>
        <v>25581.599999999999</v>
      </c>
      <c r="J15" s="174">
        <f>_xlfn.XLOOKUP($D15,'$_FABBISOGNI'!$H$12:$H$20,'$_FABBISOGNI'!$P$12:$P$20,0)</f>
        <v>17054.400000000001</v>
      </c>
      <c r="K15" s="174">
        <f t="shared" si="4"/>
        <v>42636</v>
      </c>
      <c r="L15" s="177" t="str">
        <f>_xlfn.XLOOKUP($D15,'$_DATI_DI_BASE'!$E$65:$E$81,'$_DATI_DI_BASE'!$D$65:$D$81)</f>
        <v>ODETTE</v>
      </c>
      <c r="M15" s="177" t="str">
        <f>_xlfn.XLOOKUP($D15,'$_DATI_DI_BASE'!$E$65:$E$81,'$_DATI_DI_BASE'!$J$65:$J$81)</f>
        <v>600x400x320</v>
      </c>
      <c r="N15" s="193">
        <f>_xlfn.XLOOKUP($D15,'$_DATI_DI_BASE'!$E$65:$E$81,'$_DATI_DI_BASE'!$L$65:$L$81)</f>
        <v>16</v>
      </c>
      <c r="O15" s="174">
        <f>ROUNDUP($K15/(N15*4*'$_DATI_DI_BASE'!M81),0)</f>
        <v>167</v>
      </c>
      <c r="P15" s="205">
        <f>(K15/$G$2)*'$_DATI_DI_BASE'!$G$26</f>
        <v>5814</v>
      </c>
      <c r="Q15" s="194">
        <f>ROUNDUP((K15/$G$2)*'$_DATI_DI_BASE'!$H$30,0)</f>
        <v>1938</v>
      </c>
      <c r="R15" s="194">
        <f t="shared" si="0"/>
        <v>7752</v>
      </c>
      <c r="S15" s="195">
        <f>ROUNDUP($R15/(N15*4*'$_DATI_DI_BASE'!M81),0)</f>
        <v>31</v>
      </c>
      <c r="T15" s="196">
        <f>('$_DATI_DI_BASE'!$G$30+'$_DATI_DI_BASE'!$H$30*2)/2</f>
        <v>2.5</v>
      </c>
      <c r="U15" s="197">
        <f t="shared" si="7"/>
        <v>8.8000000000000007</v>
      </c>
      <c r="Z15" s="169" t="str">
        <f t="shared" si="1"/>
        <v>EST_SICUR_001</v>
      </c>
      <c r="AA15" s="170">
        <f t="shared" si="2"/>
        <v>8.8000000000000007</v>
      </c>
      <c r="AB15" s="170">
        <v>4.8888888888888893</v>
      </c>
      <c r="AC15" s="171">
        <f t="shared" si="3"/>
        <v>6.097560975609758E-2</v>
      </c>
      <c r="AD15" s="171">
        <f t="shared" si="8"/>
        <v>1.0000000000000002</v>
      </c>
    </row>
    <row r="16" spans="1:30" x14ac:dyDescent="0.2">
      <c r="A16" s="459"/>
      <c r="B16" s="459"/>
      <c r="C16" s="459"/>
      <c r="D16" s="459"/>
      <c r="E16" s="459"/>
      <c r="F16" s="459"/>
      <c r="G16" s="459"/>
      <c r="H16" s="459"/>
      <c r="I16" s="488"/>
      <c r="J16" s="459"/>
      <c r="K16" s="459"/>
      <c r="L16" s="459"/>
      <c r="M16" s="459"/>
      <c r="N16" s="459"/>
      <c r="O16" s="459"/>
      <c r="P16" s="488"/>
      <c r="Q16" s="459"/>
      <c r="R16" s="459"/>
      <c r="S16" s="459"/>
      <c r="T16" s="459"/>
      <c r="U16" s="492"/>
      <c r="AA16" t="s">
        <v>216</v>
      </c>
      <c r="AB16" s="120">
        <f>SUM(AB6:AB15)</f>
        <v>80.177777777777763</v>
      </c>
    </row>
    <row r="17" spans="1:21" x14ac:dyDescent="0.2">
      <c r="A17" s="471" t="s">
        <v>217</v>
      </c>
      <c r="B17" s="480"/>
      <c r="C17" s="185" t="str">
        <f>'$_DATI_DI_BASE'!F39</f>
        <v>INT_ASS_001</v>
      </c>
      <c r="D17" s="478" t="str">
        <f>'$_DATI_DI_BASE'!I39</f>
        <v>PLANCIA SEGMENTO A1</v>
      </c>
      <c r="E17" s="478"/>
      <c r="F17" s="478"/>
      <c r="G17" s="478"/>
      <c r="H17" s="478"/>
      <c r="I17" s="202">
        <f>_xlfn.XLOOKUP($D17,'$_FABBISOGNI'!$H$3:$H$11,'$_FABBISOGNI'!$P$3:$P$11,0)</f>
        <v>25581.599999999999</v>
      </c>
      <c r="J17" s="186">
        <f>_xlfn.XLOOKUP($D17,'$_FABBISOGNI'!$H$12:$H$20,'$_FABBISOGNI'!$P$12:$P$20,0)</f>
        <v>0</v>
      </c>
      <c r="K17" s="186">
        <f t="shared" si="4"/>
        <v>25581.599999999999</v>
      </c>
      <c r="L17" s="172" t="str">
        <f>_xlfn.XLOOKUP($D17,'$_DATI_DI_BASE'!$E$65:$E$81,'$_DATI_DI_BASE'!$D$65:$D$81)</f>
        <v>PED+SCA</v>
      </c>
      <c r="M17" s="172" t="str">
        <f>_xlfn.XLOOKUP($D17,'$_DATI_DI_BASE'!$E$65:$E$81,'$_DATI_DI_BASE'!$J$65:$J$81)</f>
        <v>1800x800x800</v>
      </c>
      <c r="N17" s="187">
        <f>_xlfn.XLOOKUP($D17,'$_DATI_DI_BASE'!$E$65:$E$81,'$_DATI_DI_BASE'!$L$65:$L$81)</f>
        <v>4</v>
      </c>
      <c r="O17" s="186">
        <f t="shared" si="5"/>
        <v>6396</v>
      </c>
      <c r="P17" s="206">
        <f>'$_FABBISOGNI'!P24</f>
        <v>3654.5142857142855</v>
      </c>
      <c r="Q17" s="199">
        <f>P17*$G$3</f>
        <v>730.9028571428571</v>
      </c>
      <c r="R17" s="198">
        <f>P17+Q17</f>
        <v>4385.4171428571426</v>
      </c>
      <c r="S17" s="189">
        <f t="shared" si="6"/>
        <v>1097</v>
      </c>
      <c r="T17" s="190">
        <f>$G$2/U17</f>
        <v>2.2000000000000002</v>
      </c>
      <c r="U17" s="191">
        <f>K17/((P17+Q17*2)/2)</f>
        <v>10</v>
      </c>
    </row>
    <row r="18" spans="1:21" x14ac:dyDescent="0.2">
      <c r="A18" s="472"/>
      <c r="B18" s="218"/>
      <c r="C18" s="178" t="str">
        <f>'$_DATI_DI_BASE'!F49</f>
        <v>INT_ASS_002</v>
      </c>
      <c r="D18" s="477" t="str">
        <f>'$_DATI_DI_BASE'!I49</f>
        <v>PLANCIA SEGMENTO B</v>
      </c>
      <c r="E18" s="477"/>
      <c r="F18" s="477"/>
      <c r="G18" s="477"/>
      <c r="H18" s="477"/>
      <c r="I18" s="173">
        <f>_xlfn.XLOOKUP($D18,'$_FABBISOGNI'!$H$3:$H$11,'$_FABBISOGNI'!$P$3:$P$11,0)</f>
        <v>0</v>
      </c>
      <c r="J18" s="174">
        <f>_xlfn.XLOOKUP($D18,'$_FABBISOGNI'!$H$12:$H$20,'$_FABBISOGNI'!$P$12:$P$20,0)</f>
        <v>17054.400000000001</v>
      </c>
      <c r="K18" s="174">
        <f t="shared" si="4"/>
        <v>17054.400000000001</v>
      </c>
      <c r="L18" s="177" t="str">
        <f>_xlfn.XLOOKUP($D18,'$_DATI_DI_BASE'!$E$65:$E$81,'$_DATI_DI_BASE'!$D$65:$D$81)</f>
        <v>PED+SCA</v>
      </c>
      <c r="M18" s="177" t="str">
        <f>_xlfn.XLOOKUP($D18,'$_DATI_DI_BASE'!$E$65:$E$81,'$_DATI_DI_BASE'!$J$65:$J$81)</f>
        <v>1800x800x800</v>
      </c>
      <c r="N18" s="193">
        <f>_xlfn.XLOOKUP($D18,'$_DATI_DI_BASE'!$E$65:$E$81,'$_DATI_DI_BASE'!$L$65:$L$81)</f>
        <v>3</v>
      </c>
      <c r="O18" s="174">
        <f t="shared" si="5"/>
        <v>5685</v>
      </c>
      <c r="P18" s="207">
        <f>'$_FABBISOGNI'!P25</f>
        <v>2436.3428571428572</v>
      </c>
      <c r="Q18" s="201">
        <f>P18*$G$3</f>
        <v>487.26857142857148</v>
      </c>
      <c r="R18" s="200">
        <f>P18+Q18</f>
        <v>2923.6114285714284</v>
      </c>
      <c r="S18" s="195">
        <f t="shared" si="6"/>
        <v>975</v>
      </c>
      <c r="T18" s="196">
        <f>$G$2/U18</f>
        <v>2.2000000000000002</v>
      </c>
      <c r="U18" s="197">
        <f>K18/((P18+Q18*2)/2)</f>
        <v>10</v>
      </c>
    </row>
    <row r="19" spans="1:21" x14ac:dyDescent="0.2">
      <c r="A19" s="490"/>
      <c r="B19" s="490"/>
      <c r="C19" s="490"/>
      <c r="D19" s="490"/>
      <c r="E19" s="490"/>
      <c r="F19" s="490"/>
      <c r="G19" s="490"/>
      <c r="H19" s="490"/>
      <c r="I19" s="489"/>
      <c r="J19" s="490"/>
      <c r="K19" s="490"/>
      <c r="L19" s="490"/>
      <c r="M19" s="490"/>
      <c r="N19" s="490"/>
      <c r="O19" s="490"/>
      <c r="P19" s="489"/>
      <c r="Q19" s="490"/>
      <c r="R19" s="490"/>
      <c r="S19" s="490"/>
      <c r="T19" s="490"/>
      <c r="U19" s="491"/>
    </row>
    <row r="20" spans="1:21" x14ac:dyDescent="0.2">
      <c r="A20" s="471" t="s">
        <v>218</v>
      </c>
      <c r="B20" s="480"/>
      <c r="C20" s="176" t="str">
        <f>'$_DATI_DI_BASE'!F40</f>
        <v>INT_SAL_001</v>
      </c>
      <c r="D20" s="478" t="str">
        <f>'$_DATI_DI_BASE'!I40</f>
        <v>(CORPO + INSERTO) PLANCIA SEGMENTO A1</v>
      </c>
      <c r="E20" s="478"/>
      <c r="F20" s="478"/>
      <c r="G20" s="478"/>
      <c r="H20" s="478"/>
      <c r="I20" s="202">
        <f>I17</f>
        <v>25581.599999999999</v>
      </c>
      <c r="J20" s="186">
        <f>_xlfn.XLOOKUP($D20,'$_FABBISOGNI'!$H$12:$H$20,'$_FABBISOGNI'!$P$12:$P$20,0)</f>
        <v>0</v>
      </c>
      <c r="K20" s="186">
        <f t="shared" si="4"/>
        <v>25581.599999999999</v>
      </c>
      <c r="L20" s="172" t="str">
        <f>_xlfn.XLOOKUP($D20,'$_DATI_DI_BASE'!$E$65:$E$81,'$_DATI_DI_BASE'!$D$65:$D$81)</f>
        <v>SPEC</v>
      </c>
      <c r="M20" s="172" t="str">
        <f>_xlfn.XLOOKUP($D20,'$_DATI_DI_BASE'!$E$65:$E$81,'$_DATI_DI_BASE'!$J$65:$J$81)</f>
        <v>1600x800x600</v>
      </c>
      <c r="N20" s="187">
        <f>_xlfn.XLOOKUP($D20,'$_DATI_DI_BASE'!$E$65:$E$81,'$_DATI_DI_BASE'!$L$65:$L$81)</f>
        <v>6</v>
      </c>
      <c r="O20" s="186">
        <f>ROUNDUP($K20/$N20,0)</f>
        <v>4264</v>
      </c>
      <c r="P20" s="206">
        <f>'$_FABBISOGNI'!P26*'$_DATI_DI_BASE'!K19</f>
        <v>6395.4</v>
      </c>
      <c r="Q20" s="198">
        <f>P20*$G$3</f>
        <v>1279.08</v>
      </c>
      <c r="R20" s="199">
        <f>P20+Q20</f>
        <v>7674.48</v>
      </c>
      <c r="S20" s="189">
        <f t="shared" si="6"/>
        <v>1280</v>
      </c>
      <c r="T20" s="190">
        <f>$G$2/U20</f>
        <v>3.85</v>
      </c>
      <c r="U20" s="191">
        <f>K20/((P20+Q20*2)/2)</f>
        <v>5.7142857142857144</v>
      </c>
    </row>
    <row r="21" spans="1:21" x14ac:dyDescent="0.2">
      <c r="A21" s="472"/>
      <c r="B21" s="218"/>
      <c r="C21" s="178" t="str">
        <f>'$_DATI_DI_BASE'!F50</f>
        <v>INT_SAL_002</v>
      </c>
      <c r="D21" s="477" t="str">
        <f>'$_DATI_DI_BASE'!I50</f>
        <v>(CORPO + INSERTO) PLANCIA SEGMENTO B</v>
      </c>
      <c r="E21" s="477"/>
      <c r="F21" s="477"/>
      <c r="G21" s="477"/>
      <c r="H21" s="477"/>
      <c r="I21" s="173">
        <f>_xlfn.XLOOKUP($D21,'$_FABBISOGNI'!$H$3:$H$11,'$_FABBISOGNI'!$P$3:$P$11,0)</f>
        <v>0</v>
      </c>
      <c r="J21" s="174">
        <f>J18</f>
        <v>17054.400000000001</v>
      </c>
      <c r="K21" s="174">
        <f t="shared" si="4"/>
        <v>17054.400000000001</v>
      </c>
      <c r="L21" s="177" t="str">
        <f>_xlfn.XLOOKUP($D21,'$_DATI_DI_BASE'!$E$65:$E$81,'$_DATI_DI_BASE'!$D$65:$D$81)</f>
        <v>SPEC</v>
      </c>
      <c r="M21" s="177" t="str">
        <f>_xlfn.XLOOKUP($D21,'$_DATI_DI_BASE'!$E$65:$E$81,'$_DATI_DI_BASE'!$J$65:$J$81)</f>
        <v>1600x800x600</v>
      </c>
      <c r="N21" s="193">
        <f>_xlfn.XLOOKUP($D21,'$_DATI_DI_BASE'!$E$65:$E$81,'$_DATI_DI_BASE'!$L$65:$L$81)</f>
        <v>4</v>
      </c>
      <c r="O21" s="174">
        <f t="shared" si="5"/>
        <v>4264</v>
      </c>
      <c r="P21" s="207">
        <f>'$_FABBISOGNI'!P27*'$_DATI_DI_BASE'!K19</f>
        <v>4263.6000000000004</v>
      </c>
      <c r="Q21" s="200">
        <f>P21*$G$3</f>
        <v>852.72000000000014</v>
      </c>
      <c r="R21" s="201">
        <f>P21+Q21</f>
        <v>5116.3200000000006</v>
      </c>
      <c r="S21" s="195">
        <f t="shared" si="6"/>
        <v>1280</v>
      </c>
      <c r="T21" s="196">
        <f>$G$2/U21</f>
        <v>3.8500000000000005</v>
      </c>
      <c r="U21" s="197">
        <f>K21/((P21+Q21*2)/2)</f>
        <v>5.7142857142857135</v>
      </c>
    </row>
    <row r="22" spans="1:21" x14ac:dyDescent="0.2">
      <c r="A22" s="3"/>
      <c r="B22" s="12"/>
      <c r="D22" s="428"/>
      <c r="E22" s="428"/>
      <c r="F22" s="428"/>
      <c r="G22" s="428"/>
      <c r="H22" s="428"/>
      <c r="I22" s="119"/>
      <c r="J22" s="119"/>
      <c r="K22" s="119"/>
      <c r="L22" s="1"/>
      <c r="M22" s="1"/>
      <c r="P22" s="3"/>
      <c r="Q22" s="3"/>
      <c r="R22" s="3"/>
      <c r="S22" s="3"/>
      <c r="T22" s="3"/>
      <c r="U22" s="3"/>
    </row>
    <row r="23" spans="1:21" x14ac:dyDescent="0.2">
      <c r="A23" s="3"/>
      <c r="B23" s="12"/>
      <c r="D23" s="428"/>
      <c r="E23" s="428"/>
      <c r="F23" s="428"/>
      <c r="G23" s="428"/>
      <c r="H23" s="428"/>
      <c r="I23" s="119"/>
      <c r="J23" s="119"/>
      <c r="K23" s="119"/>
      <c r="L23" s="1"/>
      <c r="M23" s="1"/>
      <c r="P23" s="3"/>
      <c r="Q23" s="3"/>
      <c r="R23" s="3"/>
      <c r="S23" s="3"/>
      <c r="T23" s="3"/>
      <c r="U23" s="3"/>
    </row>
    <row r="24" spans="1:21" x14ac:dyDescent="0.2">
      <c r="A24" s="3"/>
      <c r="B24" s="12"/>
      <c r="D24" s="428"/>
      <c r="E24" s="428"/>
      <c r="F24" s="428"/>
      <c r="G24" s="428"/>
      <c r="H24" s="428"/>
      <c r="I24" s="119"/>
      <c r="J24" s="119"/>
      <c r="K24" s="119"/>
      <c r="L24" s="1"/>
      <c r="M24" s="1"/>
    </row>
    <row r="25" spans="1:21" x14ac:dyDescent="0.2">
      <c r="A25" s="3"/>
      <c r="B25" s="12"/>
      <c r="D25" s="428"/>
      <c r="E25" s="428"/>
      <c r="F25" s="428"/>
      <c r="G25" s="428"/>
      <c r="H25" s="428"/>
      <c r="I25" s="119"/>
      <c r="J25" s="119"/>
      <c r="K25" s="119"/>
      <c r="L25" s="1"/>
      <c r="M25" s="1"/>
    </row>
    <row r="26" spans="1:21" x14ac:dyDescent="0.2">
      <c r="A26" s="3"/>
      <c r="B26" s="12"/>
      <c r="D26" s="428"/>
      <c r="E26" s="428"/>
      <c r="F26" s="428"/>
      <c r="G26" s="428"/>
      <c r="H26" s="428"/>
      <c r="I26" s="119"/>
      <c r="J26" s="119"/>
      <c r="K26" s="119"/>
      <c r="L26" s="1"/>
      <c r="M26" s="1"/>
    </row>
    <row r="27" spans="1:21" x14ac:dyDescent="0.2">
      <c r="A27" s="3"/>
      <c r="B27" s="12"/>
      <c r="D27" s="428"/>
      <c r="E27" s="428"/>
      <c r="F27" s="428"/>
      <c r="G27" s="428"/>
      <c r="H27" s="428"/>
      <c r="I27" s="119"/>
      <c r="J27" s="119"/>
      <c r="K27" s="119"/>
      <c r="L27" s="1"/>
      <c r="M27" s="1"/>
    </row>
    <row r="28" spans="1:21" x14ac:dyDescent="0.2">
      <c r="A28" s="3"/>
      <c r="B28" s="12"/>
      <c r="D28" s="428"/>
      <c r="E28" s="428"/>
      <c r="F28" s="428"/>
      <c r="G28" s="428"/>
      <c r="H28" s="428"/>
      <c r="I28" s="119"/>
      <c r="J28" s="119"/>
      <c r="K28" s="119"/>
      <c r="L28" s="1"/>
      <c r="M28" s="1"/>
    </row>
    <row r="29" spans="1:21" x14ac:dyDescent="0.2">
      <c r="A29" s="3"/>
      <c r="B29" s="12"/>
      <c r="D29" s="428"/>
      <c r="E29" s="428"/>
      <c r="F29" s="428"/>
      <c r="G29" s="428"/>
      <c r="H29" s="428"/>
      <c r="I29" s="119"/>
      <c r="J29" s="119"/>
      <c r="K29" s="119"/>
      <c r="L29" s="1"/>
      <c r="M29" s="1"/>
    </row>
    <row r="30" spans="1:21" x14ac:dyDescent="0.2">
      <c r="A30" s="3"/>
      <c r="B30" s="12"/>
      <c r="D30" s="428"/>
      <c r="E30" s="428"/>
      <c r="F30" s="428"/>
      <c r="G30" s="428"/>
      <c r="H30" s="428"/>
      <c r="I30" s="119"/>
      <c r="J30" s="119"/>
      <c r="K30" s="119"/>
      <c r="L30" s="1"/>
      <c r="M30" s="1"/>
    </row>
    <row r="31" spans="1:21" x14ac:dyDescent="0.2">
      <c r="A31" s="3"/>
      <c r="B31" s="12"/>
      <c r="D31" s="428"/>
      <c r="E31" s="428"/>
      <c r="F31" s="428"/>
      <c r="G31" s="428"/>
      <c r="H31" s="428"/>
      <c r="I31" s="119"/>
      <c r="J31" s="119"/>
      <c r="K31" s="119"/>
      <c r="L31" s="1"/>
      <c r="M31" s="1"/>
    </row>
    <row r="32" spans="1:21" x14ac:dyDescent="0.2">
      <c r="A32" s="3"/>
      <c r="B32" s="12"/>
      <c r="D32" s="428"/>
      <c r="E32" s="428"/>
      <c r="F32" s="428"/>
      <c r="G32" s="428"/>
      <c r="H32" s="428"/>
      <c r="I32" s="119"/>
      <c r="J32" s="119"/>
      <c r="K32" s="119"/>
      <c r="L32" s="1"/>
      <c r="M32" s="1"/>
    </row>
    <row r="33" spans="1:13" x14ac:dyDescent="0.2">
      <c r="A33" s="3"/>
      <c r="B33" s="12"/>
      <c r="D33" s="428"/>
      <c r="E33" s="428"/>
      <c r="F33" s="428"/>
      <c r="G33" s="428"/>
      <c r="H33" s="428"/>
      <c r="I33" s="119"/>
      <c r="J33" s="119"/>
      <c r="K33" s="119"/>
      <c r="L33" s="1"/>
      <c r="M33" s="1"/>
    </row>
    <row r="34" spans="1:13" x14ac:dyDescent="0.2">
      <c r="A34" s="3"/>
      <c r="B34" s="12"/>
      <c r="D34" s="428"/>
      <c r="E34" s="428"/>
      <c r="F34" s="428"/>
      <c r="G34" s="428"/>
      <c r="H34" s="428"/>
      <c r="I34" s="119"/>
      <c r="J34" s="119"/>
      <c r="K34" s="119"/>
      <c r="L34" s="1"/>
      <c r="M34" s="1"/>
    </row>
    <row r="35" spans="1:13" x14ac:dyDescent="0.2">
      <c r="A35" s="3"/>
      <c r="B35" s="12"/>
      <c r="D35" s="428"/>
      <c r="E35" s="428"/>
      <c r="F35" s="428"/>
      <c r="G35" s="428"/>
      <c r="H35" s="428"/>
      <c r="I35" s="119"/>
      <c r="J35" s="119"/>
      <c r="K35" s="119"/>
      <c r="L35" s="1"/>
      <c r="M35" s="1"/>
    </row>
    <row r="36" spans="1:13" x14ac:dyDescent="0.2">
      <c r="A36" s="3"/>
      <c r="B36" s="12"/>
      <c r="D36" s="428"/>
      <c r="E36" s="428"/>
      <c r="F36" s="428"/>
      <c r="G36" s="428"/>
      <c r="H36" s="428"/>
      <c r="I36" s="119"/>
      <c r="J36" s="119"/>
      <c r="K36" s="119"/>
      <c r="L36" s="1"/>
      <c r="M36" s="1"/>
    </row>
    <row r="37" spans="1:13" x14ac:dyDescent="0.2">
      <c r="A37" s="3"/>
      <c r="B37" s="12"/>
      <c r="D37" s="428"/>
      <c r="E37" s="428"/>
      <c r="F37" s="428"/>
      <c r="G37" s="428"/>
      <c r="H37" s="428"/>
      <c r="I37" s="119"/>
      <c r="J37" s="119"/>
      <c r="K37" s="119"/>
      <c r="L37" s="1"/>
      <c r="M37" s="1"/>
    </row>
    <row r="38" spans="1:13" x14ac:dyDescent="0.2">
      <c r="A38" s="3"/>
      <c r="B38" s="12"/>
      <c r="D38" s="428"/>
      <c r="E38" s="428"/>
      <c r="F38" s="428"/>
      <c r="G38" s="428"/>
      <c r="H38" s="428"/>
      <c r="I38" s="119"/>
      <c r="J38" s="119"/>
      <c r="K38" s="119"/>
      <c r="L38" s="1"/>
      <c r="M38" s="1"/>
    </row>
    <row r="39" spans="1:13" x14ac:dyDescent="0.2">
      <c r="A39" s="3"/>
      <c r="B39" s="12"/>
      <c r="D39" s="428"/>
      <c r="E39" s="428"/>
      <c r="F39" s="428"/>
      <c r="G39" s="428"/>
      <c r="H39" s="428"/>
      <c r="I39" s="119"/>
      <c r="J39" s="119"/>
      <c r="K39" s="119"/>
      <c r="L39" s="1"/>
      <c r="M39" s="1"/>
    </row>
    <row r="40" spans="1:13" x14ac:dyDescent="0.2">
      <c r="A40" s="3"/>
      <c r="B40" s="12"/>
      <c r="D40" s="428"/>
      <c r="E40" s="428"/>
      <c r="F40" s="428"/>
      <c r="G40" s="428"/>
      <c r="H40" s="428"/>
      <c r="I40" s="119"/>
      <c r="J40" s="119"/>
      <c r="K40" s="119"/>
      <c r="L40" s="1"/>
      <c r="M40" s="1"/>
    </row>
    <row r="41" spans="1:13" x14ac:dyDescent="0.2">
      <c r="A41" s="3"/>
      <c r="B41" s="12"/>
      <c r="D41" s="428"/>
      <c r="E41" s="428"/>
      <c r="F41" s="428"/>
      <c r="G41" s="428"/>
      <c r="H41" s="428"/>
      <c r="I41" s="119"/>
      <c r="J41" s="119"/>
      <c r="K41" s="119"/>
      <c r="L41" s="1"/>
      <c r="M41" s="1"/>
    </row>
    <row r="42" spans="1:13" x14ac:dyDescent="0.2">
      <c r="A42" s="3"/>
      <c r="B42" s="12"/>
      <c r="D42" s="428"/>
      <c r="E42" s="428"/>
      <c r="F42" s="428"/>
      <c r="G42" s="428"/>
      <c r="H42" s="428"/>
      <c r="I42" s="119"/>
      <c r="J42" s="119"/>
      <c r="K42" s="119"/>
      <c r="L42" s="1"/>
      <c r="M42" s="1"/>
    </row>
    <row r="43" spans="1:13" x14ac:dyDescent="0.2">
      <c r="A43" s="3"/>
      <c r="B43" s="12"/>
      <c r="D43" s="428"/>
      <c r="E43" s="428"/>
      <c r="F43" s="428"/>
      <c r="G43" s="428"/>
      <c r="H43" s="428"/>
      <c r="I43" s="119"/>
      <c r="J43" s="119"/>
      <c r="K43" s="119"/>
      <c r="L43" s="1"/>
      <c r="M43" s="1"/>
    </row>
  </sheetData>
  <sortState xmlns:xlrd2="http://schemas.microsoft.com/office/spreadsheetml/2017/richdata2" ref="AA19:AA28">
    <sortCondition descending="1" ref="AA19:AA28"/>
  </sortState>
  <mergeCells count="68">
    <mergeCell ref="E1:F1"/>
    <mergeCell ref="D4:H5"/>
    <mergeCell ref="A16:H16"/>
    <mergeCell ref="A19:H19"/>
    <mergeCell ref="I1:O3"/>
    <mergeCell ref="A17:B18"/>
    <mergeCell ref="E3:F3"/>
    <mergeCell ref="D7:H7"/>
    <mergeCell ref="D8:H8"/>
    <mergeCell ref="D10:H10"/>
    <mergeCell ref="D13:H13"/>
    <mergeCell ref="E2:F2"/>
    <mergeCell ref="A1:C1"/>
    <mergeCell ref="A2:C2"/>
    <mergeCell ref="A3:C3"/>
    <mergeCell ref="C4:C5"/>
    <mergeCell ref="P1:U3"/>
    <mergeCell ref="I16:O16"/>
    <mergeCell ref="I19:O19"/>
    <mergeCell ref="P19:U19"/>
    <mergeCell ref="P16:U16"/>
    <mergeCell ref="O4:O5"/>
    <mergeCell ref="I4:J4"/>
    <mergeCell ref="K4:K5"/>
    <mergeCell ref="L4:L5"/>
    <mergeCell ref="N4:N5"/>
    <mergeCell ref="M4:M5"/>
    <mergeCell ref="S4:S5"/>
    <mergeCell ref="P4:P5"/>
    <mergeCell ref="Q4:Q5"/>
    <mergeCell ref="R4:R5"/>
    <mergeCell ref="U4:U5"/>
    <mergeCell ref="D34:H34"/>
    <mergeCell ref="D35:H35"/>
    <mergeCell ref="A4:B5"/>
    <mergeCell ref="D22:H22"/>
    <mergeCell ref="D23:H23"/>
    <mergeCell ref="D24:H24"/>
    <mergeCell ref="D25:H25"/>
    <mergeCell ref="A20:B21"/>
    <mergeCell ref="A6:B15"/>
    <mergeCell ref="D42:H42"/>
    <mergeCell ref="D43:H43"/>
    <mergeCell ref="D40:H40"/>
    <mergeCell ref="D41:H41"/>
    <mergeCell ref="D26:H26"/>
    <mergeCell ref="D27:H27"/>
    <mergeCell ref="D28:H28"/>
    <mergeCell ref="D29:H29"/>
    <mergeCell ref="D38:H38"/>
    <mergeCell ref="D39:H39"/>
    <mergeCell ref="D37:H37"/>
    <mergeCell ref="D36:H36"/>
    <mergeCell ref="D30:H30"/>
    <mergeCell ref="D31:H31"/>
    <mergeCell ref="D32:H32"/>
    <mergeCell ref="D33:H33"/>
    <mergeCell ref="T4:T5"/>
    <mergeCell ref="D21:H21"/>
    <mergeCell ref="D15:H15"/>
    <mergeCell ref="D11:H11"/>
    <mergeCell ref="D17:H17"/>
    <mergeCell ref="D12:H12"/>
    <mergeCell ref="D18:H18"/>
    <mergeCell ref="D20:H20"/>
    <mergeCell ref="D6:H6"/>
    <mergeCell ref="D9:H9"/>
    <mergeCell ref="D14:H14"/>
  </mergeCells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Q33"/>
  <sheetViews>
    <sheetView workbookViewId="0">
      <selection activeCell="H12" sqref="H12:I13"/>
    </sheetView>
  </sheetViews>
  <sheetFormatPr baseColWidth="10" defaultColWidth="8.83203125" defaultRowHeight="15" x14ac:dyDescent="0.2"/>
  <cols>
    <col min="3" max="7" width="11.83203125" customWidth="1"/>
  </cols>
  <sheetData>
    <row r="2" spans="1:9" ht="15" customHeight="1" x14ac:dyDescent="0.2">
      <c r="A2" s="531" t="s">
        <v>219</v>
      </c>
      <c r="B2" s="531"/>
      <c r="C2" s="531"/>
      <c r="D2" s="531"/>
      <c r="E2" s="531"/>
      <c r="F2" s="531"/>
      <c r="G2" s="531"/>
      <c r="H2" s="531"/>
      <c r="I2" s="531"/>
    </row>
    <row r="3" spans="1:9" ht="15" customHeight="1" x14ac:dyDescent="0.2">
      <c r="A3" s="531"/>
      <c r="B3" s="531"/>
      <c r="C3" s="531"/>
      <c r="D3" s="531"/>
      <c r="E3" s="531"/>
      <c r="F3" s="531"/>
      <c r="G3" s="531"/>
      <c r="H3" s="531"/>
      <c r="I3" s="531"/>
    </row>
    <row r="4" spans="1:9" ht="14.5" customHeight="1" x14ac:dyDescent="0.2">
      <c r="A4" s="533" t="s">
        <v>220</v>
      </c>
      <c r="B4" s="533"/>
      <c r="C4" s="521" t="s">
        <v>221</v>
      </c>
      <c r="D4" s="521" t="s">
        <v>222</v>
      </c>
      <c r="E4" s="521" t="s">
        <v>51</v>
      </c>
      <c r="F4" s="521" t="s">
        <v>223</v>
      </c>
      <c r="G4" s="521" t="s">
        <v>224</v>
      </c>
      <c r="H4" s="518" t="s">
        <v>172</v>
      </c>
      <c r="I4" s="518"/>
    </row>
    <row r="5" spans="1:9" x14ac:dyDescent="0.2">
      <c r="A5" s="533"/>
      <c r="B5" s="533"/>
      <c r="C5" s="521"/>
      <c r="D5" s="521"/>
      <c r="E5" s="521"/>
      <c r="F5" s="521"/>
      <c r="G5" s="521"/>
      <c r="H5" s="518"/>
      <c r="I5" s="518"/>
    </row>
    <row r="6" spans="1:9" ht="14.5" customHeight="1" x14ac:dyDescent="0.2">
      <c r="A6" s="527" t="s">
        <v>221</v>
      </c>
      <c r="B6" s="528"/>
      <c r="C6" s="532"/>
      <c r="D6" s="526"/>
      <c r="E6" s="526">
        <f>SUM('$_MAG_BUFFER'!O10:'$_MAG_BUFFER'!O15)</f>
        <v>1133</v>
      </c>
      <c r="F6" s="526"/>
      <c r="G6" s="526">
        <f>SUM('$_MAG_BUFFER'!O6:'$_MAG_BUFFER'!O9)</f>
        <v>13489</v>
      </c>
      <c r="H6" s="534">
        <f>SUM(C6:G7)</f>
        <v>14622</v>
      </c>
      <c r="I6" s="535"/>
    </row>
    <row r="7" spans="1:9" ht="14.5" customHeight="1" x14ac:dyDescent="0.2">
      <c r="A7" s="529"/>
      <c r="B7" s="530"/>
      <c r="C7" s="532"/>
      <c r="D7" s="526"/>
      <c r="E7" s="526"/>
      <c r="F7" s="526"/>
      <c r="G7" s="526"/>
      <c r="H7" s="535"/>
      <c r="I7" s="535"/>
    </row>
    <row r="8" spans="1:9" ht="14.5" customHeight="1" x14ac:dyDescent="0.2">
      <c r="A8" s="527" t="s">
        <v>222</v>
      </c>
      <c r="B8" s="528"/>
      <c r="C8" s="526"/>
      <c r="D8" s="532"/>
      <c r="E8" s="526"/>
      <c r="F8" s="526"/>
      <c r="G8" s="526"/>
      <c r="H8" s="534">
        <f>SUM(E8:G9)</f>
        <v>0</v>
      </c>
      <c r="I8" s="535"/>
    </row>
    <row r="9" spans="1:9" ht="14.5" customHeight="1" x14ac:dyDescent="0.2">
      <c r="A9" s="529"/>
      <c r="B9" s="530"/>
      <c r="C9" s="526"/>
      <c r="D9" s="532"/>
      <c r="E9" s="526"/>
      <c r="F9" s="526"/>
      <c r="G9" s="526"/>
      <c r="H9" s="535"/>
      <c r="I9" s="535"/>
    </row>
    <row r="10" spans="1:9" ht="14.5" customHeight="1" x14ac:dyDescent="0.2">
      <c r="A10" s="527" t="s">
        <v>51</v>
      </c>
      <c r="B10" s="528"/>
      <c r="C10" s="526"/>
      <c r="D10" s="526">
        <f>SUM('$_MAG_BUFFER'!O17:'$_MAG_BUFFER'!O18)</f>
        <v>12081</v>
      </c>
      <c r="E10" s="532"/>
      <c r="F10" s="526"/>
      <c r="G10" s="526"/>
      <c r="H10" s="534">
        <f>SUM(C10:G11)</f>
        <v>12081</v>
      </c>
      <c r="I10" s="535"/>
    </row>
    <row r="11" spans="1:9" ht="14.5" customHeight="1" x14ac:dyDescent="0.2">
      <c r="A11" s="529"/>
      <c r="B11" s="530"/>
      <c r="C11" s="526"/>
      <c r="D11" s="526"/>
      <c r="E11" s="532"/>
      <c r="F11" s="526"/>
      <c r="G11" s="526"/>
      <c r="H11" s="535"/>
      <c r="I11" s="535"/>
    </row>
    <row r="12" spans="1:9" ht="14.5" customHeight="1" x14ac:dyDescent="0.2">
      <c r="A12" s="527" t="s">
        <v>223</v>
      </c>
      <c r="B12" s="528"/>
      <c r="C12" s="526"/>
      <c r="D12" s="526"/>
      <c r="E12" s="526">
        <f>SUM('$_MAG_BUFFER'!O20:'$_MAG_BUFFER'!O21)</f>
        <v>8528</v>
      </c>
      <c r="F12" s="532"/>
      <c r="G12" s="526"/>
      <c r="H12" s="534">
        <f>SUM(C12:G13)</f>
        <v>8528</v>
      </c>
      <c r="I12" s="535"/>
    </row>
    <row r="13" spans="1:9" ht="14.5" customHeight="1" x14ac:dyDescent="0.2">
      <c r="A13" s="529"/>
      <c r="B13" s="530"/>
      <c r="C13" s="526"/>
      <c r="D13" s="526"/>
      <c r="E13" s="526"/>
      <c r="F13" s="532"/>
      <c r="G13" s="526"/>
      <c r="H13" s="535"/>
      <c r="I13" s="535"/>
    </row>
    <row r="14" spans="1:9" ht="14.5" customHeight="1" x14ac:dyDescent="0.2">
      <c r="A14" s="527" t="s">
        <v>224</v>
      </c>
      <c r="B14" s="528"/>
      <c r="C14" s="526"/>
      <c r="D14" s="526"/>
      <c r="E14" s="526"/>
      <c r="F14" s="526">
        <f>SUM('$_MAG_BUFFER'!O20:'$_MAG_BUFFER'!O21)</f>
        <v>8528</v>
      </c>
      <c r="G14" s="532"/>
      <c r="H14" s="534">
        <f>SUM(C14:G15)</f>
        <v>8528</v>
      </c>
      <c r="I14" s="535"/>
    </row>
    <row r="15" spans="1:9" ht="14.5" customHeight="1" x14ac:dyDescent="0.2">
      <c r="A15" s="529"/>
      <c r="B15" s="530"/>
      <c r="C15" s="526"/>
      <c r="D15" s="526"/>
      <c r="E15" s="526"/>
      <c r="F15" s="526"/>
      <c r="G15" s="532"/>
      <c r="H15" s="535"/>
      <c r="I15" s="535"/>
    </row>
    <row r="16" spans="1:9" ht="15" customHeight="1" x14ac:dyDescent="0.2">
      <c r="A16" s="518" t="s">
        <v>172</v>
      </c>
      <c r="B16" s="518"/>
      <c r="C16" s="519">
        <f>SUM(C6:C15)</f>
        <v>0</v>
      </c>
      <c r="D16" s="519">
        <f>SUM(D6:D15)</f>
        <v>12081</v>
      </c>
      <c r="E16" s="519">
        <f>SUM(E6:E15)</f>
        <v>9661</v>
      </c>
      <c r="F16" s="519">
        <f>SUM(F6:F15)</f>
        <v>8528</v>
      </c>
      <c r="G16" s="519">
        <f>SUM(G6:G15)</f>
        <v>13489</v>
      </c>
      <c r="H16" s="536">
        <f>SUM(H6:I15)</f>
        <v>43759</v>
      </c>
      <c r="I16" s="536"/>
    </row>
    <row r="17" spans="1:17" ht="15" customHeight="1" x14ac:dyDescent="0.2">
      <c r="A17" s="518"/>
      <c r="B17" s="518"/>
      <c r="C17" s="520"/>
      <c r="D17" s="520"/>
      <c r="E17" s="520"/>
      <c r="F17" s="520"/>
      <c r="G17" s="520"/>
      <c r="H17" s="536">
        <f>SUM(C16:G17)</f>
        <v>43759</v>
      </c>
      <c r="I17" s="537"/>
    </row>
    <row r="18" spans="1:17" x14ac:dyDescent="0.2">
      <c r="F18" s="23"/>
    </row>
    <row r="19" spans="1:17" ht="16" thickBot="1" x14ac:dyDescent="0.25">
      <c r="Q19" t="s">
        <v>225</v>
      </c>
    </row>
    <row r="20" spans="1:17" ht="14.75" customHeight="1" x14ac:dyDescent="0.2">
      <c r="A20" s="507" t="s">
        <v>226</v>
      </c>
      <c r="B20" s="508"/>
      <c r="C20" s="522" t="s">
        <v>227</v>
      </c>
      <c r="D20" s="523"/>
      <c r="E20" s="512" t="s">
        <v>228</v>
      </c>
      <c r="F20" s="372"/>
      <c r="G20" s="512" t="s">
        <v>229</v>
      </c>
      <c r="H20" s="513"/>
      <c r="I20" s="512" t="s">
        <v>230</v>
      </c>
      <c r="J20" s="513"/>
      <c r="K20" s="512" t="s">
        <v>231</v>
      </c>
      <c r="L20" s="513"/>
    </row>
    <row r="21" spans="1:17" x14ac:dyDescent="0.2">
      <c r="A21" s="509"/>
      <c r="B21" s="236"/>
      <c r="C21" s="524"/>
      <c r="D21" s="525"/>
      <c r="E21" s="249"/>
      <c r="F21" s="249"/>
      <c r="G21" s="249"/>
      <c r="H21" s="514"/>
      <c r="I21" s="249"/>
      <c r="J21" s="514"/>
      <c r="K21" s="249"/>
      <c r="L21" s="514"/>
    </row>
    <row r="22" spans="1:17" ht="14.5" customHeight="1" thickBot="1" x14ac:dyDescent="0.25">
      <c r="A22" s="510"/>
      <c r="B22" s="511"/>
      <c r="C22" s="515">
        <v>0</v>
      </c>
      <c r="D22" s="517"/>
      <c r="E22" s="515">
        <f>SUM('$_MAG_BUFFER'!O10)</f>
        <v>597</v>
      </c>
      <c r="F22" s="517"/>
      <c r="G22" s="515">
        <f>SUM('$_MAG_BUFFER'!O6:O9)</f>
        <v>13489</v>
      </c>
      <c r="H22" s="517"/>
      <c r="I22" s="515">
        <f>SUM('$_MAG_BUFFER'!O11:'$_MAG_BUFFER'!O15)</f>
        <v>536</v>
      </c>
      <c r="J22" s="517"/>
      <c r="K22" s="515"/>
      <c r="L22" s="516"/>
    </row>
    <row r="23" spans="1:17" ht="14.5" customHeight="1" thickBot="1" x14ac:dyDescent="0.25"/>
    <row r="24" spans="1:17" x14ac:dyDescent="0.2">
      <c r="A24" s="507" t="s">
        <v>232</v>
      </c>
      <c r="B24" s="508"/>
      <c r="C24" s="512" t="s">
        <v>233</v>
      </c>
      <c r="D24" s="513"/>
      <c r="H24" s="2"/>
    </row>
    <row r="25" spans="1:17" x14ac:dyDescent="0.2">
      <c r="A25" s="509"/>
      <c r="B25" s="236"/>
      <c r="C25" s="249"/>
      <c r="D25" s="514"/>
    </row>
    <row r="26" spans="1:17" ht="16" thickBot="1" x14ac:dyDescent="0.25">
      <c r="A26" s="510"/>
      <c r="B26" s="511"/>
      <c r="C26" s="515">
        <f>SUM('$_MAG_BUFFER'!O17:'$_MAG_BUFFER'!O18)</f>
        <v>12081</v>
      </c>
      <c r="D26" s="516"/>
    </row>
    <row r="28" spans="1:17" ht="14.5" customHeight="1" x14ac:dyDescent="0.2"/>
    <row r="29" spans="1:17" ht="14.5" customHeight="1" x14ac:dyDescent="0.2"/>
    <row r="30" spans="1:17" ht="15" customHeight="1" x14ac:dyDescent="0.2"/>
    <row r="31" spans="1:17" ht="15" customHeight="1" x14ac:dyDescent="0.2"/>
    <row r="32" spans="1:17" x14ac:dyDescent="0.2">
      <c r="A32" s="121"/>
      <c r="B32" s="121"/>
      <c r="C32" s="121"/>
      <c r="D32" s="121"/>
    </row>
    <row r="33" spans="1:4" x14ac:dyDescent="0.2">
      <c r="A33" s="121"/>
      <c r="B33" s="121"/>
      <c r="C33" s="121"/>
      <c r="D33" s="121"/>
    </row>
  </sheetData>
  <mergeCells count="65">
    <mergeCell ref="H4:I5"/>
    <mergeCell ref="H6:I7"/>
    <mergeCell ref="H8:I9"/>
    <mergeCell ref="H10:I11"/>
    <mergeCell ref="H12:I13"/>
    <mergeCell ref="F12:F13"/>
    <mergeCell ref="D8:D9"/>
    <mergeCell ref="D6:D7"/>
    <mergeCell ref="K20:L21"/>
    <mergeCell ref="K22:L22"/>
    <mergeCell ref="H14:I15"/>
    <mergeCell ref="H16:I16"/>
    <mergeCell ref="H17:I17"/>
    <mergeCell ref="G20:H21"/>
    <mergeCell ref="G22:H22"/>
    <mergeCell ref="I20:J21"/>
    <mergeCell ref="I22:J22"/>
    <mergeCell ref="G14:G15"/>
    <mergeCell ref="G10:G11"/>
    <mergeCell ref="D4:D5"/>
    <mergeCell ref="E4:E5"/>
    <mergeCell ref="D10:D11"/>
    <mergeCell ref="E10:E11"/>
    <mergeCell ref="F10:F11"/>
    <mergeCell ref="F4:F5"/>
    <mergeCell ref="F6:F7"/>
    <mergeCell ref="F8:F9"/>
    <mergeCell ref="A2:I3"/>
    <mergeCell ref="G16:G17"/>
    <mergeCell ref="C16:C17"/>
    <mergeCell ref="D16:D17"/>
    <mergeCell ref="A6:B7"/>
    <mergeCell ref="A8:B9"/>
    <mergeCell ref="A10:B11"/>
    <mergeCell ref="C6:C7"/>
    <mergeCell ref="E8:E9"/>
    <mergeCell ref="E6:E7"/>
    <mergeCell ref="C14:C15"/>
    <mergeCell ref="D14:D15"/>
    <mergeCell ref="C8:C9"/>
    <mergeCell ref="C10:C11"/>
    <mergeCell ref="F14:F15"/>
    <mergeCell ref="A4:B5"/>
    <mergeCell ref="G4:G5"/>
    <mergeCell ref="A20:B22"/>
    <mergeCell ref="C20:D21"/>
    <mergeCell ref="C22:D22"/>
    <mergeCell ref="E20:F21"/>
    <mergeCell ref="C12:C13"/>
    <mergeCell ref="D12:D13"/>
    <mergeCell ref="E12:E13"/>
    <mergeCell ref="A12:B13"/>
    <mergeCell ref="A14:B15"/>
    <mergeCell ref="E14:E15"/>
    <mergeCell ref="G12:G13"/>
    <mergeCell ref="G6:G7"/>
    <mergeCell ref="G8:G9"/>
    <mergeCell ref="F16:F17"/>
    <mergeCell ref="C4:C5"/>
    <mergeCell ref="A24:B26"/>
    <mergeCell ref="C24:D25"/>
    <mergeCell ref="C26:D26"/>
    <mergeCell ref="E22:F22"/>
    <mergeCell ref="A16:B17"/>
    <mergeCell ref="E16:E17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C5C68-C20C-4700-8E51-832116980DBB}">
  <dimension ref="A1:AW47"/>
  <sheetViews>
    <sheetView topLeftCell="AB1" zoomScale="118" zoomScaleNormal="55" workbookViewId="0">
      <selection activeCell="AL26" sqref="AL26"/>
    </sheetView>
  </sheetViews>
  <sheetFormatPr baseColWidth="10" defaultColWidth="8.83203125" defaultRowHeight="15" x14ac:dyDescent="0.2"/>
  <cols>
    <col min="16" max="16" width="11.83203125" customWidth="1"/>
    <col min="21" max="22" width="10.33203125" customWidth="1"/>
    <col min="24" max="24" width="10.33203125" customWidth="1"/>
    <col min="26" max="26" width="10.33203125" customWidth="1"/>
    <col min="28" max="28" width="10.33203125" customWidth="1"/>
    <col min="30" max="30" width="10.33203125" customWidth="1"/>
    <col min="32" max="32" width="10.33203125" customWidth="1"/>
    <col min="34" max="34" width="10.33203125" customWidth="1"/>
    <col min="36" max="37" width="10.33203125" customWidth="1"/>
    <col min="38" max="38" width="12.6640625" customWidth="1"/>
    <col min="50" max="50" width="9.6640625" bestFit="1" customWidth="1"/>
  </cols>
  <sheetData>
    <row r="1" spans="1:49" x14ac:dyDescent="0.2">
      <c r="A1" t="e" cm="1">
        <f t="array" ref="A1">+A1:AA37AJ37A1:AK5A1:#REF!</f>
        <v>#NAME?</v>
      </c>
    </row>
    <row r="5" spans="1:49" ht="15" customHeight="1" x14ac:dyDescent="0.2">
      <c r="N5" s="118"/>
      <c r="O5" s="118"/>
      <c r="P5" s="118"/>
    </row>
    <row r="6" spans="1:49" ht="15" customHeight="1" x14ac:dyDescent="0.2">
      <c r="N6" s="118"/>
      <c r="O6" s="118"/>
      <c r="P6" s="118"/>
    </row>
    <row r="7" spans="1:49" ht="24.75" customHeight="1" x14ac:dyDescent="0.2"/>
    <row r="8" spans="1:49" ht="28.5" customHeight="1" x14ac:dyDescent="0.2">
      <c r="D8" s="9" t="s">
        <v>234</v>
      </c>
      <c r="E8" s="230" t="s">
        <v>235</v>
      </c>
      <c r="F8" s="230"/>
      <c r="G8" s="230"/>
      <c r="H8" s="230"/>
      <c r="I8" s="230"/>
      <c r="J8" s="230"/>
      <c r="K8" s="230"/>
      <c r="L8" s="230"/>
      <c r="M8" s="230"/>
      <c r="N8" s="9" t="s">
        <v>236</v>
      </c>
      <c r="O8" s="44" t="s">
        <v>237</v>
      </c>
      <c r="P8" s="44" t="s">
        <v>238</v>
      </c>
      <c r="R8" s="9" t="s">
        <v>234</v>
      </c>
      <c r="S8" s="44" t="s">
        <v>238</v>
      </c>
      <c r="T8" s="9" t="s">
        <v>239</v>
      </c>
      <c r="U8" s="230" t="s">
        <v>240</v>
      </c>
      <c r="V8" s="230"/>
    </row>
    <row r="9" spans="1:49" ht="16.5" customHeight="1" x14ac:dyDescent="0.2">
      <c r="D9" s="10" t="s">
        <v>241</v>
      </c>
      <c r="E9" s="242" t="s">
        <v>242</v>
      </c>
      <c r="F9" s="242"/>
      <c r="G9" s="242"/>
      <c r="H9" s="242"/>
      <c r="I9" s="242"/>
      <c r="J9" s="242"/>
      <c r="K9" s="242"/>
      <c r="L9" s="242"/>
      <c r="M9" s="242"/>
      <c r="N9" s="10" t="s">
        <v>243</v>
      </c>
      <c r="O9" s="14">
        <v>0.32000000000000006</v>
      </c>
      <c r="P9" s="133">
        <f>$O9*$H$34</f>
        <v>0.55731200000000014</v>
      </c>
      <c r="R9" s="58" t="s">
        <v>241</v>
      </c>
      <c r="S9" s="147">
        <f>_xlfn.XLOOKUP($R9,$D$9:$D$21,$P$9:$P$21)</f>
        <v>0.55731200000000014</v>
      </c>
      <c r="T9" s="147">
        <f t="shared" ref="T9:T19" si="0">T10+S9</f>
        <v>9.1608160000000005</v>
      </c>
      <c r="U9" s="538" t="s">
        <v>244</v>
      </c>
      <c r="V9" s="538"/>
      <c r="X9" s="120"/>
    </row>
    <row r="10" spans="1:49" ht="16.5" customHeight="1" x14ac:dyDescent="0.2">
      <c r="D10" s="10" t="s">
        <v>174</v>
      </c>
      <c r="E10" s="242" t="s">
        <v>245</v>
      </c>
      <c r="F10" s="242"/>
      <c r="G10" s="242"/>
      <c r="H10" s="242"/>
      <c r="I10" s="242"/>
      <c r="J10" s="242"/>
      <c r="K10" s="242"/>
      <c r="L10" s="242"/>
      <c r="M10" s="242"/>
      <c r="N10" s="10" t="s">
        <v>241</v>
      </c>
      <c r="O10" s="14">
        <v>0.24</v>
      </c>
      <c r="P10" s="133">
        <f t="shared" ref="P10:P21" si="1">$O10*$H$34</f>
        <v>0.41798399999999997</v>
      </c>
      <c r="R10" s="58" t="s">
        <v>174</v>
      </c>
      <c r="S10" s="147">
        <f t="shared" ref="S10:S21" si="2">_xlfn.XLOOKUP($R10,$D$9:$D$21,$P$9:$P$21)</f>
        <v>0.41798399999999997</v>
      </c>
      <c r="T10" s="147">
        <f t="shared" si="0"/>
        <v>8.6035040000000009</v>
      </c>
      <c r="U10" s="538" t="s">
        <v>246</v>
      </c>
      <c r="V10" s="538"/>
      <c r="X10" s="120"/>
      <c r="AB10" s="543" t="s">
        <v>247</v>
      </c>
      <c r="AC10" s="543"/>
      <c r="AD10" s="543"/>
    </row>
    <row r="11" spans="1:49" ht="16.5" customHeight="1" x14ac:dyDescent="0.2">
      <c r="D11" s="10" t="s">
        <v>248</v>
      </c>
      <c r="E11" s="242" t="s">
        <v>249</v>
      </c>
      <c r="F11" s="242"/>
      <c r="G11" s="242"/>
      <c r="H11" s="242"/>
      <c r="I11" s="242"/>
      <c r="J11" s="242"/>
      <c r="K11" s="242"/>
      <c r="L11" s="242"/>
      <c r="M11" s="242"/>
      <c r="N11" s="52" t="s">
        <v>174</v>
      </c>
      <c r="O11" s="14">
        <v>0.32000000000000006</v>
      </c>
      <c r="P11" s="133">
        <f t="shared" si="1"/>
        <v>0.55731200000000014</v>
      </c>
      <c r="R11" s="58" t="s">
        <v>248</v>
      </c>
      <c r="S11" s="147">
        <f t="shared" si="2"/>
        <v>0.55731200000000014</v>
      </c>
      <c r="T11" s="147">
        <f t="shared" si="0"/>
        <v>8.1855200000000004</v>
      </c>
      <c r="U11" s="538" t="s">
        <v>250</v>
      </c>
      <c r="V11" s="538"/>
      <c r="X11" s="120"/>
      <c r="AB11" s="544" t="b">
        <v>0</v>
      </c>
      <c r="AC11" s="544"/>
      <c r="AD11" s="544"/>
      <c r="AE11" s="544"/>
      <c r="AF11" s="544"/>
      <c r="AG11" s="544"/>
      <c r="AH11" s="544"/>
      <c r="AI11" s="544"/>
      <c r="AJ11" s="544"/>
      <c r="AK11" s="544"/>
      <c r="AL11" s="544"/>
      <c r="AM11" s="544"/>
      <c r="AN11" s="544"/>
      <c r="AO11" s="544"/>
      <c r="AP11" s="544"/>
      <c r="AQ11" s="544"/>
      <c r="AR11" s="544"/>
      <c r="AS11" s="544"/>
      <c r="AT11" s="544"/>
      <c r="AU11" s="544"/>
      <c r="AV11" s="544"/>
      <c r="AW11" s="544"/>
    </row>
    <row r="12" spans="1:49" ht="16.5" customHeight="1" x14ac:dyDescent="0.2">
      <c r="D12" s="10" t="s">
        <v>251</v>
      </c>
      <c r="E12" s="242" t="s">
        <v>252</v>
      </c>
      <c r="F12" s="242"/>
      <c r="G12" s="242"/>
      <c r="H12" s="242"/>
      <c r="I12" s="242"/>
      <c r="J12" s="242"/>
      <c r="K12" s="242"/>
      <c r="L12" s="242"/>
      <c r="M12" s="242"/>
      <c r="N12" s="52" t="s">
        <v>248</v>
      </c>
      <c r="O12" s="14">
        <v>0.32000000000000006</v>
      </c>
      <c r="P12" s="133">
        <f t="shared" si="1"/>
        <v>0.55731200000000014</v>
      </c>
      <c r="R12" s="58" t="s">
        <v>251</v>
      </c>
      <c r="S12" s="147">
        <f t="shared" si="2"/>
        <v>0.55731200000000014</v>
      </c>
      <c r="T12" s="147">
        <f t="shared" si="0"/>
        <v>7.6282080000000008</v>
      </c>
      <c r="U12" s="538" t="s">
        <v>253</v>
      </c>
      <c r="V12" s="538"/>
      <c r="X12" s="120"/>
      <c r="AB12" s="544"/>
      <c r="AC12" s="544"/>
      <c r="AD12" s="544"/>
      <c r="AE12" s="544"/>
      <c r="AF12" s="544"/>
      <c r="AG12" s="544"/>
      <c r="AH12" s="544"/>
      <c r="AI12" s="544"/>
      <c r="AJ12" s="544"/>
      <c r="AK12" s="544"/>
      <c r="AL12" s="544"/>
      <c r="AM12" s="544"/>
      <c r="AN12" s="544"/>
      <c r="AO12" s="544"/>
      <c r="AP12" s="544"/>
      <c r="AQ12" s="544"/>
      <c r="AR12" s="544"/>
      <c r="AS12" s="544"/>
      <c r="AT12" s="544"/>
      <c r="AU12" s="544"/>
      <c r="AV12" s="544"/>
      <c r="AW12" s="544"/>
    </row>
    <row r="13" spans="1:49" ht="16.5" customHeight="1" x14ac:dyDescent="0.2">
      <c r="D13" s="10" t="s">
        <v>254</v>
      </c>
      <c r="E13" s="242" t="s">
        <v>255</v>
      </c>
      <c r="F13" s="242"/>
      <c r="G13" s="242"/>
      <c r="H13" s="242"/>
      <c r="I13" s="242"/>
      <c r="J13" s="242"/>
      <c r="K13" s="242"/>
      <c r="L13" s="242"/>
      <c r="M13" s="242"/>
      <c r="N13" s="10" t="s">
        <v>251</v>
      </c>
      <c r="O13" s="14">
        <v>0.4</v>
      </c>
      <c r="P13" s="133">
        <f t="shared" si="1"/>
        <v>0.69664000000000004</v>
      </c>
      <c r="R13" s="58" t="s">
        <v>254</v>
      </c>
      <c r="S13" s="147">
        <f t="shared" si="2"/>
        <v>0.69664000000000004</v>
      </c>
      <c r="T13" s="147">
        <f t="shared" si="0"/>
        <v>7.0708960000000003</v>
      </c>
      <c r="U13" s="538" t="s">
        <v>256</v>
      </c>
      <c r="V13" s="538"/>
      <c r="X13" s="120"/>
      <c r="AB13" s="544"/>
      <c r="AC13" s="544"/>
      <c r="AD13" s="544"/>
      <c r="AE13" s="544"/>
      <c r="AF13" s="544"/>
      <c r="AG13" s="544"/>
      <c r="AH13" s="544"/>
      <c r="AI13" s="544"/>
      <c r="AJ13" s="544"/>
      <c r="AK13" s="544"/>
      <c r="AL13" s="544"/>
      <c r="AM13" s="544"/>
      <c r="AN13" s="544"/>
      <c r="AO13" s="544"/>
      <c r="AP13" s="544"/>
      <c r="AQ13" s="544"/>
      <c r="AR13" s="544"/>
      <c r="AS13" s="544"/>
      <c r="AT13" s="544"/>
      <c r="AU13" s="544"/>
      <c r="AV13" s="544"/>
      <c r="AW13" s="544"/>
    </row>
    <row r="14" spans="1:49" ht="16.5" customHeight="1" x14ac:dyDescent="0.2">
      <c r="D14" s="10" t="s">
        <v>257</v>
      </c>
      <c r="E14" s="242" t="s">
        <v>258</v>
      </c>
      <c r="F14" s="242"/>
      <c r="G14" s="242"/>
      <c r="H14" s="242"/>
      <c r="I14" s="242"/>
      <c r="J14" s="242"/>
      <c r="K14" s="242"/>
      <c r="L14" s="242"/>
      <c r="M14" s="242"/>
      <c r="N14" s="10" t="s">
        <v>254</v>
      </c>
      <c r="O14" s="14">
        <v>0.38</v>
      </c>
      <c r="P14" s="133">
        <f t="shared" si="1"/>
        <v>0.66180800000000006</v>
      </c>
      <c r="R14" s="58" t="s">
        <v>257</v>
      </c>
      <c r="S14" s="147">
        <f t="shared" si="2"/>
        <v>0.66180800000000006</v>
      </c>
      <c r="T14" s="147">
        <f t="shared" si="0"/>
        <v>6.3742559999999999</v>
      </c>
      <c r="U14" s="538" t="s">
        <v>259</v>
      </c>
      <c r="V14" s="538"/>
      <c r="X14" s="120"/>
      <c r="AB14" s="544"/>
      <c r="AC14" s="544"/>
      <c r="AD14" s="544"/>
      <c r="AE14" s="544"/>
      <c r="AF14" s="544"/>
      <c r="AG14" s="544"/>
      <c r="AH14" s="544"/>
      <c r="AI14" s="544"/>
      <c r="AJ14" s="544"/>
      <c r="AK14" s="544"/>
      <c r="AL14" s="544"/>
      <c r="AM14" s="544"/>
      <c r="AN14" s="544"/>
      <c r="AO14" s="544"/>
      <c r="AP14" s="544"/>
      <c r="AQ14" s="544"/>
      <c r="AR14" s="544"/>
      <c r="AS14" s="544"/>
      <c r="AT14" s="544"/>
      <c r="AU14" s="544"/>
      <c r="AV14" s="544"/>
      <c r="AW14" s="544"/>
    </row>
    <row r="15" spans="1:49" ht="16.5" customHeight="1" x14ac:dyDescent="0.2">
      <c r="D15" s="10" t="s">
        <v>260</v>
      </c>
      <c r="E15" s="242" t="s">
        <v>261</v>
      </c>
      <c r="F15" s="242"/>
      <c r="G15" s="242"/>
      <c r="H15" s="242"/>
      <c r="I15" s="242"/>
      <c r="J15" s="242"/>
      <c r="K15" s="242"/>
      <c r="L15" s="242"/>
      <c r="M15" s="242"/>
      <c r="N15" s="10" t="s">
        <v>257</v>
      </c>
      <c r="O15" s="14">
        <v>0.64000000000000012</v>
      </c>
      <c r="P15" s="133">
        <f t="shared" si="1"/>
        <v>1.1146240000000003</v>
      </c>
      <c r="R15" s="58" t="s">
        <v>260</v>
      </c>
      <c r="S15" s="147">
        <f t="shared" si="2"/>
        <v>1.1146240000000003</v>
      </c>
      <c r="T15" s="147">
        <f t="shared" si="0"/>
        <v>5.7124480000000002</v>
      </c>
      <c r="U15" s="538" t="s">
        <v>262</v>
      </c>
      <c r="V15" s="538"/>
      <c r="X15" s="120"/>
      <c r="AB15" s="544"/>
      <c r="AC15" s="544"/>
      <c r="AD15" s="544"/>
      <c r="AE15" s="544"/>
      <c r="AF15" s="544"/>
      <c r="AG15" s="544"/>
      <c r="AH15" s="544"/>
      <c r="AI15" s="544"/>
      <c r="AJ15" s="544"/>
      <c r="AK15" s="544"/>
      <c r="AL15" s="544"/>
      <c r="AM15" s="544"/>
      <c r="AN15" s="544"/>
      <c r="AO15" s="544"/>
      <c r="AP15" s="544"/>
      <c r="AQ15" s="544"/>
      <c r="AR15" s="544"/>
      <c r="AS15" s="544"/>
      <c r="AT15" s="544"/>
      <c r="AU15" s="544"/>
      <c r="AV15" s="544"/>
      <c r="AW15" s="544"/>
    </row>
    <row r="16" spans="1:49" ht="16.5" customHeight="1" x14ac:dyDescent="0.2">
      <c r="D16" s="10" t="s">
        <v>263</v>
      </c>
      <c r="E16" s="242" t="s">
        <v>264</v>
      </c>
      <c r="F16" s="242"/>
      <c r="G16" s="242"/>
      <c r="H16" s="242"/>
      <c r="I16" s="242"/>
      <c r="J16" s="242"/>
      <c r="K16" s="242"/>
      <c r="L16" s="242"/>
      <c r="M16" s="242"/>
      <c r="N16" s="10" t="s">
        <v>265</v>
      </c>
      <c r="O16" s="14">
        <v>0.48</v>
      </c>
      <c r="P16" s="133">
        <f t="shared" si="1"/>
        <v>0.83596799999999993</v>
      </c>
      <c r="R16" s="58" t="s">
        <v>263</v>
      </c>
      <c r="S16" s="147">
        <f t="shared" si="2"/>
        <v>0.83596799999999993</v>
      </c>
      <c r="T16" s="147">
        <f t="shared" si="0"/>
        <v>4.5978240000000001</v>
      </c>
      <c r="U16" s="538" t="s">
        <v>266</v>
      </c>
      <c r="V16" s="538"/>
      <c r="X16" s="120"/>
      <c r="AB16" s="544"/>
      <c r="AC16" s="544"/>
      <c r="AD16" s="544"/>
      <c r="AE16" s="544"/>
      <c r="AF16" s="544"/>
      <c r="AG16" s="544"/>
      <c r="AH16" s="544"/>
      <c r="AI16" s="544"/>
      <c r="AJ16" s="544"/>
      <c r="AK16" s="544"/>
      <c r="AL16" s="544"/>
      <c r="AM16" s="544"/>
      <c r="AN16" s="544"/>
      <c r="AO16" s="544"/>
      <c r="AP16" s="544"/>
      <c r="AQ16" s="544"/>
      <c r="AR16" s="544"/>
      <c r="AS16" s="544"/>
      <c r="AT16" s="544"/>
      <c r="AU16" s="544"/>
      <c r="AV16" s="544"/>
      <c r="AW16" s="544"/>
    </row>
    <row r="17" spans="3:49" ht="16.5" customHeight="1" x14ac:dyDescent="0.2">
      <c r="D17" s="10" t="s">
        <v>267</v>
      </c>
      <c r="E17" s="242" t="s">
        <v>268</v>
      </c>
      <c r="F17" s="242"/>
      <c r="G17" s="242"/>
      <c r="H17" s="242"/>
      <c r="I17" s="242"/>
      <c r="J17" s="242"/>
      <c r="K17" s="242"/>
      <c r="L17" s="242"/>
      <c r="M17" s="242"/>
      <c r="N17" s="10" t="s">
        <v>263</v>
      </c>
      <c r="O17" s="14">
        <v>0.32000000000000006</v>
      </c>
      <c r="P17" s="133">
        <f t="shared" si="1"/>
        <v>0.55731200000000014</v>
      </c>
      <c r="R17" s="58" t="s">
        <v>267</v>
      </c>
      <c r="S17" s="147">
        <f t="shared" si="2"/>
        <v>0.55731200000000014</v>
      </c>
      <c r="T17" s="147">
        <f t="shared" si="0"/>
        <v>3.7618560000000003</v>
      </c>
      <c r="U17" s="538" t="s">
        <v>269</v>
      </c>
      <c r="V17" s="538"/>
      <c r="X17" s="120"/>
      <c r="AB17" s="544"/>
      <c r="AC17" s="544"/>
      <c r="AD17" s="544"/>
      <c r="AE17" s="544"/>
      <c r="AF17" s="544"/>
      <c r="AG17" s="544"/>
      <c r="AH17" s="544"/>
      <c r="AI17" s="544"/>
      <c r="AJ17" s="544"/>
      <c r="AK17" s="544"/>
      <c r="AL17" s="544"/>
      <c r="AM17" s="544"/>
      <c r="AN17" s="544"/>
      <c r="AO17" s="544"/>
      <c r="AP17" s="544"/>
      <c r="AQ17" s="544"/>
      <c r="AR17" s="544"/>
      <c r="AS17" s="544"/>
      <c r="AT17" s="544"/>
      <c r="AU17" s="544"/>
      <c r="AV17" s="544"/>
      <c r="AW17" s="544"/>
    </row>
    <row r="18" spans="3:49" ht="16.5" customHeight="1" x14ac:dyDescent="0.2">
      <c r="D18" s="10" t="s">
        <v>270</v>
      </c>
      <c r="E18" s="242" t="s">
        <v>271</v>
      </c>
      <c r="F18" s="242"/>
      <c r="G18" s="242"/>
      <c r="H18" s="242"/>
      <c r="I18" s="242"/>
      <c r="J18" s="242"/>
      <c r="K18" s="242"/>
      <c r="L18" s="242"/>
      <c r="M18" s="242"/>
      <c r="N18" s="10" t="s">
        <v>267</v>
      </c>
      <c r="O18" s="21">
        <v>0.52</v>
      </c>
      <c r="P18" s="133">
        <f t="shared" si="1"/>
        <v>0.9056320000000001</v>
      </c>
      <c r="R18" s="58" t="s">
        <v>270</v>
      </c>
      <c r="S18" s="147">
        <f t="shared" si="2"/>
        <v>0.9056320000000001</v>
      </c>
      <c r="T18" s="147">
        <f t="shared" si="0"/>
        <v>3.2045440000000003</v>
      </c>
      <c r="U18" s="538" t="s">
        <v>272</v>
      </c>
      <c r="V18" s="538"/>
      <c r="X18" s="120"/>
      <c r="AB18" s="544"/>
      <c r="AC18" s="544"/>
      <c r="AD18" s="544"/>
      <c r="AE18" s="544"/>
      <c r="AF18" s="544"/>
      <c r="AG18" s="544"/>
      <c r="AH18" s="544"/>
      <c r="AI18" s="544"/>
      <c r="AJ18" s="544"/>
      <c r="AK18" s="544"/>
      <c r="AL18" s="544"/>
      <c r="AM18" s="544"/>
      <c r="AN18" s="544"/>
      <c r="AO18" s="544"/>
      <c r="AP18" s="544"/>
      <c r="AQ18" s="544"/>
      <c r="AR18" s="544"/>
      <c r="AS18" s="544"/>
      <c r="AT18" s="544"/>
      <c r="AU18" s="544"/>
      <c r="AV18" s="544"/>
      <c r="AW18" s="544"/>
    </row>
    <row r="19" spans="3:49" ht="16.5" customHeight="1" x14ac:dyDescent="0.2">
      <c r="D19" s="10" t="s">
        <v>273</v>
      </c>
      <c r="E19" s="242" t="s">
        <v>274</v>
      </c>
      <c r="F19" s="242"/>
      <c r="G19" s="242"/>
      <c r="H19" s="242"/>
      <c r="I19" s="242"/>
      <c r="J19" s="242"/>
      <c r="K19" s="242"/>
      <c r="L19" s="242"/>
      <c r="M19" s="242"/>
      <c r="N19" s="10" t="s">
        <v>270</v>
      </c>
      <c r="O19" s="14">
        <v>0.4</v>
      </c>
      <c r="P19" s="133">
        <f t="shared" si="1"/>
        <v>0.69664000000000004</v>
      </c>
      <c r="R19" s="58" t="s">
        <v>273</v>
      </c>
      <c r="S19" s="147">
        <f t="shared" si="2"/>
        <v>0.69664000000000004</v>
      </c>
      <c r="T19" s="147">
        <f t="shared" si="0"/>
        <v>2.2989120000000001</v>
      </c>
      <c r="U19" s="538" t="s">
        <v>275</v>
      </c>
      <c r="V19" s="538"/>
      <c r="X19" s="120"/>
      <c r="AB19" s="544"/>
      <c r="AC19" s="544"/>
      <c r="AD19" s="544"/>
      <c r="AE19" s="544"/>
      <c r="AF19" s="544"/>
      <c r="AG19" s="544"/>
      <c r="AH19" s="544"/>
      <c r="AI19" s="544"/>
      <c r="AJ19" s="544"/>
      <c r="AK19" s="544"/>
      <c r="AL19" s="544"/>
      <c r="AM19" s="544"/>
      <c r="AN19" s="544"/>
      <c r="AO19" s="544"/>
      <c r="AP19" s="544"/>
      <c r="AQ19" s="544"/>
      <c r="AR19" s="544"/>
      <c r="AS19" s="544"/>
      <c r="AT19" s="544"/>
      <c r="AU19" s="544"/>
      <c r="AV19" s="544"/>
      <c r="AW19" s="544"/>
    </row>
    <row r="20" spans="3:49" ht="16.5" customHeight="1" x14ac:dyDescent="0.2">
      <c r="D20" s="10" t="s">
        <v>276</v>
      </c>
      <c r="E20" s="242" t="s">
        <v>264</v>
      </c>
      <c r="F20" s="242"/>
      <c r="G20" s="242"/>
      <c r="H20" s="242"/>
      <c r="I20" s="242"/>
      <c r="J20" s="242"/>
      <c r="K20" s="242"/>
      <c r="L20" s="242"/>
      <c r="M20" s="242"/>
      <c r="N20" s="10" t="s">
        <v>277</v>
      </c>
      <c r="O20" s="14">
        <v>0.32000000000000006</v>
      </c>
      <c r="P20" s="133">
        <f t="shared" si="1"/>
        <v>0.55731200000000014</v>
      </c>
      <c r="R20" s="58" t="s">
        <v>276</v>
      </c>
      <c r="S20" s="147">
        <f t="shared" si="2"/>
        <v>0.55731200000000014</v>
      </c>
      <c r="T20" s="147">
        <f>T21+S20</f>
        <v>1.6022720000000001</v>
      </c>
      <c r="U20" s="538" t="s">
        <v>278</v>
      </c>
      <c r="V20" s="538"/>
      <c r="X20" s="120"/>
      <c r="AB20" s="544"/>
      <c r="AC20" s="544"/>
      <c r="AD20" s="544"/>
      <c r="AE20" s="544"/>
      <c r="AF20" s="544"/>
      <c r="AG20" s="544"/>
      <c r="AH20" s="544"/>
      <c r="AI20" s="544"/>
      <c r="AJ20" s="544"/>
      <c r="AK20" s="544"/>
      <c r="AL20" s="544"/>
      <c r="AM20" s="544"/>
      <c r="AN20" s="544"/>
      <c r="AO20" s="544"/>
      <c r="AP20" s="544"/>
      <c r="AQ20" s="544"/>
      <c r="AR20" s="544"/>
      <c r="AS20" s="544"/>
      <c r="AT20" s="544"/>
      <c r="AU20" s="544"/>
      <c r="AV20" s="544"/>
      <c r="AW20" s="544"/>
    </row>
    <row r="21" spans="3:49" ht="18.75" customHeight="1" x14ac:dyDescent="0.2">
      <c r="D21" s="10" t="s">
        <v>278</v>
      </c>
      <c r="E21" s="242" t="s">
        <v>279</v>
      </c>
      <c r="F21" s="242"/>
      <c r="G21" s="242"/>
      <c r="H21" s="242"/>
      <c r="I21" s="242"/>
      <c r="J21" s="242"/>
      <c r="K21" s="242"/>
      <c r="L21" s="242"/>
      <c r="M21" s="242"/>
      <c r="N21" s="10" t="s">
        <v>276</v>
      </c>
      <c r="O21" s="14">
        <v>0.6</v>
      </c>
      <c r="P21" s="133">
        <f t="shared" si="1"/>
        <v>1.0449599999999999</v>
      </c>
      <c r="R21" s="58" t="s">
        <v>278</v>
      </c>
      <c r="S21" s="147">
        <f t="shared" si="2"/>
        <v>1.0449599999999999</v>
      </c>
      <c r="T21" s="147">
        <f>S21</f>
        <v>1.0449599999999999</v>
      </c>
      <c r="U21" s="538" t="s">
        <v>280</v>
      </c>
      <c r="V21" s="538"/>
      <c r="AB21" s="544"/>
      <c r="AC21" s="544"/>
      <c r="AD21" s="544"/>
      <c r="AE21" s="544"/>
      <c r="AF21" s="544"/>
      <c r="AG21" s="544"/>
      <c r="AH21" s="544"/>
      <c r="AI21" s="544"/>
      <c r="AJ21" s="544"/>
      <c r="AK21" s="544"/>
      <c r="AL21" s="544"/>
      <c r="AM21" s="544"/>
      <c r="AN21" s="544"/>
      <c r="AO21" s="544"/>
      <c r="AP21" s="544"/>
      <c r="AQ21" s="544"/>
      <c r="AR21" s="544"/>
      <c r="AS21" s="544"/>
      <c r="AT21" s="544"/>
      <c r="AU21" s="544"/>
      <c r="AV21" s="544"/>
      <c r="AW21" s="544"/>
    </row>
    <row r="22" spans="3:49" ht="18.75" customHeight="1" x14ac:dyDescent="0.2">
      <c r="D22" s="1"/>
      <c r="E22" s="49"/>
      <c r="F22" s="49"/>
      <c r="G22" s="49"/>
      <c r="H22" s="49"/>
      <c r="I22" s="49"/>
      <c r="J22" s="49"/>
      <c r="K22" s="49"/>
      <c r="L22" s="49"/>
      <c r="M22" s="49"/>
      <c r="N22" s="1"/>
      <c r="O22" s="4"/>
      <c r="P22" s="50">
        <f>SUM($P$9:$P$21)</f>
        <v>9.1608160000000005</v>
      </c>
      <c r="R22" s="59"/>
      <c r="S22" s="117">
        <f>SUM($S$9:$S$21)</f>
        <v>9.1608160000000005</v>
      </c>
      <c r="T22" s="59"/>
      <c r="W22" s="120"/>
      <c r="X22" s="120"/>
      <c r="AB22" s="544"/>
      <c r="AC22" s="544"/>
      <c r="AD22" s="544"/>
      <c r="AE22" s="544"/>
      <c r="AF22" s="544"/>
      <c r="AG22" s="544"/>
      <c r="AH22" s="544"/>
      <c r="AI22" s="544"/>
      <c r="AJ22" s="544"/>
      <c r="AK22" s="544"/>
      <c r="AL22" s="544"/>
      <c r="AM22" s="544"/>
      <c r="AN22" s="544"/>
      <c r="AO22" s="544"/>
      <c r="AP22" s="544"/>
      <c r="AQ22" s="544"/>
      <c r="AR22" s="544"/>
      <c r="AS22" s="544"/>
      <c r="AT22" s="544"/>
      <c r="AU22" s="544"/>
      <c r="AV22" s="544"/>
      <c r="AW22" s="544"/>
    </row>
    <row r="23" spans="3:49" ht="18.75" customHeight="1" x14ac:dyDescent="0.2">
      <c r="D23" s="1"/>
      <c r="E23" s="49"/>
      <c r="F23" s="49"/>
      <c r="G23" s="49"/>
      <c r="H23" s="49"/>
      <c r="I23" s="49"/>
      <c r="J23" s="49"/>
      <c r="K23" s="49"/>
      <c r="L23" s="49"/>
      <c r="M23" s="49"/>
      <c r="N23" s="1"/>
      <c r="O23" s="4"/>
      <c r="P23" s="4"/>
      <c r="AB23" s="544"/>
      <c r="AC23" s="544"/>
      <c r="AD23" s="544"/>
      <c r="AE23" s="544"/>
      <c r="AF23" s="544"/>
      <c r="AG23" s="544"/>
      <c r="AH23" s="544"/>
      <c r="AI23" s="544"/>
      <c r="AJ23" s="544"/>
      <c r="AK23" s="544"/>
      <c r="AL23" s="544"/>
      <c r="AM23" s="544"/>
      <c r="AN23" s="544"/>
      <c r="AO23" s="544"/>
      <c r="AP23" s="544"/>
      <c r="AQ23" s="544"/>
      <c r="AR23" s="544"/>
      <c r="AS23" s="544"/>
      <c r="AT23" s="544"/>
      <c r="AU23" s="544"/>
      <c r="AV23" s="544"/>
      <c r="AW23" s="544"/>
    </row>
    <row r="24" spans="3:49" ht="18.75" customHeight="1" x14ac:dyDescent="0.2">
      <c r="D24" s="1"/>
      <c r="E24" s="49"/>
      <c r="F24" s="49"/>
      <c r="G24" s="49"/>
      <c r="H24" s="49"/>
      <c r="I24" s="49"/>
      <c r="J24" s="49"/>
      <c r="K24" s="49"/>
      <c r="L24" s="49"/>
      <c r="M24" s="49"/>
      <c r="N24" s="1"/>
      <c r="O24" s="4"/>
      <c r="P24" s="4"/>
      <c r="AB24" s="544"/>
      <c r="AC24" s="544"/>
      <c r="AD24" s="544"/>
      <c r="AE24" s="544"/>
      <c r="AF24" s="544"/>
      <c r="AG24" s="544"/>
      <c r="AH24" s="544"/>
      <c r="AI24" s="544"/>
      <c r="AJ24" s="544"/>
      <c r="AK24" s="544"/>
      <c r="AL24" s="544"/>
      <c r="AM24" s="544"/>
      <c r="AN24" s="544"/>
      <c r="AO24" s="544"/>
      <c r="AP24" s="544"/>
      <c r="AQ24" s="544"/>
      <c r="AR24" s="544"/>
      <c r="AS24" s="544"/>
      <c r="AT24" s="544"/>
      <c r="AU24" s="544"/>
      <c r="AV24" s="544"/>
      <c r="AW24" s="544"/>
    </row>
    <row r="25" spans="3:49" ht="25.25" customHeight="1" thickBot="1" x14ac:dyDescent="0.25">
      <c r="D25" s="1"/>
    </row>
    <row r="26" spans="3:49" ht="25.25" customHeight="1" thickBot="1" x14ac:dyDescent="0.25">
      <c r="D26" s="1"/>
      <c r="F26" s="20"/>
      <c r="L26" s="20"/>
      <c r="Q26" s="20"/>
      <c r="V26" s="541" t="s">
        <v>281</v>
      </c>
      <c r="W26" s="542"/>
      <c r="X26" s="539" t="s">
        <v>282</v>
      </c>
      <c r="Y26" s="540"/>
      <c r="Z26" s="541" t="s">
        <v>283</v>
      </c>
      <c r="AA26" s="542"/>
      <c r="AB26" s="541" t="s">
        <v>284</v>
      </c>
      <c r="AC26" s="542"/>
    </row>
    <row r="27" spans="3:49" ht="25.25" customHeight="1" x14ac:dyDescent="0.2">
      <c r="D27" s="1"/>
      <c r="E27" s="547" t="s">
        <v>285</v>
      </c>
      <c r="F27" s="547"/>
      <c r="G27" s="547"/>
      <c r="H27" s="547"/>
      <c r="I27" s="547"/>
      <c r="J27" s="547"/>
      <c r="K27" s="547"/>
      <c r="L27" s="547"/>
      <c r="M27" s="547"/>
      <c r="V27" s="148" t="s">
        <v>241</v>
      </c>
      <c r="W27" s="149">
        <f>_xlfn.XLOOKUP(V27,$R$9:$R$21,$S$9:$S$21,0)</f>
        <v>0.55731200000000014</v>
      </c>
      <c r="X27" s="148" t="s">
        <v>254</v>
      </c>
      <c r="Y27" s="149">
        <f>_xlfn.XLOOKUP(X27,$R$9:$R$21,$S$9:$S$21,0)</f>
        <v>0.69664000000000004</v>
      </c>
      <c r="Z27" s="148" t="s">
        <v>263</v>
      </c>
      <c r="AA27" s="149">
        <f>_xlfn.XLOOKUP(Z27,$R$9:$R$21,$S$9:$S$21,0)</f>
        <v>0.83596799999999993</v>
      </c>
      <c r="AB27" s="148" t="s">
        <v>273</v>
      </c>
      <c r="AC27" s="149">
        <f>_xlfn.XLOOKUP(AB27,$R$9:$R$21,$S$9:$S$21,0)</f>
        <v>0.69664000000000004</v>
      </c>
    </row>
    <row r="28" spans="3:49" ht="25.25" customHeight="1" x14ac:dyDescent="0.2">
      <c r="D28" s="1"/>
      <c r="E28" s="547"/>
      <c r="F28" s="547"/>
      <c r="G28" s="547"/>
      <c r="H28" s="547"/>
      <c r="I28" s="547"/>
      <c r="J28" s="547"/>
      <c r="K28" s="547"/>
      <c r="L28" s="547"/>
      <c r="M28" s="547"/>
      <c r="V28" s="150" t="s">
        <v>174</v>
      </c>
      <c r="W28" s="151">
        <f>_xlfn.XLOOKUP(V28,$R$9:$R$21,$S$9:$S$21,0)</f>
        <v>0.41798399999999997</v>
      </c>
      <c r="X28" s="150" t="s">
        <v>257</v>
      </c>
      <c r="Y28" s="151">
        <f>_xlfn.XLOOKUP(X28,$R$9:$R$21,$S$9:$S$21,0)</f>
        <v>0.66180800000000006</v>
      </c>
      <c r="Z28" s="150" t="s">
        <v>267</v>
      </c>
      <c r="AA28" s="151">
        <f>_xlfn.XLOOKUP(Z28,$R$9:$R$21,$S$9:$S$21,0)</f>
        <v>0.55731200000000014</v>
      </c>
      <c r="AB28" s="150" t="s">
        <v>276</v>
      </c>
      <c r="AC28" s="151">
        <f>_xlfn.XLOOKUP(AB28,$R$9:$R$21,$S$9:$S$21,0)</f>
        <v>0.55731200000000014</v>
      </c>
    </row>
    <row r="29" spans="3:49" ht="25.25" customHeight="1" x14ac:dyDescent="0.2">
      <c r="C29" s="20"/>
      <c r="D29" s="1"/>
      <c r="F29" s="20"/>
      <c r="J29" s="20"/>
      <c r="M29" s="20"/>
      <c r="N29" s="20"/>
      <c r="V29" s="150" t="s">
        <v>248</v>
      </c>
      <c r="W29" s="151">
        <f>_xlfn.XLOOKUP(V29,$R$9:$R$21,$S$9:$S$21,0)</f>
        <v>0.55731200000000014</v>
      </c>
      <c r="X29" s="150" t="s">
        <v>260</v>
      </c>
      <c r="Y29" s="151">
        <f>_xlfn.XLOOKUP(X29,$R$9:$R$21,$S$9:$S$21,0)</f>
        <v>1.1146240000000003</v>
      </c>
      <c r="Z29" s="150" t="s">
        <v>270</v>
      </c>
      <c r="AA29" s="151">
        <f>_xlfn.XLOOKUP(Z29,$R$9:$R$21,$S$9:$S$21,0)</f>
        <v>0.9056320000000001</v>
      </c>
      <c r="AB29" s="150" t="s">
        <v>278</v>
      </c>
      <c r="AC29" s="151">
        <f>_xlfn.XLOOKUP(AB29,$R$9:$R$21,$S$9:$S$21,0)</f>
        <v>1.0449599999999999</v>
      </c>
    </row>
    <row r="30" spans="3:49" ht="25.25" customHeight="1" x14ac:dyDescent="0.2">
      <c r="V30" s="150" t="s">
        <v>251</v>
      </c>
      <c r="W30" s="151">
        <f>_xlfn.XLOOKUP(V30,$R$9:$R$21,$S$9:$S$21,0)</f>
        <v>0.55731200000000014</v>
      </c>
      <c r="X30" s="150"/>
      <c r="Y30" s="151">
        <f>_xlfn.XLOOKUP(X30,$R$9:$R$21,$S$9:$S$21,0)</f>
        <v>0</v>
      </c>
      <c r="Z30" s="150"/>
      <c r="AA30" s="151">
        <f>_xlfn.XLOOKUP(Z30,$R$9:$R$21,$S$9:$S$21,0)</f>
        <v>0</v>
      </c>
      <c r="AB30" s="150"/>
      <c r="AC30" s="151">
        <f>_xlfn.XLOOKUP(AB30,$R$9:$R$21,$S$9:$S$21,0)</f>
        <v>0</v>
      </c>
    </row>
    <row r="31" spans="3:49" ht="25.25" customHeight="1" thickBot="1" x14ac:dyDescent="0.25">
      <c r="V31" s="152"/>
      <c r="W31" s="153">
        <f>_xlfn.XLOOKUP(V31,$R$9:$R$21,$S$9:$S$21,0)</f>
        <v>0</v>
      </c>
      <c r="X31" s="154"/>
      <c r="Y31" s="155">
        <f>_xlfn.XLOOKUP(X31,$R$9:$R$21,$S$9:$S$21,0)</f>
        <v>0</v>
      </c>
      <c r="Z31" s="156"/>
      <c r="AA31" s="157">
        <f>_xlfn.XLOOKUP(Z31,$R$9:$R$21,$S$9:$S$21,0)</f>
        <v>0</v>
      </c>
      <c r="AB31" s="154"/>
      <c r="AC31" s="153">
        <f>_xlfn.XLOOKUP(AB31,$R$9:$R$21,$S$9:$S$21,0)</f>
        <v>0</v>
      </c>
    </row>
    <row r="32" spans="3:49" ht="25.25" customHeight="1" x14ac:dyDescent="0.2">
      <c r="C32" s="20"/>
      <c r="D32" s="507" t="s">
        <v>286</v>
      </c>
      <c r="E32" s="548"/>
      <c r="F32" s="548"/>
      <c r="G32" s="548"/>
      <c r="H32" s="549"/>
      <c r="N32" s="20"/>
      <c r="T32" s="20"/>
      <c r="V32" s="91">
        <f>'$_DATI_DI_BASE'!$P$106</f>
        <v>2.5</v>
      </c>
      <c r="W32" s="92">
        <f>SUM(W$27:W$31)</f>
        <v>2.0899200000000002</v>
      </c>
      <c r="X32" s="91">
        <f>'$_DATI_DI_BASE'!$P$106</f>
        <v>2.5</v>
      </c>
      <c r="Y32" s="92">
        <f>SUM(Y$27:Y$31)</f>
        <v>2.4730720000000002</v>
      </c>
      <c r="Z32" s="91">
        <f>'$_DATI_DI_BASE'!$P$106</f>
        <v>2.5</v>
      </c>
      <c r="AA32" s="92">
        <f>SUM(AA$27:AA$31)</f>
        <v>2.2989120000000001</v>
      </c>
      <c r="AB32" s="91">
        <f>'$_DATI_DI_BASE'!$P$106</f>
        <v>2.5</v>
      </c>
      <c r="AC32" s="92">
        <f>SUM(AC$27:AC$31)</f>
        <v>2.2989120000000001</v>
      </c>
      <c r="AD32" s="69" t="s">
        <v>287</v>
      </c>
      <c r="AE32" s="70" t="s">
        <v>288</v>
      </c>
      <c r="AF32" s="73" t="s">
        <v>289</v>
      </c>
    </row>
    <row r="33" spans="4:37" ht="25.25" customHeight="1" thickBot="1" x14ac:dyDescent="0.25">
      <c r="D33" s="550"/>
      <c r="E33" s="551"/>
      <c r="F33" s="551"/>
      <c r="G33" s="551"/>
      <c r="H33" s="552"/>
      <c r="N33" s="20"/>
      <c r="V33" s="66" t="s">
        <v>290</v>
      </c>
      <c r="W33" s="67" t="s">
        <v>291</v>
      </c>
      <c r="X33" s="66" t="s">
        <v>290</v>
      </c>
      <c r="Y33" s="67" t="s">
        <v>291</v>
      </c>
      <c r="Z33" s="66" t="s">
        <v>290</v>
      </c>
      <c r="AA33" s="67" t="s">
        <v>291</v>
      </c>
      <c r="AB33" s="66" t="s">
        <v>290</v>
      </c>
      <c r="AC33" s="67" t="s">
        <v>291</v>
      </c>
      <c r="AD33" s="71">
        <f>SUMIFS(V$32:AC$32,$V$33:$AC$33,_xlfn.TEXTAFTER(AD$32," "))</f>
        <v>10</v>
      </c>
      <c r="AE33" s="72">
        <f>SUMIFS(V$32:AC$32,$V$33:$AC$33,_xlfn.TEXTAFTER(AE$32," "))</f>
        <v>9.1608160000000005</v>
      </c>
      <c r="AF33" s="158">
        <f>AE33/'$_MACCHINE'!$N$17</f>
        <v>2.2902040000000001</v>
      </c>
    </row>
    <row r="34" spans="4:37" ht="25.25" customHeight="1" x14ac:dyDescent="0.2">
      <c r="D34" s="545" t="s">
        <v>292</v>
      </c>
      <c r="E34" s="249"/>
      <c r="F34" s="249"/>
      <c r="G34" s="13" t="s">
        <v>25</v>
      </c>
      <c r="H34" s="57">
        <v>1.7416</v>
      </c>
      <c r="N34" s="20"/>
      <c r="Z34" s="553"/>
      <c r="AA34" s="553"/>
      <c r="AB34" s="553"/>
      <c r="AC34" s="553"/>
      <c r="AF34" s="120"/>
    </row>
    <row r="35" spans="4:37" ht="25.25" customHeight="1" x14ac:dyDescent="0.2">
      <c r="D35" s="545" t="s">
        <v>293</v>
      </c>
      <c r="E35" s="249"/>
      <c r="F35" s="249"/>
      <c r="G35" s="13" t="s">
        <v>25</v>
      </c>
      <c r="H35" s="45">
        <v>1.0670101598053758</v>
      </c>
      <c r="K35" s="56"/>
      <c r="N35" s="20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spans="4:37" ht="25.25" customHeight="1" x14ac:dyDescent="0.2">
      <c r="D36" s="545" t="s">
        <v>294</v>
      </c>
      <c r="E36" s="249"/>
      <c r="F36" s="249"/>
      <c r="G36" s="13" t="s">
        <v>25</v>
      </c>
      <c r="H36" s="45">
        <v>1.9888704835950288</v>
      </c>
      <c r="K36" s="56"/>
      <c r="N36" s="20"/>
      <c r="V36" s="547" t="s">
        <v>295</v>
      </c>
      <c r="W36" s="547"/>
      <c r="X36" s="547"/>
      <c r="Y36" s="547"/>
      <c r="Z36" s="547"/>
      <c r="AA36" s="547"/>
      <c r="AB36" s="547"/>
      <c r="AC36" s="547"/>
      <c r="AD36" s="547"/>
      <c r="AE36" s="547"/>
      <c r="AF36" s="547"/>
      <c r="AG36" s="547"/>
      <c r="AH36" s="547"/>
      <c r="AI36" s="547"/>
    </row>
    <row r="37" spans="4:37" ht="25.25" customHeight="1" x14ac:dyDescent="0.2">
      <c r="D37" s="545" t="s">
        <v>296</v>
      </c>
      <c r="E37" s="249"/>
      <c r="F37" s="249"/>
      <c r="G37" s="13" t="s">
        <v>25</v>
      </c>
      <c r="H37" s="45">
        <v>1.9880967220616736</v>
      </c>
      <c r="K37" s="56"/>
      <c r="N37" s="20"/>
      <c r="P37" s="53"/>
      <c r="V37" s="547"/>
      <c r="W37" s="547"/>
      <c r="X37" s="547"/>
      <c r="Y37" s="547"/>
      <c r="Z37" s="547"/>
      <c r="AA37" s="547"/>
      <c r="AB37" s="547"/>
      <c r="AC37" s="547"/>
      <c r="AD37" s="547"/>
      <c r="AE37" s="547"/>
      <c r="AF37" s="547"/>
      <c r="AG37" s="547"/>
      <c r="AH37" s="547"/>
      <c r="AI37" s="547"/>
    </row>
    <row r="38" spans="4:37" ht="25.25" customHeight="1" x14ac:dyDescent="0.2">
      <c r="D38" s="545" t="s">
        <v>297</v>
      </c>
      <c r="E38" s="249"/>
      <c r="F38" s="249"/>
      <c r="G38" s="13" t="s">
        <v>25</v>
      </c>
      <c r="H38" s="45">
        <v>1.5778735257116865</v>
      </c>
      <c r="K38" s="56"/>
      <c r="N38" s="20"/>
      <c r="P38" s="53"/>
      <c r="V38" s="547"/>
      <c r="W38" s="547"/>
      <c r="X38" s="547"/>
      <c r="Y38" s="547"/>
      <c r="Z38" s="547"/>
      <c r="AA38" s="547"/>
      <c r="AB38" s="547"/>
      <c r="AC38" s="547"/>
      <c r="AD38" s="547"/>
      <c r="AE38" s="547"/>
      <c r="AF38" s="547"/>
      <c r="AG38" s="547"/>
      <c r="AH38" s="547"/>
      <c r="AI38" s="547"/>
    </row>
    <row r="39" spans="4:37" ht="25.25" customHeight="1" x14ac:dyDescent="0.2">
      <c r="D39" s="545" t="s">
        <v>298</v>
      </c>
      <c r="E39" s="249"/>
      <c r="F39" s="249"/>
      <c r="G39" s="13" t="s">
        <v>25</v>
      </c>
      <c r="H39" s="45">
        <v>1.4234395747960837</v>
      </c>
      <c r="K39" s="56"/>
      <c r="N39" s="20"/>
      <c r="P39" s="53"/>
    </row>
    <row r="40" spans="4:37" ht="25.25" customHeight="1" x14ac:dyDescent="0.2">
      <c r="D40" s="545" t="s">
        <v>299</v>
      </c>
      <c r="E40" s="249"/>
      <c r="F40" s="249"/>
      <c r="G40" s="13" t="s">
        <v>25</v>
      </c>
      <c r="H40" s="45">
        <v>1.1160017433872125</v>
      </c>
      <c r="K40" s="56"/>
      <c r="N40" s="20"/>
      <c r="P40" s="53"/>
    </row>
    <row r="41" spans="4:37" ht="25.25" customHeight="1" x14ac:dyDescent="0.2">
      <c r="D41" s="545" t="s">
        <v>300</v>
      </c>
      <c r="E41" s="249"/>
      <c r="F41" s="249"/>
      <c r="G41" s="13" t="s">
        <v>25</v>
      </c>
      <c r="H41" s="45">
        <v>1.0384815851965761</v>
      </c>
      <c r="K41" s="56"/>
      <c r="N41" s="20"/>
      <c r="P41" s="53"/>
    </row>
    <row r="42" spans="4:37" ht="25.25" customHeight="1" x14ac:dyDescent="0.2">
      <c r="D42" s="545" t="s">
        <v>301</v>
      </c>
      <c r="E42" s="249"/>
      <c r="F42" s="249"/>
      <c r="G42" s="13" t="s">
        <v>25</v>
      </c>
      <c r="H42" s="45">
        <v>1.7604551220038576</v>
      </c>
      <c r="J42" s="20"/>
      <c r="K42" s="56"/>
      <c r="L42" s="20"/>
    </row>
    <row r="43" spans="4:37" ht="25.25" customHeight="1" thickBot="1" x14ac:dyDescent="0.25">
      <c r="D43" s="546" t="s">
        <v>302</v>
      </c>
      <c r="E43" s="324"/>
      <c r="F43" s="324"/>
      <c r="G43" s="46" t="s">
        <v>25</v>
      </c>
      <c r="H43" s="51">
        <v>1.2661598036916932</v>
      </c>
      <c r="J43" s="20"/>
      <c r="K43" s="56"/>
      <c r="L43" s="20"/>
    </row>
    <row r="44" spans="4:37" ht="25.25" customHeight="1" x14ac:dyDescent="0.2">
      <c r="D44" s="1"/>
    </row>
    <row r="45" spans="4:37" ht="25.25" customHeight="1" x14ac:dyDescent="0.2">
      <c r="D45" s="1"/>
    </row>
    <row r="46" spans="4:37" ht="25.25" customHeight="1" x14ac:dyDescent="0.2">
      <c r="D46" s="1"/>
      <c r="F46" s="20"/>
      <c r="J46" s="20"/>
    </row>
    <row r="47" spans="4:37" ht="25.25" customHeight="1" x14ac:dyDescent="0.2">
      <c r="D47" s="1"/>
    </row>
  </sheetData>
  <mergeCells count="48">
    <mergeCell ref="AB10:AD10"/>
    <mergeCell ref="AB11:AW24"/>
    <mergeCell ref="D42:F42"/>
    <mergeCell ref="D43:F43"/>
    <mergeCell ref="D37:F37"/>
    <mergeCell ref="D38:F38"/>
    <mergeCell ref="D39:F39"/>
    <mergeCell ref="D40:F40"/>
    <mergeCell ref="D41:F41"/>
    <mergeCell ref="D35:F35"/>
    <mergeCell ref="D36:F36"/>
    <mergeCell ref="E27:M28"/>
    <mergeCell ref="D32:H33"/>
    <mergeCell ref="D34:F34"/>
    <mergeCell ref="Z34:AC34"/>
    <mergeCell ref="V36:AI38"/>
    <mergeCell ref="X26:Y26"/>
    <mergeCell ref="Z26:AA26"/>
    <mergeCell ref="AB26:AC26"/>
    <mergeCell ref="E17:M17"/>
    <mergeCell ref="U17:V17"/>
    <mergeCell ref="E18:M18"/>
    <mergeCell ref="U18:V18"/>
    <mergeCell ref="E19:M19"/>
    <mergeCell ref="U19:V19"/>
    <mergeCell ref="E21:M21"/>
    <mergeCell ref="U21:V21"/>
    <mergeCell ref="E20:M20"/>
    <mergeCell ref="U20:V20"/>
    <mergeCell ref="V26:W26"/>
    <mergeCell ref="E14:M14"/>
    <mergeCell ref="U14:V14"/>
    <mergeCell ref="E15:M15"/>
    <mergeCell ref="U15:V15"/>
    <mergeCell ref="E16:M16"/>
    <mergeCell ref="U16:V16"/>
    <mergeCell ref="E11:M11"/>
    <mergeCell ref="U11:V11"/>
    <mergeCell ref="E12:M12"/>
    <mergeCell ref="U12:V12"/>
    <mergeCell ref="E13:M13"/>
    <mergeCell ref="U13:V13"/>
    <mergeCell ref="E10:M10"/>
    <mergeCell ref="U10:V10"/>
    <mergeCell ref="E8:M8"/>
    <mergeCell ref="E9:M9"/>
    <mergeCell ref="U9:V9"/>
    <mergeCell ref="U8:V8"/>
  </mergeCells>
  <conditionalFormatting sqref="V27:AC31">
    <cfRule type="cellIs" dxfId="1" priority="1" operator="equal">
      <formula>0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5:BA51"/>
  <sheetViews>
    <sheetView zoomScale="84" zoomScaleNormal="50" workbookViewId="0">
      <selection activeCell="P26" sqref="P26"/>
    </sheetView>
  </sheetViews>
  <sheetFormatPr baseColWidth="10" defaultColWidth="8.83203125" defaultRowHeight="15" x14ac:dyDescent="0.2"/>
  <cols>
    <col min="16" max="16" width="11.83203125" customWidth="1"/>
    <col min="21" max="21" width="13" customWidth="1"/>
    <col min="22" max="22" width="15.1640625" customWidth="1"/>
    <col min="24" max="24" width="10.33203125" customWidth="1"/>
    <col min="26" max="27" width="10.33203125" customWidth="1"/>
    <col min="28" max="28" width="9.1640625"/>
    <col min="29" max="29" width="10.33203125" customWidth="1"/>
    <col min="30" max="30" width="9.1640625"/>
    <col min="31" max="31" width="10.33203125" customWidth="1"/>
    <col min="32" max="32" width="10.33203125" bestFit="1" customWidth="1"/>
    <col min="33" max="33" width="10.33203125" customWidth="1"/>
    <col min="34" max="34" width="9.1640625"/>
    <col min="35" max="36" width="10.33203125" customWidth="1"/>
    <col min="37" max="37" width="12.6640625" customWidth="1"/>
    <col min="38" max="38" width="9.1640625"/>
  </cols>
  <sheetData>
    <row r="5" spans="4:53" ht="15" customHeight="1" x14ac:dyDescent="0.2">
      <c r="N5" s="554"/>
      <c r="O5" s="554"/>
      <c r="P5" s="554"/>
    </row>
    <row r="6" spans="4:53" ht="15" customHeight="1" x14ac:dyDescent="0.2">
      <c r="N6" s="554"/>
      <c r="O6" s="554"/>
      <c r="P6" s="554"/>
    </row>
    <row r="7" spans="4:53" ht="24.75" customHeight="1" x14ac:dyDescent="0.2"/>
    <row r="8" spans="4:53" ht="28.5" customHeight="1" x14ac:dyDescent="0.2">
      <c r="D8" s="9" t="s">
        <v>234</v>
      </c>
      <c r="E8" s="230" t="s">
        <v>235</v>
      </c>
      <c r="F8" s="230"/>
      <c r="G8" s="230"/>
      <c r="H8" s="230"/>
      <c r="I8" s="230"/>
      <c r="J8" s="230"/>
      <c r="K8" s="230"/>
      <c r="L8" s="230"/>
      <c r="M8" s="230"/>
      <c r="N8" s="9" t="s">
        <v>236</v>
      </c>
      <c r="O8" s="44" t="s">
        <v>237</v>
      </c>
      <c r="P8" s="44" t="s">
        <v>238</v>
      </c>
      <c r="R8" s="9" t="s">
        <v>234</v>
      </c>
      <c r="S8" s="44" t="s">
        <v>238</v>
      </c>
      <c r="T8" s="9" t="s">
        <v>239</v>
      </c>
      <c r="U8" s="230" t="s">
        <v>240</v>
      </c>
      <c r="V8" s="230"/>
      <c r="AA8" s="556" t="s">
        <v>303</v>
      </c>
      <c r="AB8" s="556"/>
      <c r="AC8" s="556"/>
    </row>
    <row r="9" spans="4:53" ht="16.5" customHeight="1" x14ac:dyDescent="0.2">
      <c r="D9" s="10" t="s">
        <v>241</v>
      </c>
      <c r="E9" s="242" t="s">
        <v>242</v>
      </c>
      <c r="F9" s="242"/>
      <c r="G9" s="242"/>
      <c r="H9" s="242"/>
      <c r="I9" s="242"/>
      <c r="J9" s="242"/>
      <c r="K9" s="242"/>
      <c r="L9" s="242"/>
      <c r="M9" s="242"/>
      <c r="N9" s="10" t="s">
        <v>243</v>
      </c>
      <c r="O9" s="14">
        <v>0.4</v>
      </c>
      <c r="P9" s="133">
        <f>$O9*$H$38</f>
        <v>0.69664000000000004</v>
      </c>
      <c r="R9" s="58" t="s">
        <v>241</v>
      </c>
      <c r="S9" s="147">
        <f>_xlfn.XLOOKUP($R9,$D$9:$D$25,$P$9:$P$25)</f>
        <v>0.69664000000000004</v>
      </c>
      <c r="T9" s="147">
        <f t="shared" ref="T9:T23" si="0">T10+S9</f>
        <v>13.40616</v>
      </c>
      <c r="U9" s="538" t="s">
        <v>304</v>
      </c>
      <c r="V9" s="538"/>
      <c r="AA9" s="544" t="b">
        <v>0</v>
      </c>
      <c r="AB9" s="544"/>
      <c r="AC9" s="544"/>
      <c r="AD9" s="544"/>
      <c r="AE9" s="544"/>
      <c r="AF9" s="544"/>
      <c r="AG9" s="544"/>
      <c r="AH9" s="544"/>
      <c r="AI9" s="544"/>
      <c r="AJ9" s="544"/>
      <c r="AK9" s="544"/>
      <c r="AL9" s="544"/>
      <c r="AM9" s="544"/>
      <c r="AN9" s="544"/>
      <c r="AO9" s="544"/>
      <c r="AP9" s="544"/>
      <c r="AQ9" s="544"/>
      <c r="AR9" s="544"/>
      <c r="AS9" s="544"/>
      <c r="AT9" s="544"/>
      <c r="AU9" s="544"/>
      <c r="AV9" s="544"/>
      <c r="AW9" s="544"/>
      <c r="AX9" s="544"/>
      <c r="AY9" s="544"/>
      <c r="AZ9" s="544"/>
      <c r="BA9" s="544"/>
    </row>
    <row r="10" spans="4:53" ht="16.5" customHeight="1" x14ac:dyDescent="0.2">
      <c r="D10" s="10" t="s">
        <v>174</v>
      </c>
      <c r="E10" s="242" t="s">
        <v>245</v>
      </c>
      <c r="F10" s="242"/>
      <c r="G10" s="242"/>
      <c r="H10" s="242"/>
      <c r="I10" s="242"/>
      <c r="J10" s="242"/>
      <c r="K10" s="242"/>
      <c r="L10" s="242"/>
      <c r="M10" s="242"/>
      <c r="N10" s="10" t="s">
        <v>241</v>
      </c>
      <c r="O10" s="14">
        <v>0.3</v>
      </c>
      <c r="P10" s="133">
        <f t="shared" ref="P10:P25" si="1">$O10*$H$38</f>
        <v>0.52247999999999994</v>
      </c>
      <c r="R10" s="58" t="s">
        <v>174</v>
      </c>
      <c r="S10" s="147">
        <f t="shared" ref="S10:S25" si="2">_xlfn.XLOOKUP($R10,$D$9:$D$25,$P$9:$P$25)</f>
        <v>0.52247999999999994</v>
      </c>
      <c r="T10" s="147">
        <f t="shared" si="0"/>
        <v>12.709519999999999</v>
      </c>
      <c r="U10" s="538" t="s">
        <v>305</v>
      </c>
      <c r="V10" s="538"/>
      <c r="AA10" s="544"/>
      <c r="AB10" s="544"/>
      <c r="AC10" s="544"/>
      <c r="AD10" s="544"/>
      <c r="AE10" s="544"/>
      <c r="AF10" s="544"/>
      <c r="AG10" s="544"/>
      <c r="AH10" s="544"/>
      <c r="AI10" s="544"/>
      <c r="AJ10" s="544"/>
      <c r="AK10" s="544"/>
      <c r="AL10" s="544"/>
      <c r="AM10" s="544"/>
      <c r="AN10" s="544"/>
      <c r="AO10" s="544"/>
      <c r="AP10" s="544"/>
      <c r="AQ10" s="544"/>
      <c r="AR10" s="544"/>
      <c r="AS10" s="544"/>
      <c r="AT10" s="544"/>
      <c r="AU10" s="544"/>
      <c r="AV10" s="544"/>
      <c r="AW10" s="544"/>
      <c r="AX10" s="544"/>
      <c r="AY10" s="544"/>
      <c r="AZ10" s="544"/>
      <c r="BA10" s="544"/>
    </row>
    <row r="11" spans="4:53" ht="16.5" customHeight="1" x14ac:dyDescent="0.2">
      <c r="D11" s="10" t="s">
        <v>248</v>
      </c>
      <c r="E11" s="242" t="s">
        <v>249</v>
      </c>
      <c r="F11" s="242"/>
      <c r="G11" s="242"/>
      <c r="H11" s="242"/>
      <c r="I11" s="242"/>
      <c r="J11" s="242"/>
      <c r="K11" s="242"/>
      <c r="L11" s="242"/>
      <c r="M11" s="242"/>
      <c r="N11" s="52" t="s">
        <v>174</v>
      </c>
      <c r="O11" s="14">
        <v>0.4</v>
      </c>
      <c r="P11" s="133">
        <f t="shared" si="1"/>
        <v>0.69664000000000004</v>
      </c>
      <c r="R11" s="58" t="s">
        <v>248</v>
      </c>
      <c r="S11" s="147">
        <f t="shared" si="2"/>
        <v>0.69664000000000004</v>
      </c>
      <c r="T11" s="147">
        <f t="shared" si="0"/>
        <v>12.18704</v>
      </c>
      <c r="U11" s="538" t="s">
        <v>306</v>
      </c>
      <c r="V11" s="538"/>
      <c r="AA11" s="544"/>
      <c r="AB11" s="544"/>
      <c r="AC11" s="544"/>
      <c r="AD11" s="544"/>
      <c r="AE11" s="544"/>
      <c r="AF11" s="544"/>
      <c r="AG11" s="544"/>
      <c r="AH11" s="544"/>
      <c r="AI11" s="544"/>
      <c r="AJ11" s="544"/>
      <c r="AK11" s="544"/>
      <c r="AL11" s="544"/>
      <c r="AM11" s="544"/>
      <c r="AN11" s="544"/>
      <c r="AO11" s="544"/>
      <c r="AP11" s="544"/>
      <c r="AQ11" s="544"/>
      <c r="AR11" s="544"/>
      <c r="AS11" s="544"/>
      <c r="AT11" s="544"/>
      <c r="AU11" s="544"/>
      <c r="AV11" s="544"/>
      <c r="AW11" s="544"/>
      <c r="AX11" s="544"/>
      <c r="AY11" s="544"/>
      <c r="AZ11" s="544"/>
      <c r="BA11" s="544"/>
    </row>
    <row r="12" spans="4:53" ht="16.5" customHeight="1" x14ac:dyDescent="0.2">
      <c r="D12" s="10" t="s">
        <v>251</v>
      </c>
      <c r="E12" s="242" t="s">
        <v>252</v>
      </c>
      <c r="F12" s="242"/>
      <c r="G12" s="242"/>
      <c r="H12" s="242"/>
      <c r="I12" s="242"/>
      <c r="J12" s="242"/>
      <c r="K12" s="242"/>
      <c r="L12" s="242"/>
      <c r="M12" s="242"/>
      <c r="N12" s="52" t="s">
        <v>248</v>
      </c>
      <c r="O12" s="14">
        <v>0.4</v>
      </c>
      <c r="P12" s="133">
        <f t="shared" si="1"/>
        <v>0.69664000000000004</v>
      </c>
      <c r="R12" s="58" t="s">
        <v>251</v>
      </c>
      <c r="S12" s="147">
        <f t="shared" si="2"/>
        <v>0.69664000000000004</v>
      </c>
      <c r="T12" s="147">
        <f t="shared" si="0"/>
        <v>11.490399999999999</v>
      </c>
      <c r="U12" s="538" t="s">
        <v>307</v>
      </c>
      <c r="V12" s="538"/>
      <c r="AA12" s="544"/>
      <c r="AB12" s="544"/>
      <c r="AC12" s="544"/>
      <c r="AD12" s="544"/>
      <c r="AE12" s="544"/>
      <c r="AF12" s="544"/>
      <c r="AG12" s="544"/>
      <c r="AH12" s="544"/>
      <c r="AI12" s="544"/>
      <c r="AJ12" s="544"/>
      <c r="AK12" s="544"/>
      <c r="AL12" s="544"/>
      <c r="AM12" s="544"/>
      <c r="AN12" s="544"/>
      <c r="AO12" s="544"/>
      <c r="AP12" s="544"/>
      <c r="AQ12" s="544"/>
      <c r="AR12" s="544"/>
      <c r="AS12" s="544"/>
      <c r="AT12" s="544"/>
      <c r="AU12" s="544"/>
      <c r="AV12" s="544"/>
      <c r="AW12" s="544"/>
      <c r="AX12" s="544"/>
      <c r="AY12" s="544"/>
      <c r="AZ12" s="544"/>
      <c r="BA12" s="544"/>
    </row>
    <row r="13" spans="4:53" ht="16.5" customHeight="1" x14ac:dyDescent="0.2">
      <c r="D13" s="10" t="s">
        <v>254</v>
      </c>
      <c r="E13" s="242" t="s">
        <v>255</v>
      </c>
      <c r="F13" s="242"/>
      <c r="G13" s="242"/>
      <c r="H13" s="242"/>
      <c r="I13" s="242"/>
      <c r="J13" s="242"/>
      <c r="K13" s="242"/>
      <c r="L13" s="242"/>
      <c r="M13" s="242"/>
      <c r="N13" s="10" t="s">
        <v>251</v>
      </c>
      <c r="O13" s="14">
        <v>0.5</v>
      </c>
      <c r="P13" s="133">
        <f t="shared" si="1"/>
        <v>0.87080000000000002</v>
      </c>
      <c r="R13" s="58" t="s">
        <v>254</v>
      </c>
      <c r="S13" s="147">
        <f t="shared" si="2"/>
        <v>0.87080000000000002</v>
      </c>
      <c r="T13" s="147">
        <f t="shared" si="0"/>
        <v>10.793759999999999</v>
      </c>
      <c r="U13" s="538" t="s">
        <v>308</v>
      </c>
      <c r="V13" s="538"/>
      <c r="AA13" s="544"/>
      <c r="AB13" s="544"/>
      <c r="AC13" s="544"/>
      <c r="AD13" s="544"/>
      <c r="AE13" s="544"/>
      <c r="AF13" s="544"/>
      <c r="AG13" s="544"/>
      <c r="AH13" s="544"/>
      <c r="AI13" s="544"/>
      <c r="AJ13" s="544"/>
      <c r="AK13" s="544"/>
      <c r="AL13" s="544"/>
      <c r="AM13" s="544"/>
      <c r="AN13" s="544"/>
      <c r="AO13" s="544"/>
      <c r="AP13" s="544"/>
      <c r="AQ13" s="544"/>
      <c r="AR13" s="544"/>
      <c r="AS13" s="544"/>
      <c r="AT13" s="544"/>
      <c r="AU13" s="544"/>
      <c r="AV13" s="544"/>
      <c r="AW13" s="544"/>
      <c r="AX13" s="544"/>
      <c r="AY13" s="544"/>
      <c r="AZ13" s="544"/>
      <c r="BA13" s="544"/>
    </row>
    <row r="14" spans="4:53" ht="16.5" customHeight="1" x14ac:dyDescent="0.2">
      <c r="D14" s="10" t="s">
        <v>257</v>
      </c>
      <c r="E14" s="242" t="s">
        <v>258</v>
      </c>
      <c r="F14" s="242"/>
      <c r="G14" s="242"/>
      <c r="H14" s="242"/>
      <c r="I14" s="242"/>
      <c r="J14" s="242"/>
      <c r="K14" s="242"/>
      <c r="L14" s="242"/>
      <c r="M14" s="242"/>
      <c r="N14" s="10" t="s">
        <v>254</v>
      </c>
      <c r="O14" s="14">
        <v>0.6</v>
      </c>
      <c r="P14" s="133">
        <f t="shared" si="1"/>
        <v>1.0449599999999999</v>
      </c>
      <c r="R14" s="58" t="s">
        <v>257</v>
      </c>
      <c r="S14" s="147">
        <f t="shared" si="2"/>
        <v>1.0449599999999999</v>
      </c>
      <c r="T14" s="147">
        <f t="shared" si="0"/>
        <v>9.9229599999999998</v>
      </c>
      <c r="U14" s="538" t="s">
        <v>309</v>
      </c>
      <c r="V14" s="538"/>
      <c r="AA14" s="544"/>
      <c r="AB14" s="544"/>
      <c r="AC14" s="544"/>
      <c r="AD14" s="544"/>
      <c r="AE14" s="544"/>
      <c r="AF14" s="544"/>
      <c r="AG14" s="544"/>
      <c r="AH14" s="544"/>
      <c r="AI14" s="544"/>
      <c r="AJ14" s="544"/>
      <c r="AK14" s="544"/>
      <c r="AL14" s="544"/>
      <c r="AM14" s="544"/>
      <c r="AN14" s="544"/>
      <c r="AO14" s="544"/>
      <c r="AP14" s="544"/>
      <c r="AQ14" s="544"/>
      <c r="AR14" s="544"/>
      <c r="AS14" s="544"/>
      <c r="AT14" s="544"/>
      <c r="AU14" s="544"/>
      <c r="AV14" s="544"/>
      <c r="AW14" s="544"/>
      <c r="AX14" s="544"/>
      <c r="AY14" s="544"/>
      <c r="AZ14" s="544"/>
      <c r="BA14" s="544"/>
    </row>
    <row r="15" spans="4:53" ht="16.5" customHeight="1" x14ac:dyDescent="0.2">
      <c r="D15" s="10" t="s">
        <v>260</v>
      </c>
      <c r="E15" s="242" t="s">
        <v>261</v>
      </c>
      <c r="F15" s="242"/>
      <c r="G15" s="242"/>
      <c r="H15" s="242"/>
      <c r="I15" s="242"/>
      <c r="J15" s="242"/>
      <c r="K15" s="242"/>
      <c r="L15" s="242"/>
      <c r="M15" s="242"/>
      <c r="N15" s="10" t="s">
        <v>257</v>
      </c>
      <c r="O15" s="14">
        <v>0.8</v>
      </c>
      <c r="P15" s="133">
        <f t="shared" si="1"/>
        <v>1.3932800000000001</v>
      </c>
      <c r="R15" s="58" t="s">
        <v>260</v>
      </c>
      <c r="S15" s="147">
        <f t="shared" si="2"/>
        <v>1.3932800000000001</v>
      </c>
      <c r="T15" s="147">
        <f t="shared" si="0"/>
        <v>8.8780000000000001</v>
      </c>
      <c r="U15" s="538" t="s">
        <v>310</v>
      </c>
      <c r="V15" s="538"/>
      <c r="AA15" s="544"/>
      <c r="AB15" s="544"/>
      <c r="AC15" s="544"/>
      <c r="AD15" s="544"/>
      <c r="AE15" s="544"/>
      <c r="AF15" s="544"/>
      <c r="AG15" s="544"/>
      <c r="AH15" s="544"/>
      <c r="AI15" s="544"/>
      <c r="AJ15" s="544"/>
      <c r="AK15" s="544"/>
      <c r="AL15" s="544"/>
      <c r="AM15" s="544"/>
      <c r="AN15" s="544"/>
      <c r="AO15" s="544"/>
      <c r="AP15" s="544"/>
      <c r="AQ15" s="544"/>
      <c r="AR15" s="544"/>
      <c r="AS15" s="544"/>
      <c r="AT15" s="544"/>
      <c r="AU15" s="544"/>
      <c r="AV15" s="544"/>
      <c r="AW15" s="544"/>
      <c r="AX15" s="544"/>
      <c r="AY15" s="544"/>
      <c r="AZ15" s="544"/>
      <c r="BA15" s="544"/>
    </row>
    <row r="16" spans="4:53" ht="16.5" customHeight="1" x14ac:dyDescent="0.2">
      <c r="D16" s="10" t="s">
        <v>263</v>
      </c>
      <c r="E16" s="242" t="s">
        <v>264</v>
      </c>
      <c r="F16" s="242"/>
      <c r="G16" s="242"/>
      <c r="H16" s="242"/>
      <c r="I16" s="242"/>
      <c r="J16" s="242"/>
      <c r="K16" s="242"/>
      <c r="L16" s="242"/>
      <c r="M16" s="242"/>
      <c r="N16" s="10" t="s">
        <v>265</v>
      </c>
      <c r="O16" s="14">
        <v>0.6</v>
      </c>
      <c r="P16" s="133">
        <f t="shared" si="1"/>
        <v>1.0449599999999999</v>
      </c>
      <c r="R16" s="58" t="s">
        <v>263</v>
      </c>
      <c r="S16" s="147">
        <f t="shared" si="2"/>
        <v>1.0449599999999999</v>
      </c>
      <c r="T16" s="147">
        <f t="shared" si="0"/>
        <v>7.4847200000000003</v>
      </c>
      <c r="U16" s="538" t="s">
        <v>311</v>
      </c>
      <c r="V16" s="538"/>
      <c r="AA16" s="544"/>
      <c r="AB16" s="544"/>
      <c r="AC16" s="544"/>
      <c r="AD16" s="544"/>
      <c r="AE16" s="544"/>
      <c r="AF16" s="544"/>
      <c r="AG16" s="544"/>
      <c r="AH16" s="544"/>
      <c r="AI16" s="544"/>
      <c r="AJ16" s="544"/>
      <c r="AK16" s="544"/>
      <c r="AL16" s="544"/>
      <c r="AM16" s="544"/>
      <c r="AN16" s="544"/>
      <c r="AO16" s="544"/>
      <c r="AP16" s="544"/>
      <c r="AQ16" s="544"/>
      <c r="AR16" s="544"/>
      <c r="AS16" s="544"/>
      <c r="AT16" s="544"/>
      <c r="AU16" s="544"/>
      <c r="AV16" s="544"/>
      <c r="AW16" s="544"/>
      <c r="AX16" s="544"/>
      <c r="AY16" s="544"/>
      <c r="AZ16" s="544"/>
      <c r="BA16" s="544"/>
    </row>
    <row r="17" spans="4:53" ht="16.5" customHeight="1" x14ac:dyDescent="0.2">
      <c r="D17" s="10" t="s">
        <v>267</v>
      </c>
      <c r="E17" s="242" t="s">
        <v>268</v>
      </c>
      <c r="F17" s="242"/>
      <c r="G17" s="242"/>
      <c r="H17" s="242"/>
      <c r="I17" s="242"/>
      <c r="J17" s="242"/>
      <c r="K17" s="242"/>
      <c r="L17" s="242"/>
      <c r="M17" s="242"/>
      <c r="N17" s="10" t="s">
        <v>263</v>
      </c>
      <c r="O17" s="14">
        <v>0.4</v>
      </c>
      <c r="P17" s="133">
        <f t="shared" si="1"/>
        <v>0.69664000000000004</v>
      </c>
      <c r="R17" s="58" t="s">
        <v>267</v>
      </c>
      <c r="S17" s="147">
        <f t="shared" si="2"/>
        <v>0.69664000000000004</v>
      </c>
      <c r="T17" s="147">
        <f t="shared" si="0"/>
        <v>6.4397600000000006</v>
      </c>
      <c r="U17" s="538" t="s">
        <v>312</v>
      </c>
      <c r="V17" s="538"/>
      <c r="AA17" s="544"/>
      <c r="AB17" s="544"/>
      <c r="AC17" s="544"/>
      <c r="AD17" s="544"/>
      <c r="AE17" s="544"/>
      <c r="AF17" s="544"/>
      <c r="AG17" s="544"/>
      <c r="AH17" s="544"/>
      <c r="AI17" s="544"/>
      <c r="AJ17" s="544"/>
      <c r="AK17" s="544"/>
      <c r="AL17" s="544"/>
      <c r="AM17" s="544"/>
      <c r="AN17" s="544"/>
      <c r="AO17" s="544"/>
      <c r="AP17" s="544"/>
      <c r="AQ17" s="544"/>
      <c r="AR17" s="544"/>
      <c r="AS17" s="544"/>
      <c r="AT17" s="544"/>
      <c r="AU17" s="544"/>
      <c r="AV17" s="544"/>
      <c r="AW17" s="544"/>
      <c r="AX17" s="544"/>
      <c r="AY17" s="544"/>
      <c r="AZ17" s="544"/>
      <c r="BA17" s="544"/>
    </row>
    <row r="18" spans="4:53" ht="16.5" customHeight="1" x14ac:dyDescent="0.2">
      <c r="D18" s="10" t="s">
        <v>270</v>
      </c>
      <c r="E18" s="242" t="s">
        <v>271</v>
      </c>
      <c r="F18" s="242"/>
      <c r="G18" s="242"/>
      <c r="H18" s="242"/>
      <c r="I18" s="242"/>
      <c r="J18" s="242"/>
      <c r="K18" s="242"/>
      <c r="L18" s="242"/>
      <c r="M18" s="242"/>
      <c r="N18" s="10" t="s">
        <v>267</v>
      </c>
      <c r="O18" s="21">
        <v>0.8</v>
      </c>
      <c r="P18" s="133">
        <f t="shared" si="1"/>
        <v>1.3932800000000001</v>
      </c>
      <c r="R18" s="58" t="s">
        <v>270</v>
      </c>
      <c r="S18" s="147">
        <f t="shared" si="2"/>
        <v>1.3932800000000001</v>
      </c>
      <c r="T18" s="147">
        <f t="shared" si="0"/>
        <v>5.7431200000000002</v>
      </c>
      <c r="U18" s="538" t="s">
        <v>313</v>
      </c>
      <c r="V18" s="538"/>
      <c r="AA18" s="544"/>
      <c r="AB18" s="544"/>
      <c r="AC18" s="544"/>
      <c r="AD18" s="544"/>
      <c r="AE18" s="544"/>
      <c r="AF18" s="544"/>
      <c r="AG18" s="544"/>
      <c r="AH18" s="544"/>
      <c r="AI18" s="544"/>
      <c r="AJ18" s="544"/>
      <c r="AK18" s="544"/>
      <c r="AL18" s="544"/>
      <c r="AM18" s="544"/>
      <c r="AN18" s="544"/>
      <c r="AO18" s="544"/>
      <c r="AP18" s="544"/>
      <c r="AQ18" s="544"/>
      <c r="AR18" s="544"/>
      <c r="AS18" s="544"/>
      <c r="AT18" s="544"/>
      <c r="AU18" s="544"/>
      <c r="AV18" s="544"/>
      <c r="AW18" s="544"/>
      <c r="AX18" s="544"/>
      <c r="AY18" s="544"/>
      <c r="AZ18" s="544"/>
      <c r="BA18" s="544"/>
    </row>
    <row r="19" spans="4:53" ht="16.5" customHeight="1" x14ac:dyDescent="0.2">
      <c r="D19" s="10" t="s">
        <v>273</v>
      </c>
      <c r="E19" s="242" t="s">
        <v>274</v>
      </c>
      <c r="F19" s="242"/>
      <c r="G19" s="242"/>
      <c r="H19" s="242"/>
      <c r="I19" s="242"/>
      <c r="J19" s="242"/>
      <c r="K19" s="242"/>
      <c r="L19" s="242"/>
      <c r="M19" s="242"/>
      <c r="N19" s="10" t="s">
        <v>270</v>
      </c>
      <c r="O19" s="14">
        <v>0.5</v>
      </c>
      <c r="P19" s="133">
        <f t="shared" si="1"/>
        <v>0.87080000000000002</v>
      </c>
      <c r="R19" s="58" t="s">
        <v>273</v>
      </c>
      <c r="S19" s="147">
        <f t="shared" si="2"/>
        <v>0.87080000000000002</v>
      </c>
      <c r="T19" s="147">
        <f t="shared" si="0"/>
        <v>4.3498400000000004</v>
      </c>
      <c r="U19" s="538" t="s">
        <v>314</v>
      </c>
      <c r="V19" s="538"/>
      <c r="AA19" s="544"/>
      <c r="AB19" s="544"/>
      <c r="AC19" s="544"/>
      <c r="AD19" s="544"/>
      <c r="AE19" s="544"/>
      <c r="AF19" s="544"/>
      <c r="AG19" s="544"/>
      <c r="AH19" s="544"/>
      <c r="AI19" s="544"/>
      <c r="AJ19" s="544"/>
      <c r="AK19" s="544"/>
      <c r="AL19" s="544"/>
      <c r="AM19" s="544"/>
      <c r="AN19" s="544"/>
      <c r="AO19" s="544"/>
      <c r="AP19" s="544"/>
      <c r="AQ19" s="544"/>
      <c r="AR19" s="544"/>
      <c r="AS19" s="544"/>
      <c r="AT19" s="544"/>
      <c r="AU19" s="544"/>
      <c r="AV19" s="544"/>
      <c r="AW19" s="544"/>
      <c r="AX19" s="544"/>
      <c r="AY19" s="544"/>
      <c r="AZ19" s="544"/>
      <c r="BA19" s="544"/>
    </row>
    <row r="20" spans="4:53" ht="16.5" customHeight="1" x14ac:dyDescent="0.2">
      <c r="D20" s="10" t="s">
        <v>276</v>
      </c>
      <c r="E20" s="242" t="s">
        <v>264</v>
      </c>
      <c r="F20" s="242"/>
      <c r="G20" s="242"/>
      <c r="H20" s="242"/>
      <c r="I20" s="242"/>
      <c r="J20" s="242"/>
      <c r="K20" s="242"/>
      <c r="L20" s="242"/>
      <c r="M20" s="242"/>
      <c r="N20" s="10" t="s">
        <v>277</v>
      </c>
      <c r="O20" s="14">
        <v>0.4</v>
      </c>
      <c r="P20" s="133">
        <f t="shared" si="1"/>
        <v>0.69664000000000004</v>
      </c>
      <c r="R20" s="58" t="s">
        <v>276</v>
      </c>
      <c r="S20" s="147">
        <f t="shared" si="2"/>
        <v>0.69664000000000004</v>
      </c>
      <c r="T20" s="147">
        <f t="shared" si="0"/>
        <v>3.4790399999999999</v>
      </c>
      <c r="U20" s="538" t="s">
        <v>315</v>
      </c>
      <c r="V20" s="538"/>
      <c r="AA20" s="544"/>
      <c r="AB20" s="544"/>
      <c r="AC20" s="544"/>
      <c r="AD20" s="544"/>
      <c r="AE20" s="544"/>
      <c r="AF20" s="544"/>
      <c r="AG20" s="544"/>
      <c r="AH20" s="544"/>
      <c r="AI20" s="544"/>
      <c r="AJ20" s="544"/>
      <c r="AK20" s="544"/>
      <c r="AL20" s="544"/>
      <c r="AM20" s="544"/>
      <c r="AN20" s="544"/>
      <c r="AO20" s="544"/>
      <c r="AP20" s="544"/>
      <c r="AQ20" s="544"/>
      <c r="AR20" s="544"/>
      <c r="AS20" s="544"/>
      <c r="AT20" s="544"/>
      <c r="AU20" s="544"/>
      <c r="AV20" s="544"/>
      <c r="AW20" s="544"/>
      <c r="AX20" s="544"/>
      <c r="AY20" s="544"/>
      <c r="AZ20" s="544"/>
      <c r="BA20" s="544"/>
    </row>
    <row r="21" spans="4:53" ht="16.5" customHeight="1" x14ac:dyDescent="0.2">
      <c r="D21" s="10" t="s">
        <v>316</v>
      </c>
      <c r="E21" s="242" t="s">
        <v>317</v>
      </c>
      <c r="F21" s="242"/>
      <c r="G21" s="242"/>
      <c r="H21" s="242"/>
      <c r="I21" s="242"/>
      <c r="J21" s="242"/>
      <c r="K21" s="242"/>
      <c r="L21" s="242"/>
      <c r="M21" s="242"/>
      <c r="N21" s="10" t="s">
        <v>276</v>
      </c>
      <c r="O21" s="14">
        <v>0.7</v>
      </c>
      <c r="P21" s="133">
        <f t="shared" si="1"/>
        <v>1.21912</v>
      </c>
      <c r="R21" s="58" t="s">
        <v>316</v>
      </c>
      <c r="S21" s="147">
        <f t="shared" si="2"/>
        <v>1.21912</v>
      </c>
      <c r="T21" s="147">
        <f t="shared" si="0"/>
        <v>2.7824</v>
      </c>
      <c r="U21" s="538" t="s">
        <v>318</v>
      </c>
      <c r="V21" s="538"/>
      <c r="AA21" s="544"/>
      <c r="AB21" s="544"/>
      <c r="AC21" s="544"/>
      <c r="AD21" s="544"/>
      <c r="AE21" s="544"/>
      <c r="AF21" s="544"/>
      <c r="AG21" s="544"/>
      <c r="AH21" s="544"/>
      <c r="AI21" s="544"/>
      <c r="AJ21" s="544"/>
      <c r="AK21" s="544"/>
      <c r="AL21" s="544"/>
      <c r="AM21" s="544"/>
      <c r="AN21" s="544"/>
      <c r="AO21" s="544"/>
      <c r="AP21" s="544"/>
      <c r="AQ21" s="544"/>
      <c r="AR21" s="544"/>
      <c r="AS21" s="544"/>
      <c r="AT21" s="544"/>
      <c r="AU21" s="544"/>
      <c r="AV21" s="544"/>
      <c r="AW21" s="544"/>
      <c r="AX21" s="544"/>
      <c r="AY21" s="544"/>
      <c r="AZ21" s="544"/>
      <c r="BA21" s="544"/>
    </row>
    <row r="22" spans="4:53" ht="18.75" customHeight="1" x14ac:dyDescent="0.2">
      <c r="D22" s="10" t="s">
        <v>181</v>
      </c>
      <c r="E22" s="242" t="s">
        <v>264</v>
      </c>
      <c r="F22" s="242"/>
      <c r="G22" s="242"/>
      <c r="H22" s="242"/>
      <c r="I22" s="242"/>
      <c r="J22" s="242"/>
      <c r="K22" s="242"/>
      <c r="L22" s="242"/>
      <c r="M22" s="242"/>
      <c r="N22" s="10" t="s">
        <v>316</v>
      </c>
      <c r="O22" s="14">
        <v>0.2</v>
      </c>
      <c r="P22" s="133">
        <f t="shared" si="1"/>
        <v>0.34832000000000002</v>
      </c>
      <c r="R22" s="58" t="s">
        <v>181</v>
      </c>
      <c r="S22" s="147">
        <f t="shared" si="2"/>
        <v>0.34832000000000002</v>
      </c>
      <c r="T22" s="147">
        <f t="shared" si="0"/>
        <v>1.56328</v>
      </c>
      <c r="U22" s="538" t="s">
        <v>319</v>
      </c>
      <c r="V22" s="538"/>
      <c r="AA22" s="544"/>
      <c r="AB22" s="544"/>
      <c r="AC22" s="544"/>
      <c r="AD22" s="544"/>
      <c r="AE22" s="544"/>
      <c r="AF22" s="544"/>
      <c r="AG22" s="544"/>
      <c r="AH22" s="544"/>
      <c r="AI22" s="544"/>
      <c r="AJ22" s="544"/>
      <c r="AK22" s="544"/>
      <c r="AL22" s="544"/>
      <c r="AM22" s="544"/>
      <c r="AN22" s="544"/>
      <c r="AO22" s="544"/>
      <c r="AP22" s="544"/>
      <c r="AQ22" s="544"/>
      <c r="AR22" s="544"/>
      <c r="AS22" s="544"/>
      <c r="AT22" s="544"/>
      <c r="AU22" s="544"/>
      <c r="AV22" s="544"/>
      <c r="AW22" s="544"/>
      <c r="AX22" s="544"/>
      <c r="AY22" s="544"/>
      <c r="AZ22" s="544"/>
      <c r="BA22" s="544"/>
    </row>
    <row r="23" spans="4:53" ht="18.75" customHeight="1" x14ac:dyDescent="0.2">
      <c r="D23" s="10" t="s">
        <v>184</v>
      </c>
      <c r="E23" s="242" t="s">
        <v>320</v>
      </c>
      <c r="F23" s="242"/>
      <c r="G23" s="242"/>
      <c r="H23" s="242"/>
      <c r="I23" s="242"/>
      <c r="J23" s="242"/>
      <c r="K23" s="242"/>
      <c r="L23" s="242"/>
      <c r="M23" s="242"/>
      <c r="N23" s="10" t="s">
        <v>181</v>
      </c>
      <c r="O23" s="14">
        <v>0.4</v>
      </c>
      <c r="P23" s="133">
        <f t="shared" si="1"/>
        <v>0.69664000000000004</v>
      </c>
      <c r="R23" s="58" t="s">
        <v>184</v>
      </c>
      <c r="S23" s="147">
        <f t="shared" si="2"/>
        <v>0.69664000000000004</v>
      </c>
      <c r="T23" s="147">
        <f t="shared" si="0"/>
        <v>1.21496</v>
      </c>
      <c r="U23" s="538" t="s">
        <v>321</v>
      </c>
      <c r="V23" s="538"/>
    </row>
    <row r="24" spans="4:53" ht="18.75" customHeight="1" x14ac:dyDescent="0.2">
      <c r="D24" s="10" t="s">
        <v>322</v>
      </c>
      <c r="E24" s="242" t="s">
        <v>264</v>
      </c>
      <c r="F24" s="242"/>
      <c r="G24" s="242"/>
      <c r="H24" s="242"/>
      <c r="I24" s="242"/>
      <c r="J24" s="242"/>
      <c r="K24" s="242"/>
      <c r="L24" s="242"/>
      <c r="M24" s="242"/>
      <c r="N24" s="10" t="s">
        <v>184</v>
      </c>
      <c r="O24" s="14">
        <v>0.2</v>
      </c>
      <c r="P24" s="133">
        <f t="shared" si="1"/>
        <v>0.34832000000000002</v>
      </c>
      <c r="R24" s="58" t="s">
        <v>322</v>
      </c>
      <c r="S24" s="147">
        <f t="shared" si="2"/>
        <v>0.34832000000000002</v>
      </c>
      <c r="T24" s="147">
        <f>T25+S24</f>
        <v>0.51832</v>
      </c>
      <c r="U24" s="538" t="s">
        <v>323</v>
      </c>
      <c r="V24" s="538"/>
    </row>
    <row r="25" spans="4:53" ht="18.75" customHeight="1" x14ac:dyDescent="0.2">
      <c r="D25" s="10" t="s">
        <v>278</v>
      </c>
      <c r="E25" s="242" t="s">
        <v>279</v>
      </c>
      <c r="F25" s="242"/>
      <c r="G25" s="242"/>
      <c r="H25" s="242"/>
      <c r="I25" s="242"/>
      <c r="J25" s="242"/>
      <c r="K25" s="242"/>
      <c r="L25" s="242"/>
      <c r="M25" s="242"/>
      <c r="N25" s="10" t="s">
        <v>322</v>
      </c>
      <c r="O25" s="14">
        <v>0.1</v>
      </c>
      <c r="P25" s="133">
        <f t="shared" si="1"/>
        <v>0.17416000000000001</v>
      </c>
      <c r="R25" s="58" t="s">
        <v>278</v>
      </c>
      <c r="S25" s="147">
        <f t="shared" si="2"/>
        <v>0.17416000000000001</v>
      </c>
      <c r="T25" s="147">
        <v>0.17</v>
      </c>
      <c r="U25" s="538" t="s">
        <v>280</v>
      </c>
      <c r="V25" s="538"/>
    </row>
    <row r="26" spans="4:53" ht="18.75" customHeight="1" x14ac:dyDescent="0.2">
      <c r="D26" s="1"/>
      <c r="E26" s="49"/>
      <c r="F26" s="49"/>
      <c r="G26" s="49"/>
      <c r="H26" s="49"/>
      <c r="I26" s="49"/>
      <c r="J26" s="49"/>
      <c r="K26" s="49"/>
      <c r="L26" s="49"/>
      <c r="M26" s="49"/>
      <c r="N26" s="1"/>
      <c r="O26" s="4"/>
      <c r="P26" s="50">
        <f>SUM($P$9:$P$25)</f>
        <v>13.410319999999999</v>
      </c>
      <c r="R26" s="59"/>
      <c r="S26" s="60">
        <f>SUM($S$9:$S$25)</f>
        <v>13.410319999999999</v>
      </c>
      <c r="T26" s="59"/>
    </row>
    <row r="27" spans="4:53" ht="18.75" customHeight="1" x14ac:dyDescent="0.2">
      <c r="D27" s="1"/>
      <c r="E27" s="49"/>
      <c r="F27" s="49"/>
      <c r="G27" s="49"/>
      <c r="H27" s="49"/>
      <c r="I27" s="49"/>
      <c r="J27" s="49"/>
      <c r="K27" s="49"/>
      <c r="L27" s="49"/>
      <c r="M27" s="49"/>
      <c r="N27" s="1"/>
      <c r="O27" s="4"/>
      <c r="P27" s="4"/>
    </row>
    <row r="28" spans="4:53" ht="18.75" customHeight="1" x14ac:dyDescent="0.2">
      <c r="D28" s="1"/>
      <c r="E28" s="49"/>
      <c r="F28" s="49"/>
      <c r="G28" s="49"/>
      <c r="H28" s="49"/>
      <c r="I28" s="49"/>
      <c r="J28" s="49"/>
      <c r="K28" s="49"/>
      <c r="L28" s="49"/>
      <c r="M28" s="49"/>
      <c r="N28" s="1"/>
      <c r="O28" s="4"/>
      <c r="P28" s="4"/>
    </row>
    <row r="29" spans="4:53" ht="25.25" customHeight="1" thickBot="1" x14ac:dyDescent="0.25">
      <c r="D29" s="1"/>
    </row>
    <row r="30" spans="4:53" ht="25.25" customHeight="1" thickBot="1" x14ac:dyDescent="0.25">
      <c r="D30" s="1"/>
      <c r="F30" s="20"/>
      <c r="L30" s="20"/>
      <c r="Q30" s="20"/>
      <c r="V30" s="541" t="s">
        <v>281</v>
      </c>
      <c r="W30" s="542"/>
      <c r="X30" s="539" t="s">
        <v>282</v>
      </c>
      <c r="Y30" s="540"/>
      <c r="Z30" s="541" t="s">
        <v>283</v>
      </c>
      <c r="AA30" s="542"/>
      <c r="AB30" s="541" t="s">
        <v>284</v>
      </c>
      <c r="AC30" s="542"/>
      <c r="AD30" s="541" t="s">
        <v>324</v>
      </c>
      <c r="AE30" s="542"/>
      <c r="AF30" s="541" t="s">
        <v>325</v>
      </c>
      <c r="AG30" s="542"/>
      <c r="AH30" s="541" t="s">
        <v>326</v>
      </c>
      <c r="AI30" s="542"/>
      <c r="AJ30" s="541" t="s">
        <v>327</v>
      </c>
      <c r="AK30" s="542"/>
      <c r="AL30" s="541" t="s">
        <v>328</v>
      </c>
      <c r="AM30" s="542"/>
    </row>
    <row r="31" spans="4:53" ht="25.25" customHeight="1" x14ac:dyDescent="0.2">
      <c r="D31" s="1"/>
      <c r="E31" s="547" t="s">
        <v>285</v>
      </c>
      <c r="F31" s="547"/>
      <c r="G31" s="547"/>
      <c r="H31" s="547"/>
      <c r="I31" s="547"/>
      <c r="J31" s="547"/>
      <c r="K31" s="547"/>
      <c r="L31" s="547"/>
      <c r="M31" s="547"/>
      <c r="V31" s="148" t="s">
        <v>241</v>
      </c>
      <c r="W31" s="149">
        <f>_xlfn.XLOOKUP(V31,$R$9:$R$25,$S$9:$S$25,0)</f>
        <v>0.69664000000000004</v>
      </c>
      <c r="X31" s="148" t="s">
        <v>251</v>
      </c>
      <c r="Y31" s="149">
        <f>_xlfn.XLOOKUP(X31,$R$9:$R$25,$S$9:$S$25,0)</f>
        <v>0.69664000000000004</v>
      </c>
      <c r="Z31" s="148" t="s">
        <v>257</v>
      </c>
      <c r="AA31" s="149">
        <f>_xlfn.XLOOKUP(Z31,$R$9:$R$25,$S$9:$S$25,0)</f>
        <v>1.0449599999999999</v>
      </c>
      <c r="AB31" s="148" t="s">
        <v>263</v>
      </c>
      <c r="AC31" s="149">
        <f>_xlfn.XLOOKUP(AB31,$R$9:$R$25,$S$9:$S$25,0)</f>
        <v>1.0449599999999999</v>
      </c>
      <c r="AD31" s="148" t="s">
        <v>270</v>
      </c>
      <c r="AE31" s="149">
        <f>_xlfn.XLOOKUP(AD31,$R$9:$R$25,$S$9:$S$25,0)</f>
        <v>1.3932800000000001</v>
      </c>
      <c r="AF31" s="148" t="s">
        <v>276</v>
      </c>
      <c r="AG31" s="149">
        <f>_xlfn.XLOOKUP(AF31,$R$9:$R$25,$S$9:$S$25,0)</f>
        <v>0.69664000000000004</v>
      </c>
      <c r="AH31" s="148" t="s">
        <v>273</v>
      </c>
      <c r="AI31" s="149">
        <f>_xlfn.XLOOKUP(AH31,$R$9:$R$25,$S$9:$S$25,0)</f>
        <v>0.87080000000000002</v>
      </c>
      <c r="AJ31" s="148" t="s">
        <v>316</v>
      </c>
      <c r="AK31" s="149">
        <f>_xlfn.XLOOKUP(AJ31,$R$9:$R$25,$S$9:$S$25,0)</f>
        <v>1.21912</v>
      </c>
      <c r="AL31" s="148" t="s">
        <v>322</v>
      </c>
      <c r="AM31" s="149">
        <f>_xlfn.XLOOKUP(AL31,$R$9:$R$25,$S$9:$S$25,0)</f>
        <v>0.34832000000000002</v>
      </c>
    </row>
    <row r="32" spans="4:53" ht="25.25" customHeight="1" x14ac:dyDescent="0.2">
      <c r="D32" s="1"/>
      <c r="E32" s="547"/>
      <c r="F32" s="547"/>
      <c r="G32" s="547"/>
      <c r="H32" s="547"/>
      <c r="I32" s="547"/>
      <c r="J32" s="547"/>
      <c r="K32" s="547"/>
      <c r="L32" s="547"/>
      <c r="M32" s="547"/>
      <c r="V32" s="150" t="s">
        <v>174</v>
      </c>
      <c r="W32" s="151">
        <f>_xlfn.XLOOKUP(V32,$R$9:$R$25,$S$9:$S$25,0)</f>
        <v>0.52247999999999994</v>
      </c>
      <c r="X32" s="150" t="s">
        <v>254</v>
      </c>
      <c r="Y32" s="151">
        <f>_xlfn.XLOOKUP(X32,$R$9:$R$25,$S$9:$S$25,0)</f>
        <v>0.87080000000000002</v>
      </c>
      <c r="Z32" s="150" t="s">
        <v>260</v>
      </c>
      <c r="AA32" s="151">
        <f>_xlfn.XLOOKUP(Z32,$R$9:$R$25,$S$9:$S$25,0)</f>
        <v>1.3932800000000001</v>
      </c>
      <c r="AB32" s="150" t="s">
        <v>267</v>
      </c>
      <c r="AC32" s="151">
        <f>_xlfn.XLOOKUP(AB32,$R$9:$R$25,$S$9:$S$25,0)</f>
        <v>0.69664000000000004</v>
      </c>
      <c r="AD32" s="150" t="s">
        <v>273</v>
      </c>
      <c r="AE32" s="151">
        <f>_xlfn.XLOOKUP(AD32,$R$9:$R$25,$S$9:$S$25,0)</f>
        <v>0.87080000000000002</v>
      </c>
      <c r="AF32" s="150" t="s">
        <v>316</v>
      </c>
      <c r="AG32" s="151">
        <f>_xlfn.XLOOKUP(AF32,$R$9:$R$25,$S$9:$S$25,0)</f>
        <v>1.21912</v>
      </c>
      <c r="AH32" s="150" t="s">
        <v>276</v>
      </c>
      <c r="AI32" s="151">
        <f>_xlfn.XLOOKUP(AH32,$R$9:$R$25,$S$9:$S$25,0)</f>
        <v>0.69664000000000004</v>
      </c>
      <c r="AJ32" s="150" t="s">
        <v>181</v>
      </c>
      <c r="AK32" s="151">
        <f>_xlfn.XLOOKUP(AJ32,$R$9:$R$25,$S$9:$S$25,0)</f>
        <v>0.34832000000000002</v>
      </c>
      <c r="AL32" s="150" t="s">
        <v>278</v>
      </c>
      <c r="AM32" s="151">
        <f>_xlfn.XLOOKUP(AL32,$R$9:$R$25,$S$9:$S$25,0)</f>
        <v>0.17416000000000001</v>
      </c>
    </row>
    <row r="33" spans="3:42" ht="25.25" customHeight="1" x14ac:dyDescent="0.2">
      <c r="C33" s="20"/>
      <c r="D33" s="1"/>
      <c r="F33" s="20"/>
      <c r="J33" s="20"/>
      <c r="M33" s="20"/>
      <c r="N33" s="20"/>
      <c r="V33" s="150" t="s">
        <v>248</v>
      </c>
      <c r="W33" s="151">
        <f>_xlfn.XLOOKUP(V33,$R$9:$R$25,$S$9:$S$25,0)</f>
        <v>0.69664000000000004</v>
      </c>
      <c r="X33" s="150"/>
      <c r="Y33" s="151">
        <f>_xlfn.XLOOKUP(X33,$R$9:$R$25,$S$9:$S$25,0)</f>
        <v>0</v>
      </c>
      <c r="Z33" s="150"/>
      <c r="AA33" s="151">
        <f>_xlfn.XLOOKUP(Z33,$R$9:$R$25,$S$9:$S$25,0)</f>
        <v>0</v>
      </c>
      <c r="AB33" s="150"/>
      <c r="AC33" s="151">
        <f>_xlfn.XLOOKUP(AB33,$R$9:$R$25,$S$9:$S$25,0)</f>
        <v>0</v>
      </c>
      <c r="AD33" s="150"/>
      <c r="AE33" s="151">
        <f>_xlfn.XLOOKUP(AD33,$R$9:$R$25,$S$9:$S$25,0)</f>
        <v>0</v>
      </c>
      <c r="AF33" s="150" t="s">
        <v>181</v>
      </c>
      <c r="AG33" s="151">
        <f>_xlfn.XLOOKUP(AF33,$R$9:$R$25,$S$9:$S$25,0)</f>
        <v>0.34832000000000002</v>
      </c>
      <c r="AH33" s="150"/>
      <c r="AI33" s="159">
        <f>_xlfn.XLOOKUP(AH33,$R$9:$R$25,$S$9:$S$25,0)</f>
        <v>0</v>
      </c>
      <c r="AJ33" s="150" t="s">
        <v>184</v>
      </c>
      <c r="AK33" s="151">
        <f>_xlfn.XLOOKUP(AJ33,$R$9:$R$25,$S$9:$S$25,0)</f>
        <v>0.69664000000000004</v>
      </c>
      <c r="AL33" s="150"/>
      <c r="AM33" s="159">
        <f>_xlfn.XLOOKUP(AL33,$R$9:$R$25,$S$9:$S$25,0)</f>
        <v>0</v>
      </c>
    </row>
    <row r="34" spans="3:42" ht="25.25" customHeight="1" x14ac:dyDescent="0.2">
      <c r="V34" s="150"/>
      <c r="W34" s="151">
        <f>_xlfn.XLOOKUP(V34,$R$9:$R$25,$S$9:$S$25,0)</f>
        <v>0</v>
      </c>
      <c r="X34" s="150"/>
      <c r="Y34" s="151">
        <f>_xlfn.XLOOKUP(X34,$R$9:$R$25,$S$9:$S$25,0)</f>
        <v>0</v>
      </c>
      <c r="Z34" s="150"/>
      <c r="AA34" s="151">
        <f>_xlfn.XLOOKUP(Z34,$R$9:$R$25,$S$9:$S$25,0)</f>
        <v>0</v>
      </c>
      <c r="AB34" s="150"/>
      <c r="AC34" s="151">
        <f>_xlfn.XLOOKUP(AB34,$R$9:$R$25,$S$9:$S$25,0)</f>
        <v>0</v>
      </c>
      <c r="AD34" s="150"/>
      <c r="AE34" s="159">
        <f>_xlfn.XLOOKUP(AD34,$R$9:$R$25,$S$9:$S$25,0)</f>
        <v>0</v>
      </c>
      <c r="AF34" s="150"/>
      <c r="AG34" s="159">
        <f>_xlfn.XLOOKUP(AF34,$R$9:$R$25,$S$9:$S$25,0)</f>
        <v>0</v>
      </c>
      <c r="AH34" s="150"/>
      <c r="AI34" s="159">
        <f>_xlfn.XLOOKUP(AH34,$R$9:$R$25,$S$9:$S$25,0)</f>
        <v>0</v>
      </c>
      <c r="AJ34" s="150"/>
      <c r="AK34" s="151">
        <f>_xlfn.XLOOKUP(AJ34,$R$9:$R$25,$S$9:$S$25,0)</f>
        <v>0</v>
      </c>
      <c r="AL34" s="150"/>
      <c r="AM34" s="159">
        <f>_xlfn.XLOOKUP(AL34,$R$9:$R$25,$S$9:$S$25,0)</f>
        <v>0</v>
      </c>
    </row>
    <row r="35" spans="3:42" ht="25.25" customHeight="1" thickBot="1" x14ac:dyDescent="0.25">
      <c r="V35" s="152"/>
      <c r="W35" s="153">
        <f>_xlfn.XLOOKUP(V35,$R$9:$R$25,$S$9:$S$25,0)</f>
        <v>0</v>
      </c>
      <c r="X35" s="154"/>
      <c r="Y35" s="155">
        <f>_xlfn.XLOOKUP(X35,$R$9:$R$25,$S$9:$S$25,0)</f>
        <v>0</v>
      </c>
      <c r="Z35" s="154"/>
      <c r="AA35" s="155">
        <f>_xlfn.XLOOKUP(Z35,$R$9:$R$25,$S$9:$S$25,0)</f>
        <v>0</v>
      </c>
      <c r="AB35" s="152"/>
      <c r="AC35" s="153">
        <f>_xlfn.XLOOKUP(AB35,$R$9:$R$25,$S$9:$S$25,0)</f>
        <v>0</v>
      </c>
      <c r="AD35" s="154"/>
      <c r="AE35" s="155">
        <f>_xlfn.XLOOKUP(AD35,$R$9:$R$25,$S$9:$S$25,0)</f>
        <v>0</v>
      </c>
      <c r="AF35" s="154"/>
      <c r="AG35" s="155">
        <f>_xlfn.XLOOKUP(AF35,$R$9:$R$25,$S$9:$S$25,0)</f>
        <v>0</v>
      </c>
      <c r="AH35" s="154"/>
      <c r="AI35" s="155">
        <f>_xlfn.XLOOKUP(AH35,$R$9:$R$25,$S$9:$S$25,0)</f>
        <v>0</v>
      </c>
      <c r="AJ35" s="154"/>
      <c r="AK35" s="153">
        <f>_xlfn.XLOOKUP(AJ35,$R$9:$R$25,$S$9:$S$25,0)</f>
        <v>0</v>
      </c>
      <c r="AL35" s="154"/>
      <c r="AM35" s="155">
        <f>_xlfn.XLOOKUP(AL35,$R$9:$R$25,$S$9:$S$25,0)</f>
        <v>0</v>
      </c>
    </row>
    <row r="36" spans="3:42" ht="25.25" customHeight="1" x14ac:dyDescent="0.2">
      <c r="C36" s="20"/>
      <c r="D36" s="507" t="s">
        <v>286</v>
      </c>
      <c r="E36" s="548"/>
      <c r="F36" s="548"/>
      <c r="G36" s="548"/>
      <c r="H36" s="549"/>
      <c r="N36" s="20"/>
      <c r="T36" s="20"/>
      <c r="V36" s="91">
        <f>'$_DATI_DI_BASE'!$P$107</f>
        <v>2.5</v>
      </c>
      <c r="W36" s="92">
        <f>SUM(W$31:W$35)</f>
        <v>1.9157600000000001</v>
      </c>
      <c r="X36" s="91">
        <f>'$_DATI_DI_BASE'!$P$107</f>
        <v>2.5</v>
      </c>
      <c r="Y36" s="92">
        <f>SUM(Y$31:Y$35)</f>
        <v>1.5674399999999999</v>
      </c>
      <c r="Z36" s="91">
        <f>'$_DATI_DI_BASE'!$P$107</f>
        <v>2.5</v>
      </c>
      <c r="AA36" s="92">
        <f>SUM(AA$31:AA$35)</f>
        <v>2.43824</v>
      </c>
      <c r="AB36" s="91">
        <f>'$_DATI_DI_BASE'!$P$107</f>
        <v>2.5</v>
      </c>
      <c r="AC36" s="92">
        <f>SUM(AC$31:AC$35)</f>
        <v>1.7416</v>
      </c>
      <c r="AD36" s="91">
        <f>'$_DATI_DI_BASE'!$P$107</f>
        <v>2.5</v>
      </c>
      <c r="AE36" s="92">
        <f>SUM(AE$31:AE$35)</f>
        <v>2.2640799999999999</v>
      </c>
      <c r="AF36" s="91">
        <f>'$_DATI_DI_BASE'!$P$107</f>
        <v>2.5</v>
      </c>
      <c r="AG36" s="92">
        <f>SUM(AG$31:AG$35)</f>
        <v>2.2640800000000003</v>
      </c>
      <c r="AH36" s="91">
        <f>'$_DATI_DI_BASE'!$P$107</f>
        <v>2.5</v>
      </c>
      <c r="AI36" s="92">
        <f>SUM(AI$31:AI$35)</f>
        <v>1.5674399999999999</v>
      </c>
      <c r="AJ36" s="91">
        <f>'$_DATI_DI_BASE'!$P$107</f>
        <v>2.5</v>
      </c>
      <c r="AK36" s="92">
        <f>SUM(AK$31:AK$35)</f>
        <v>2.2640799999999999</v>
      </c>
      <c r="AL36" s="91">
        <f>'$_DATI_DI_BASE'!$P$107</f>
        <v>2.5</v>
      </c>
      <c r="AM36" s="92">
        <f>SUM(AM$31:AM$35)</f>
        <v>0.52248000000000006</v>
      </c>
      <c r="AN36" s="69" t="s">
        <v>287</v>
      </c>
      <c r="AO36" s="70" t="s">
        <v>288</v>
      </c>
      <c r="AP36" s="73" t="s">
        <v>289</v>
      </c>
    </row>
    <row r="37" spans="3:42" ht="25.25" customHeight="1" thickBot="1" x14ac:dyDescent="0.25">
      <c r="D37" s="550"/>
      <c r="E37" s="551"/>
      <c r="F37" s="551"/>
      <c r="G37" s="551"/>
      <c r="H37" s="552"/>
      <c r="N37" s="20"/>
      <c r="V37" s="66" t="s">
        <v>290</v>
      </c>
      <c r="W37" s="67" t="s">
        <v>291</v>
      </c>
      <c r="X37" s="66" t="s">
        <v>290</v>
      </c>
      <c r="Y37" s="67" t="s">
        <v>291</v>
      </c>
      <c r="Z37" s="66" t="s">
        <v>290</v>
      </c>
      <c r="AA37" s="67" t="s">
        <v>291</v>
      </c>
      <c r="AB37" s="66" t="s">
        <v>290</v>
      </c>
      <c r="AC37" s="67" t="s">
        <v>291</v>
      </c>
      <c r="AD37" s="66" t="s">
        <v>290</v>
      </c>
      <c r="AE37" s="67" t="s">
        <v>291</v>
      </c>
      <c r="AF37" s="68" t="s">
        <v>290</v>
      </c>
      <c r="AG37" s="67" t="s">
        <v>291</v>
      </c>
      <c r="AH37" s="66" t="s">
        <v>290</v>
      </c>
      <c r="AI37" s="67" t="s">
        <v>291</v>
      </c>
      <c r="AJ37" s="66" t="s">
        <v>290</v>
      </c>
      <c r="AK37" s="67" t="s">
        <v>291</v>
      </c>
      <c r="AL37" s="66" t="s">
        <v>290</v>
      </c>
      <c r="AM37" s="67" t="s">
        <v>291</v>
      </c>
      <c r="AN37" s="71">
        <f>SUMIFS(V$36:AM$36,$V$37:$AM$37,_xlfn.TEXTAFTER(AN$36," "))</f>
        <v>22.5</v>
      </c>
      <c r="AO37" s="72">
        <f>SUMIFS(W$36:AN$36,$V$37:$AM$37,_xlfn.TEXTAFTER(AO$36," "))</f>
        <v>20</v>
      </c>
      <c r="AP37" s="160">
        <f>AO37/'$_MACCHINE'!$N$18</f>
        <v>2.2222222222222223</v>
      </c>
    </row>
    <row r="38" spans="3:42" ht="25.25" customHeight="1" x14ac:dyDescent="0.2">
      <c r="D38" s="545" t="s">
        <v>292</v>
      </c>
      <c r="E38" s="249"/>
      <c r="F38" s="249"/>
      <c r="G38" s="13" t="s">
        <v>25</v>
      </c>
      <c r="H38" s="57">
        <v>1.7416</v>
      </c>
      <c r="N38" s="20"/>
      <c r="Z38" s="553"/>
      <c r="AA38" s="553"/>
      <c r="AB38" s="553"/>
      <c r="AC38" s="553"/>
      <c r="AD38" s="90"/>
      <c r="AE38" s="555"/>
      <c r="AF38" s="555"/>
    </row>
    <row r="39" spans="3:42" ht="25.25" customHeight="1" x14ac:dyDescent="0.2">
      <c r="D39" s="545" t="s">
        <v>293</v>
      </c>
      <c r="E39" s="249"/>
      <c r="F39" s="249"/>
      <c r="G39" s="13" t="s">
        <v>25</v>
      </c>
      <c r="H39" s="45">
        <v>1.0670101598053758</v>
      </c>
      <c r="K39" s="56"/>
      <c r="N39" s="20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</row>
    <row r="40" spans="3:42" ht="25.25" customHeight="1" x14ac:dyDescent="0.2">
      <c r="D40" s="545" t="s">
        <v>294</v>
      </c>
      <c r="E40" s="249"/>
      <c r="F40" s="249"/>
      <c r="G40" s="13" t="s">
        <v>25</v>
      </c>
      <c r="H40" s="45">
        <v>1.9888704835950288</v>
      </c>
      <c r="K40" s="56"/>
      <c r="N40" s="20"/>
      <c r="V40" s="547" t="s">
        <v>295</v>
      </c>
      <c r="W40" s="547"/>
      <c r="X40" s="547"/>
      <c r="Y40" s="547"/>
      <c r="Z40" s="547"/>
      <c r="AA40" s="547"/>
      <c r="AB40" s="547"/>
      <c r="AC40" s="547"/>
      <c r="AD40" s="547"/>
      <c r="AE40" s="547"/>
      <c r="AF40" s="547"/>
      <c r="AG40" s="547"/>
      <c r="AH40" s="547"/>
      <c r="AI40" s="547"/>
    </row>
    <row r="41" spans="3:42" ht="25.25" customHeight="1" x14ac:dyDescent="0.2">
      <c r="D41" s="545" t="s">
        <v>296</v>
      </c>
      <c r="E41" s="249"/>
      <c r="F41" s="249"/>
      <c r="G41" s="13" t="s">
        <v>25</v>
      </c>
      <c r="H41" s="45">
        <v>1.9880967220616736</v>
      </c>
      <c r="K41" s="56"/>
      <c r="N41" s="20"/>
      <c r="P41" s="53"/>
      <c r="V41" s="547"/>
      <c r="W41" s="547"/>
      <c r="X41" s="547"/>
      <c r="Y41" s="547"/>
      <c r="Z41" s="547"/>
      <c r="AA41" s="547"/>
      <c r="AB41" s="547"/>
      <c r="AC41" s="547"/>
      <c r="AD41" s="547"/>
      <c r="AE41" s="547"/>
      <c r="AF41" s="547"/>
      <c r="AG41" s="547"/>
      <c r="AH41" s="547"/>
      <c r="AI41" s="547"/>
    </row>
    <row r="42" spans="3:42" ht="25.25" customHeight="1" x14ac:dyDescent="0.2">
      <c r="D42" s="545" t="s">
        <v>297</v>
      </c>
      <c r="E42" s="249"/>
      <c r="F42" s="249"/>
      <c r="G42" s="13" t="s">
        <v>25</v>
      </c>
      <c r="H42" s="45">
        <v>1.5778735257116865</v>
      </c>
      <c r="K42" s="56"/>
      <c r="N42" s="20"/>
      <c r="P42" s="53"/>
      <c r="V42" s="547"/>
      <c r="W42" s="547"/>
      <c r="X42" s="547"/>
      <c r="Y42" s="547"/>
      <c r="Z42" s="547"/>
      <c r="AA42" s="547"/>
      <c r="AB42" s="547"/>
      <c r="AC42" s="547"/>
      <c r="AD42" s="547"/>
      <c r="AE42" s="547"/>
      <c r="AF42" s="547"/>
      <c r="AG42" s="547"/>
      <c r="AH42" s="547"/>
      <c r="AI42" s="547"/>
    </row>
    <row r="43" spans="3:42" ht="25.25" customHeight="1" x14ac:dyDescent="0.2">
      <c r="D43" s="545" t="s">
        <v>298</v>
      </c>
      <c r="E43" s="249"/>
      <c r="F43" s="249"/>
      <c r="G43" s="13" t="s">
        <v>25</v>
      </c>
      <c r="H43" s="45">
        <v>1.4234395747960837</v>
      </c>
      <c r="K43" s="56"/>
      <c r="N43" s="20"/>
      <c r="P43" s="53"/>
    </row>
    <row r="44" spans="3:42" ht="25.25" customHeight="1" x14ac:dyDescent="0.2">
      <c r="D44" s="545" t="s">
        <v>299</v>
      </c>
      <c r="E44" s="249"/>
      <c r="F44" s="249"/>
      <c r="G44" s="13" t="s">
        <v>25</v>
      </c>
      <c r="H44" s="45">
        <v>1.1160017433872125</v>
      </c>
      <c r="K44" s="56"/>
      <c r="N44" s="20"/>
      <c r="P44" s="53"/>
    </row>
    <row r="45" spans="3:42" ht="25.25" customHeight="1" x14ac:dyDescent="0.2">
      <c r="D45" s="545" t="s">
        <v>300</v>
      </c>
      <c r="E45" s="249"/>
      <c r="F45" s="249"/>
      <c r="G45" s="13" t="s">
        <v>25</v>
      </c>
      <c r="H45" s="45">
        <v>1.0384815851965761</v>
      </c>
      <c r="K45" s="56"/>
      <c r="N45" s="20"/>
      <c r="P45" s="53"/>
    </row>
    <row r="46" spans="3:42" ht="25.25" customHeight="1" x14ac:dyDescent="0.2">
      <c r="D46" s="545" t="s">
        <v>301</v>
      </c>
      <c r="E46" s="249"/>
      <c r="F46" s="249"/>
      <c r="G46" s="13" t="s">
        <v>25</v>
      </c>
      <c r="H46" s="45">
        <v>1.7604551220038576</v>
      </c>
      <c r="J46" s="20"/>
      <c r="K46" s="56"/>
      <c r="L46" s="20"/>
    </row>
    <row r="47" spans="3:42" ht="25.25" customHeight="1" x14ac:dyDescent="0.2">
      <c r="D47" s="546" t="s">
        <v>302</v>
      </c>
      <c r="E47" s="324"/>
      <c r="F47" s="324"/>
      <c r="G47" s="46" t="s">
        <v>25</v>
      </c>
      <c r="H47" s="51">
        <v>1.2661598036916932</v>
      </c>
      <c r="J47" s="20"/>
      <c r="K47" s="56"/>
      <c r="L47" s="20"/>
    </row>
    <row r="48" spans="3:42" ht="25.25" customHeight="1" x14ac:dyDescent="0.2">
      <c r="D48" s="1"/>
    </row>
    <row r="49" spans="4:10" ht="25.25" customHeight="1" x14ac:dyDescent="0.2">
      <c r="D49" s="1"/>
    </row>
    <row r="50" spans="4:10" ht="25.25" customHeight="1" x14ac:dyDescent="0.2">
      <c r="D50" s="1"/>
      <c r="F50" s="20"/>
      <c r="J50" s="20"/>
    </row>
    <row r="51" spans="4:10" ht="25.25" customHeight="1" x14ac:dyDescent="0.2">
      <c r="D51" s="1"/>
    </row>
  </sheetData>
  <mergeCells count="64">
    <mergeCell ref="AA9:BA22"/>
    <mergeCell ref="AA8:AC8"/>
    <mergeCell ref="AH30:AI30"/>
    <mergeCell ref="U22:V22"/>
    <mergeCell ref="U23:V23"/>
    <mergeCell ref="U24:V24"/>
    <mergeCell ref="U25:V25"/>
    <mergeCell ref="AF30:AG30"/>
    <mergeCell ref="AJ30:AK30"/>
    <mergeCell ref="AL30:AM30"/>
    <mergeCell ref="AE38:AF38"/>
    <mergeCell ref="Z38:AC38"/>
    <mergeCell ref="AB30:AC30"/>
    <mergeCell ref="V30:W30"/>
    <mergeCell ref="X30:Y30"/>
    <mergeCell ref="Z30:AA30"/>
    <mergeCell ref="AD30:AE30"/>
    <mergeCell ref="E8:M8"/>
    <mergeCell ref="E9:M9"/>
    <mergeCell ref="E10:M10"/>
    <mergeCell ref="E11:M11"/>
    <mergeCell ref="E12:M12"/>
    <mergeCell ref="E31:M32"/>
    <mergeCell ref="E21:M21"/>
    <mergeCell ref="E22:M22"/>
    <mergeCell ref="E13:M13"/>
    <mergeCell ref="E14:M14"/>
    <mergeCell ref="E18:M18"/>
    <mergeCell ref="E19:M19"/>
    <mergeCell ref="E20:M20"/>
    <mergeCell ref="E16:M16"/>
    <mergeCell ref="E17:M17"/>
    <mergeCell ref="E15:M15"/>
    <mergeCell ref="E24:M24"/>
    <mergeCell ref="E25:M25"/>
    <mergeCell ref="E23:M23"/>
    <mergeCell ref="N5:O6"/>
    <mergeCell ref="P5:P6"/>
    <mergeCell ref="U19:V19"/>
    <mergeCell ref="U20:V20"/>
    <mergeCell ref="U21:V21"/>
    <mergeCell ref="U14:V14"/>
    <mergeCell ref="U15:V15"/>
    <mergeCell ref="U16:V16"/>
    <mergeCell ref="U17:V17"/>
    <mergeCell ref="U18:V18"/>
    <mergeCell ref="U9:V9"/>
    <mergeCell ref="U10:V10"/>
    <mergeCell ref="U11:V11"/>
    <mergeCell ref="U12:V12"/>
    <mergeCell ref="U13:V13"/>
    <mergeCell ref="U8:V8"/>
    <mergeCell ref="D36:H37"/>
    <mergeCell ref="D38:F38"/>
    <mergeCell ref="D39:F39"/>
    <mergeCell ref="D40:F40"/>
    <mergeCell ref="D41:F41"/>
    <mergeCell ref="V40:AI42"/>
    <mergeCell ref="D47:F47"/>
    <mergeCell ref="D42:F42"/>
    <mergeCell ref="D43:F43"/>
    <mergeCell ref="D44:F44"/>
    <mergeCell ref="D45:F45"/>
    <mergeCell ref="D46:F46"/>
  </mergeCells>
  <conditionalFormatting sqref="V31:AM35">
    <cfRule type="cellIs" dxfId="0" priority="1" stopIfTrue="1" operator="equal">
      <formula>0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Metadata/LabelInfo.xml><?xml version="1.0" encoding="utf-8"?>
<clbl:labelList xmlns:clbl="http://schemas.microsoft.com/office/2020/mipLabelMetadata">
  <clbl:label id="{2a05ac92-2049-4a26-9b34-897763efc8e2}" enabled="0" method="" siteId="{2a05ac92-2049-4a26-9b34-897763efc8e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$_DATI_DI_BASE</vt:lpstr>
      <vt:lpstr>$_FABBISOGNI</vt:lpstr>
      <vt:lpstr>$_MACCHINE</vt:lpstr>
      <vt:lpstr>$_MAG_BUFFER</vt:lpstr>
      <vt:lpstr>$_MOV_MATERIALI</vt:lpstr>
      <vt:lpstr>$_OP_MONTAGGIO (TIPO A1)</vt:lpstr>
      <vt:lpstr>$_OP_MONTAGGIO (TIPO B)</vt:lpstr>
    </vt:vector>
  </TitlesOfParts>
  <Manager/>
  <Company>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SG</dc:creator>
  <cp:keywords/>
  <dc:description/>
  <cp:lastModifiedBy>PARADISO FRANCESCO PIO</cp:lastModifiedBy>
  <cp:revision/>
  <dcterms:created xsi:type="dcterms:W3CDTF">2022-10-07T13:38:05Z</dcterms:created>
  <dcterms:modified xsi:type="dcterms:W3CDTF">2025-05-23T08:59:47Z</dcterms:modified>
  <cp:category/>
  <cp:contentStatus/>
</cp:coreProperties>
</file>