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drawings/drawing12.xml" ContentType="application/vnd.openxmlformats-officedocument.drawing+xml"/>
  <Override PartName="/xl/comments8.xml" ContentType="application/vnd.openxmlformats-officedocument.spreadsheetml.comments+xml"/>
  <Override PartName="/xl/drawings/drawing13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threadedComments/threadedComment3.xml" ContentType="application/vnd.ms-excel.threadedcomments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francescopioparadiso/Downloads/"/>
    </mc:Choice>
  </mc:AlternateContent>
  <xr:revisionPtr revIDLastSave="0" documentId="8_{18A510C1-7E9B-574F-91BE-CB7796C897FA}" xr6:coauthVersionLast="47" xr6:coauthVersionMax="47" xr10:uidLastSave="{00000000-0000-0000-0000-000000000000}"/>
  <bookViews>
    <workbookView xWindow="0" yWindow="500" windowWidth="28800" windowHeight="17500" activeTab="16" xr2:uid="{DC81331C-3C1A-194C-9459-3B0896B25186}"/>
  </bookViews>
  <sheets>
    <sheet name="mag_completo" sheetId="1" r:id="rId1"/>
    <sheet name="dimens_mag_MP" sheetId="2" r:id="rId2"/>
    <sheet name="dimens_mag_buffer" sheetId="6" r:id="rId3"/>
    <sheet name="dimensionamento magazzino PF" sheetId="12" r:id="rId4"/>
    <sheet name="dimensione_magazzinoPF" sheetId="5" state="hidden" r:id="rId5"/>
    <sheet name="carr_elev" sheetId="4" r:id="rId6"/>
    <sheet name="tab_consegne" sheetId="3" r:id="rId7"/>
    <sheet name="Picking" sheetId="10" r:id="rId8"/>
    <sheet name="Trasporti interni" sheetId="13" r:id="rId9"/>
    <sheet name="Value stream MAP" sheetId="19" r:id="rId10"/>
    <sheet name="# carrelli + dipendenti" sheetId="14" r:id="rId11"/>
    <sheet name="Stazione di ricarica" sheetId="15" state="hidden" r:id="rId12"/>
    <sheet name="parcheggi-area camion" sheetId="17" state="hidden" r:id="rId13"/>
    <sheet name="Altro" sheetId="16" r:id="rId14"/>
    <sheet name="aria compressa sald" sheetId="18" r:id="rId15"/>
    <sheet name="Aria compressa Ass" sheetId="20" r:id="rId16"/>
    <sheet name="Ottimizzazioni" sheetId="21" r:id="rId17"/>
    <sheet name="Niosh" sheetId="22" r:id="rId18"/>
  </sheets>
  <externalReferences>
    <externalReference r:id="rId19"/>
    <externalReference r:id="rId20"/>
    <externalReference r:id="rId21"/>
    <externalReference r:id="rId22"/>
    <externalReference r:id="rId2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" i="16" l="1"/>
  <c r="O11" i="16"/>
  <c r="Q11" i="16"/>
  <c r="Q12" i="16"/>
  <c r="Q13" i="16"/>
  <c r="O14" i="16"/>
  <c r="Q14" i="16"/>
  <c r="Q16" i="16"/>
  <c r="Q17" i="16"/>
  <c r="O18" i="16"/>
  <c r="Q18" i="16"/>
  <c r="O19" i="16"/>
  <c r="Q19" i="16"/>
  <c r="Q20" i="16"/>
  <c r="Q21" i="16"/>
  <c r="Q22" i="16"/>
  <c r="Q23" i="16"/>
  <c r="Q24" i="16"/>
  <c r="M53" i="18"/>
  <c r="E36" i="18"/>
  <c r="E35" i="18"/>
  <c r="E8" i="14"/>
  <c r="I5" i="22"/>
  <c r="D14" i="22"/>
  <c r="P110" i="6"/>
  <c r="B77" i="12"/>
  <c r="B57" i="12"/>
  <c r="M13" i="20"/>
  <c r="L64" i="20"/>
  <c r="L65" i="20"/>
  <c r="M65" i="20"/>
  <c r="L66" i="20"/>
  <c r="L67" i="20"/>
  <c r="M67" i="20"/>
  <c r="L68" i="20"/>
  <c r="M68" i="20"/>
  <c r="L69" i="20"/>
  <c r="M63" i="20"/>
  <c r="M64" i="20"/>
  <c r="M66" i="20"/>
  <c r="M69" i="20"/>
  <c r="M62" i="20"/>
  <c r="D62" i="20"/>
  <c r="D35" i="20"/>
  <c r="U65" i="19"/>
  <c r="G65" i="19"/>
  <c r="U31" i="19"/>
  <c r="AR92" i="21"/>
  <c r="AR91" i="21"/>
  <c r="AQ91" i="21"/>
  <c r="AD91" i="21"/>
  <c r="AB91" i="21"/>
  <c r="AD95" i="21"/>
  <c r="AD96" i="21"/>
  <c r="AU97" i="21"/>
  <c r="AD97" i="21"/>
  <c r="AW92" i="21"/>
  <c r="AQ92" i="21"/>
  <c r="AW91" i="21"/>
  <c r="AA92" i="21"/>
  <c r="AD92" i="21"/>
  <c r="AA91" i="21"/>
  <c r="AE105" i="21"/>
  <c r="AE106" i="21"/>
  <c r="Z92" i="21"/>
  <c r="AB92" i="21"/>
  <c r="Z91" i="21"/>
  <c r="AF92" i="21"/>
  <c r="AF91" i="21"/>
  <c r="O54" i="21"/>
  <c r="M55" i="21"/>
  <c r="M54" i="21"/>
  <c r="I52" i="21"/>
  <c r="I51" i="21"/>
  <c r="AM47" i="21"/>
  <c r="AM48" i="21"/>
  <c r="AM49" i="21"/>
  <c r="AM46" i="21"/>
  <c r="AF46" i="21"/>
  <c r="AK46" i="21"/>
  <c r="AL46" i="21"/>
  <c r="AN46" i="21"/>
  <c r="AO46" i="21"/>
  <c r="AK47" i="21"/>
  <c r="AE48" i="21"/>
  <c r="AK48" i="21"/>
  <c r="AL48" i="21"/>
  <c r="AK49" i="21"/>
  <c r="M55" i="18"/>
  <c r="M56" i="18"/>
  <c r="M57" i="18"/>
  <c r="N57" i="18"/>
  <c r="M52" i="18"/>
  <c r="N52" i="18"/>
  <c r="L55" i="18"/>
  <c r="L56" i="18"/>
  <c r="L57" i="18"/>
  <c r="L58" i="18"/>
  <c r="M58" i="18"/>
  <c r="M54" i="18"/>
  <c r="N54" i="18"/>
  <c r="K15" i="2"/>
  <c r="K14" i="2"/>
  <c r="G31" i="19"/>
  <c r="F63" i="20"/>
  <c r="F62" i="20"/>
  <c r="F66" i="20"/>
  <c r="F67" i="20"/>
  <c r="F68" i="20"/>
  <c r="F69" i="20"/>
  <c r="F65" i="20"/>
  <c r="F64" i="20"/>
  <c r="AB38" i="20"/>
  <c r="AB39" i="20"/>
  <c r="AB37" i="20"/>
  <c r="AA35" i="20"/>
  <c r="AB35" i="20"/>
  <c r="V15" i="20"/>
  <c r="W15" i="20"/>
  <c r="V16" i="20"/>
  <c r="W16" i="20"/>
  <c r="V17" i="20"/>
  <c r="W17" i="20"/>
  <c r="V18" i="20"/>
  <c r="W18" i="20"/>
  <c r="V13" i="20"/>
  <c r="W13" i="20"/>
  <c r="V14" i="20"/>
  <c r="W14" i="20"/>
  <c r="J47" i="22"/>
  <c r="J48" i="22"/>
  <c r="K48" i="22"/>
  <c r="L48" i="22"/>
  <c r="J49" i="22"/>
  <c r="J46" i="22"/>
  <c r="N37" i="20"/>
  <c r="N38" i="20"/>
  <c r="N39" i="20"/>
  <c r="N40" i="20"/>
  <c r="N41" i="20"/>
  <c r="N42" i="20"/>
  <c r="P39" i="22"/>
  <c r="J40" i="22"/>
  <c r="J41" i="22"/>
  <c r="J42" i="22"/>
  <c r="J39" i="22"/>
  <c r="L39" i="22"/>
  <c r="Z46" i="10"/>
  <c r="Z47" i="10"/>
  <c r="Z45" i="10"/>
  <c r="E24" i="22"/>
  <c r="F54" i="22"/>
  <c r="F55" i="22"/>
  <c r="F56" i="22"/>
  <c r="D53" i="18"/>
  <c r="E53" i="22"/>
  <c r="E54" i="22"/>
  <c r="E55" i="22"/>
  <c r="E56" i="22"/>
  <c r="O47" i="22"/>
  <c r="O48" i="22"/>
  <c r="O49" i="22"/>
  <c r="O46" i="22"/>
  <c r="G15" i="20"/>
  <c r="K15" i="20"/>
  <c r="L15" i="20"/>
  <c r="G16" i="20"/>
  <c r="K16" i="20"/>
  <c r="L16" i="20"/>
  <c r="G17" i="20"/>
  <c r="K17" i="20"/>
  <c r="L17" i="20"/>
  <c r="G18" i="20"/>
  <c r="K18" i="20"/>
  <c r="L18" i="20"/>
  <c r="G19" i="20"/>
  <c r="K19" i="20"/>
  <c r="L19" i="20"/>
  <c r="G20" i="20"/>
  <c r="K20" i="20"/>
  <c r="L20" i="20"/>
  <c r="G21" i="20"/>
  <c r="K21" i="20"/>
  <c r="L21" i="20"/>
  <c r="G22" i="20"/>
  <c r="K22" i="20"/>
  <c r="L22" i="20"/>
  <c r="G23" i="20"/>
  <c r="K23" i="20"/>
  <c r="L23" i="20"/>
  <c r="G24" i="20"/>
  <c r="K24" i="20"/>
  <c r="L24" i="20"/>
  <c r="L47" i="22"/>
  <c r="G13" i="20"/>
  <c r="K13" i="20"/>
  <c r="L13" i="20"/>
  <c r="G14" i="20"/>
  <c r="K14" i="20"/>
  <c r="L14" i="20"/>
  <c r="K47" i="22"/>
  <c r="K49" i="22"/>
  <c r="L49" i="22"/>
  <c r="G53" i="22"/>
  <c r="K46" i="22"/>
  <c r="L46" i="22"/>
  <c r="E15" i="20"/>
  <c r="E16" i="20"/>
  <c r="E17" i="20"/>
  <c r="E18" i="20"/>
  <c r="E19" i="20"/>
  <c r="E20" i="20"/>
  <c r="E21" i="20"/>
  <c r="E22" i="20"/>
  <c r="E23" i="20"/>
  <c r="E24" i="20"/>
  <c r="G47" i="22"/>
  <c r="G48" i="22"/>
  <c r="G49" i="22"/>
  <c r="E14" i="20"/>
  <c r="E13" i="20"/>
  <c r="G46" i="22"/>
  <c r="F49" i="22"/>
  <c r="F46" i="22"/>
  <c r="E47" i="22"/>
  <c r="E48" i="22"/>
  <c r="E49" i="22"/>
  <c r="E46" i="22"/>
  <c r="M36" i="20"/>
  <c r="N36" i="20"/>
  <c r="M35" i="20"/>
  <c r="N35" i="20"/>
  <c r="O35" i="20"/>
  <c r="E53" i="18"/>
  <c r="E52" i="18"/>
  <c r="U35" i="20"/>
  <c r="L40" i="22"/>
  <c r="L41" i="22"/>
  <c r="L42" i="22"/>
  <c r="J35" i="18"/>
  <c r="K35" i="18"/>
  <c r="J36" i="18"/>
  <c r="K36" i="18"/>
  <c r="K39" i="22"/>
  <c r="U36" i="20"/>
  <c r="F42" i="22"/>
  <c r="F41" i="22"/>
  <c r="F40" i="22"/>
  <c r="F39" i="22"/>
  <c r="T43" i="22"/>
  <c r="D25" i="22"/>
  <c r="D26" i="22"/>
  <c r="D27" i="22"/>
  <c r="D24" i="22"/>
  <c r="N14" i="22"/>
  <c r="J5" i="22"/>
  <c r="M5" i="22"/>
  <c r="L14" i="22"/>
  <c r="M14" i="22"/>
  <c r="J14" i="22"/>
  <c r="K14" i="22"/>
  <c r="I14" i="22"/>
  <c r="E16" i="22"/>
  <c r="E17" i="22"/>
  <c r="J17" i="22"/>
  <c r="K17" i="22"/>
  <c r="E18" i="22"/>
  <c r="E19" i="22"/>
  <c r="E14" i="22"/>
  <c r="AC42" i="10"/>
  <c r="D16" i="22"/>
  <c r="D17" i="22"/>
  <c r="D18" i="22"/>
  <c r="D19" i="22"/>
  <c r="AC41" i="10"/>
  <c r="AC40" i="10"/>
  <c r="I16" i="22"/>
  <c r="I17" i="22"/>
  <c r="I18" i="22"/>
  <c r="I19" i="22"/>
  <c r="AD40" i="10"/>
  <c r="N9" i="4"/>
  <c r="K76" i="19"/>
  <c r="L76" i="19"/>
  <c r="M76" i="19"/>
  <c r="J76" i="19"/>
  <c r="K74" i="19"/>
  <c r="L74" i="19"/>
  <c r="M74" i="19"/>
  <c r="J74" i="19"/>
  <c r="N75" i="19"/>
  <c r="N73" i="19"/>
  <c r="Z73" i="21"/>
  <c r="Z72" i="21"/>
  <c r="Z71" i="21"/>
  <c r="Z70" i="21"/>
  <c r="I58" i="21"/>
  <c r="R58" i="21"/>
  <c r="I61" i="21"/>
  <c r="I60" i="21"/>
  <c r="R60" i="21"/>
  <c r="S60" i="21"/>
  <c r="I59" i="21"/>
  <c r="J59" i="21"/>
  <c r="K59" i="21"/>
  <c r="J73" i="21"/>
  <c r="M73" i="21"/>
  <c r="J72" i="21"/>
  <c r="I73" i="21"/>
  <c r="I72" i="21"/>
  <c r="I71" i="21"/>
  <c r="I70" i="21"/>
  <c r="O10" i="21"/>
  <c r="O9" i="21"/>
  <c r="O12" i="21"/>
  <c r="P12" i="21"/>
  <c r="D12" i="21"/>
  <c r="L12" i="21" s="1"/>
  <c r="J71" i="21" s="1"/>
  <c r="N12" i="21"/>
  <c r="C12" i="21"/>
  <c r="C29" i="21" s="1"/>
  <c r="O11" i="21"/>
  <c r="P11" i="21"/>
  <c r="D11" i="21"/>
  <c r="M11" i="21" s="1"/>
  <c r="Q11" i="21" s="1"/>
  <c r="R11" i="21" s="1"/>
  <c r="S11" i="21" s="1"/>
  <c r="N11" i="21"/>
  <c r="C11" i="21"/>
  <c r="C28" i="21"/>
  <c r="I7" i="22"/>
  <c r="I8" i="22"/>
  <c r="I9" i="22"/>
  <c r="I10" i="22"/>
  <c r="Q15" i="22"/>
  <c r="Q14" i="22"/>
  <c r="R10" i="22"/>
  <c r="R9" i="22"/>
  <c r="R8" i="22"/>
  <c r="K7" i="22"/>
  <c r="K8" i="22"/>
  <c r="K9" i="22"/>
  <c r="K10" i="22"/>
  <c r="K5" i="22"/>
  <c r="E7" i="22"/>
  <c r="E8" i="22"/>
  <c r="E9" i="22"/>
  <c r="E10" i="22"/>
  <c r="E5" i="22"/>
  <c r="AD76" i="21"/>
  <c r="AF73" i="21"/>
  <c r="AF72" i="21"/>
  <c r="AF71" i="21"/>
  <c r="AF70" i="21"/>
  <c r="M76" i="21"/>
  <c r="O73" i="21"/>
  <c r="O72" i="21"/>
  <c r="O71" i="21"/>
  <c r="O70" i="21"/>
  <c r="O75" i="21"/>
  <c r="R45" i="21"/>
  <c r="S45" i="21"/>
  <c r="R44" i="21"/>
  <c r="S44" i="21"/>
  <c r="R61" i="21"/>
  <c r="S61" i="21"/>
  <c r="M48" i="21"/>
  <c r="R52" i="21"/>
  <c r="S52" i="21"/>
  <c r="J51" i="21"/>
  <c r="K51" i="21"/>
  <c r="I45" i="21"/>
  <c r="J45" i="21"/>
  <c r="K45" i="21"/>
  <c r="I44" i="21"/>
  <c r="J44" i="21"/>
  <c r="M64" i="21"/>
  <c r="O51" i="21"/>
  <c r="O58" i="21"/>
  <c r="O59" i="21"/>
  <c r="O45" i="21"/>
  <c r="O52" i="21"/>
  <c r="O60" i="21"/>
  <c r="O61" i="21"/>
  <c r="O44" i="21"/>
  <c r="J61" i="21"/>
  <c r="K61" i="21"/>
  <c r="R28" i="21"/>
  <c r="U20" i="21"/>
  <c r="U19" i="21"/>
  <c r="U18" i="21"/>
  <c r="R18" i="21"/>
  <c r="N18" i="21"/>
  <c r="O14" i="21"/>
  <c r="P14" i="21"/>
  <c r="R14" i="21"/>
  <c r="S14" i="21"/>
  <c r="T14" i="21"/>
  <c r="U14" i="21"/>
  <c r="L31" i="21"/>
  <c r="O13" i="21"/>
  <c r="P13" i="21"/>
  <c r="R13" i="21"/>
  <c r="S13" i="21"/>
  <c r="T13" i="21"/>
  <c r="U13" i="21"/>
  <c r="L30" i="21"/>
  <c r="Q8" i="21"/>
  <c r="R8" i="21" s="1"/>
  <c r="O8" i="21"/>
  <c r="P8" i="21"/>
  <c r="D8" i="21"/>
  <c r="L8" i="21" s="1"/>
  <c r="AH48" i="21" s="1"/>
  <c r="N8" i="21"/>
  <c r="C8" i="21"/>
  <c r="Y48" i="21" s="1"/>
  <c r="C19" i="21"/>
  <c r="Q7" i="21"/>
  <c r="R7" i="21" s="1"/>
  <c r="O7" i="21"/>
  <c r="D7" i="21"/>
  <c r="D18" i="21"/>
  <c r="I18" i="21"/>
  <c r="K18" i="21" s="1"/>
  <c r="C7" i="21"/>
  <c r="C18" i="21" s="1"/>
  <c r="D3" i="21"/>
  <c r="D2" i="21"/>
  <c r="D1" i="21" s="1"/>
  <c r="G1" i="21"/>
  <c r="M21" i="20"/>
  <c r="N21" i="20"/>
  <c r="M23" i="20"/>
  <c r="N23" i="20"/>
  <c r="AF96" i="21"/>
  <c r="AS92" i="21"/>
  <c r="AU91" i="21"/>
  <c r="AX91" i="21"/>
  <c r="AW96" i="21"/>
  <c r="AU92" i="21"/>
  <c r="AX92" i="21"/>
  <c r="AV105" i="21"/>
  <c r="AV106" i="21"/>
  <c r="AV104" i="21"/>
  <c r="AG92" i="21"/>
  <c r="AG91" i="21"/>
  <c r="AE101" i="21"/>
  <c r="AE104" i="21"/>
  <c r="AN48" i="21"/>
  <c r="AO48" i="21"/>
  <c r="AF75" i="21"/>
  <c r="J60" i="21"/>
  <c r="K60" i="21"/>
  <c r="J52" i="21"/>
  <c r="K52" i="21"/>
  <c r="O47" i="21"/>
  <c r="AL47" i="21"/>
  <c r="AN47" i="21"/>
  <c r="AO47" i="21"/>
  <c r="AP47" i="21"/>
  <c r="AQ47" i="21"/>
  <c r="Z48" i="21"/>
  <c r="Y46" i="21"/>
  <c r="R51" i="21"/>
  <c r="S51" i="21"/>
  <c r="P9" i="21"/>
  <c r="R9" i="21"/>
  <c r="S9" i="21"/>
  <c r="T9" i="21"/>
  <c r="U9" i="21"/>
  <c r="V9" i="21"/>
  <c r="M21" i="21"/>
  <c r="O21" i="21" s="1"/>
  <c r="Z46" i="21"/>
  <c r="J58" i="21"/>
  <c r="M58" i="21"/>
  <c r="P58" i="21"/>
  <c r="AL49" i="21"/>
  <c r="AN49" i="21"/>
  <c r="AO49" i="21"/>
  <c r="AP49" i="21"/>
  <c r="AQ49" i="21"/>
  <c r="N53" i="18"/>
  <c r="N56" i="18"/>
  <c r="N58" i="18"/>
  <c r="N55" i="18"/>
  <c r="M47" i="22"/>
  <c r="N47" i="22"/>
  <c r="M48" i="22"/>
  <c r="N48" i="22"/>
  <c r="M49" i="22"/>
  <c r="N49" i="22"/>
  <c r="M46" i="22"/>
  <c r="N46" i="22"/>
  <c r="N19" i="22"/>
  <c r="N18" i="22"/>
  <c r="E27" i="22"/>
  <c r="N17" i="22"/>
  <c r="E26" i="22"/>
  <c r="N16" i="22"/>
  <c r="E25" i="22"/>
  <c r="F23" i="22"/>
  <c r="D23" i="22"/>
  <c r="J19" i="22"/>
  <c r="K19" i="22"/>
  <c r="J18" i="22"/>
  <c r="K18" i="22"/>
  <c r="P10" i="21"/>
  <c r="R10" i="21"/>
  <c r="S10" i="21"/>
  <c r="T10" i="21"/>
  <c r="U10" i="21"/>
  <c r="V10" i="21" s="1"/>
  <c r="M22" i="21" s="1"/>
  <c r="J12" i="21"/>
  <c r="K12" i="21"/>
  <c r="I11" i="21"/>
  <c r="K11" i="21" s="1"/>
  <c r="L11" i="21"/>
  <c r="J70" i="21" s="1"/>
  <c r="D28" i="21"/>
  <c r="I28" i="21" s="1"/>
  <c r="K28" i="21" s="1"/>
  <c r="D29" i="21"/>
  <c r="J29" i="21" s="1"/>
  <c r="K29" i="21" s="1"/>
  <c r="M12" i="21"/>
  <c r="Q12" i="21" s="1"/>
  <c r="R12" i="21" s="1"/>
  <c r="S12" i="21" s="1"/>
  <c r="T12" i="21" s="1"/>
  <c r="J16" i="22"/>
  <c r="K16" i="22"/>
  <c r="P73" i="21"/>
  <c r="K73" i="21"/>
  <c r="M72" i="21"/>
  <c r="P72" i="21"/>
  <c r="L7" i="21"/>
  <c r="AH46" i="21" s="1"/>
  <c r="D19" i="21"/>
  <c r="J19" i="21"/>
  <c r="K19" i="21" s="1"/>
  <c r="S58" i="21"/>
  <c r="R59" i="21"/>
  <c r="S59" i="21"/>
  <c r="O63" i="21"/>
  <c r="M59" i="21"/>
  <c r="P59" i="21"/>
  <c r="K44" i="21"/>
  <c r="M44" i="21"/>
  <c r="M51" i="21"/>
  <c r="M61" i="21"/>
  <c r="P61" i="21"/>
  <c r="M60" i="21"/>
  <c r="P60" i="21"/>
  <c r="M52" i="21"/>
  <c r="P52" i="21"/>
  <c r="M45" i="21"/>
  <c r="P45" i="21"/>
  <c r="N7" i="21"/>
  <c r="J8" i="21"/>
  <c r="AF48" i="21" s="1"/>
  <c r="P7" i="21"/>
  <c r="R20" i="21"/>
  <c r="I7" i="21"/>
  <c r="AE46" i="21" s="1"/>
  <c r="AG96" i="21"/>
  <c r="AE99" i="21"/>
  <c r="AE100" i="21"/>
  <c r="AE102" i="21"/>
  <c r="AS91" i="21"/>
  <c r="AV101" i="21"/>
  <c r="AX96" i="21"/>
  <c r="AV99" i="21"/>
  <c r="AV100" i="21"/>
  <c r="AV102" i="21"/>
  <c r="AU95" i="21"/>
  <c r="AU96" i="21"/>
  <c r="K58" i="21"/>
  <c r="M53" i="21"/>
  <c r="T51" i="21"/>
  <c r="U51" i="21"/>
  <c r="K7" i="21"/>
  <c r="AG46" i="21" s="1"/>
  <c r="T58" i="21"/>
  <c r="U59" i="21"/>
  <c r="N20" i="22"/>
  <c r="K72" i="21"/>
  <c r="P44" i="21"/>
  <c r="P47" i="21"/>
  <c r="M46" i="21"/>
  <c r="M47" i="21"/>
  <c r="T44" i="21"/>
  <c r="P51" i="21"/>
  <c r="P54" i="21"/>
  <c r="P63" i="21"/>
  <c r="M62" i="21"/>
  <c r="M63" i="21"/>
  <c r="U52" i="21"/>
  <c r="L17" i="22"/>
  <c r="M17" i="22"/>
  <c r="L19" i="22"/>
  <c r="M19" i="22"/>
  <c r="L18" i="22"/>
  <c r="M18" i="22"/>
  <c r="L16" i="22"/>
  <c r="M16" i="22"/>
  <c r="U45" i="21"/>
  <c r="U44" i="21"/>
  <c r="U60" i="21"/>
  <c r="AA72" i="21"/>
  <c r="U61" i="21"/>
  <c r="AA73" i="21"/>
  <c r="U58" i="21"/>
  <c r="AA70" i="21"/>
  <c r="AA71" i="21"/>
  <c r="AD71" i="21"/>
  <c r="AG71" i="21"/>
  <c r="AB71" i="21"/>
  <c r="AD73" i="21"/>
  <c r="AG73" i="21"/>
  <c r="AB73" i="21"/>
  <c r="AE84" i="21"/>
  <c r="AE85" i="21"/>
  <c r="AD70" i="21"/>
  <c r="AB70" i="21"/>
  <c r="AE83" i="21"/>
  <c r="AB72" i="21"/>
  <c r="AD72" i="21"/>
  <c r="AG72" i="21"/>
  <c r="AD74" i="21"/>
  <c r="AD75" i="21"/>
  <c r="AG70" i="21"/>
  <c r="AG75" i="21"/>
  <c r="AE78" i="21"/>
  <c r="AE79" i="21"/>
  <c r="AE80" i="21"/>
  <c r="AE81" i="21"/>
  <c r="S57" i="19"/>
  <c r="Y58" i="19"/>
  <c r="Y24" i="19"/>
  <c r="S23" i="19"/>
  <c r="Q65" i="19"/>
  <c r="V62" i="19"/>
  <c r="R62" i="19"/>
  <c r="C65" i="19"/>
  <c r="H62" i="19"/>
  <c r="D62" i="19"/>
  <c r="Q31" i="19"/>
  <c r="V28" i="19"/>
  <c r="R28" i="19"/>
  <c r="Y30" i="1"/>
  <c r="Y31" i="1"/>
  <c r="Y25" i="1"/>
  <c r="Y26" i="1"/>
  <c r="W62" i="20"/>
  <c r="X62" i="20"/>
  <c r="Y62" i="20"/>
  <c r="Z62" i="20"/>
  <c r="AA62" i="20"/>
  <c r="W63" i="20"/>
  <c r="X63" i="20"/>
  <c r="Y63" i="20"/>
  <c r="Z63" i="20"/>
  <c r="AA63" i="20"/>
  <c r="W64" i="20"/>
  <c r="X64" i="20"/>
  <c r="AC64" i="20"/>
  <c r="Y64" i="20"/>
  <c r="Z64" i="20"/>
  <c r="W65" i="20"/>
  <c r="X65" i="20"/>
  <c r="AC65" i="20"/>
  <c r="Y65" i="20"/>
  <c r="Z65" i="20"/>
  <c r="W66" i="20"/>
  <c r="X66" i="20"/>
  <c r="AC66" i="20"/>
  <c r="Y66" i="20"/>
  <c r="Z66" i="20"/>
  <c r="V58" i="20"/>
  <c r="D58" i="20"/>
  <c r="L62" i="20"/>
  <c r="G63" i="20"/>
  <c r="L63" i="20"/>
  <c r="K64" i="20"/>
  <c r="K65" i="20"/>
  <c r="K66" i="20"/>
  <c r="K67" i="20"/>
  <c r="K68" i="20"/>
  <c r="K69" i="20"/>
  <c r="E58" i="18"/>
  <c r="F58" i="18"/>
  <c r="E57" i="18"/>
  <c r="F57" i="18"/>
  <c r="E56" i="18"/>
  <c r="F56" i="18"/>
  <c r="E55" i="18"/>
  <c r="F55" i="18"/>
  <c r="E54" i="18"/>
  <c r="F54" i="18"/>
  <c r="F53" i="18"/>
  <c r="F52" i="18"/>
  <c r="J38" i="18"/>
  <c r="K38" i="18"/>
  <c r="L38" i="18"/>
  <c r="J39" i="18"/>
  <c r="K39" i="18"/>
  <c r="L39" i="18"/>
  <c r="J40" i="18"/>
  <c r="K40" i="18"/>
  <c r="L40" i="18"/>
  <c r="J41" i="18"/>
  <c r="K41" i="18"/>
  <c r="L41" i="18"/>
  <c r="J37" i="18"/>
  <c r="K37" i="18"/>
  <c r="L36" i="18"/>
  <c r="L35" i="18"/>
  <c r="U32" i="20"/>
  <c r="AC35" i="20"/>
  <c r="AB36" i="20"/>
  <c r="AC36" i="20"/>
  <c r="AC37" i="20"/>
  <c r="AC38" i="20"/>
  <c r="AC39" i="20"/>
  <c r="D14" i="20"/>
  <c r="D15" i="20"/>
  <c r="D16" i="20"/>
  <c r="D17" i="20"/>
  <c r="D18" i="20"/>
  <c r="D19" i="20"/>
  <c r="D20" i="20"/>
  <c r="D13" i="20"/>
  <c r="Y19" i="20"/>
  <c r="Q13" i="20"/>
  <c r="T14" i="20"/>
  <c r="X14" i="20"/>
  <c r="Q15" i="20"/>
  <c r="T16" i="20"/>
  <c r="X16" i="20"/>
  <c r="Q17" i="20"/>
  <c r="T18" i="20"/>
  <c r="X18" i="20"/>
  <c r="C31" i="19"/>
  <c r="D48" i="18"/>
  <c r="L6" i="20"/>
  <c r="L5" i="20"/>
  <c r="G6" i="20"/>
  <c r="K6" i="20"/>
  <c r="G5" i="20"/>
  <c r="D32" i="20"/>
  <c r="O36" i="20"/>
  <c r="O37" i="20"/>
  <c r="O38" i="20"/>
  <c r="O39" i="20"/>
  <c r="O40" i="20"/>
  <c r="O41" i="20"/>
  <c r="O42" i="20"/>
  <c r="B13" i="20"/>
  <c r="B15" i="20"/>
  <c r="B17" i="20"/>
  <c r="B19" i="20"/>
  <c r="B21" i="20"/>
  <c r="B23" i="20"/>
  <c r="M27" i="20"/>
  <c r="K5" i="20"/>
  <c r="U24" i="2"/>
  <c r="U49" i="2"/>
  <c r="C28" i="16"/>
  <c r="C21" i="16"/>
  <c r="C14" i="16"/>
  <c r="D32" i="18"/>
  <c r="J23" i="18"/>
  <c r="H16" i="18"/>
  <c r="H18" i="18"/>
  <c r="H20" i="18"/>
  <c r="H22" i="18"/>
  <c r="H14" i="18"/>
  <c r="G16" i="18"/>
  <c r="G18" i="18"/>
  <c r="G20" i="18"/>
  <c r="G22" i="18"/>
  <c r="G14" i="18"/>
  <c r="D17" i="18"/>
  <c r="D18" i="18"/>
  <c r="D19" i="18"/>
  <c r="D20" i="18"/>
  <c r="D21" i="18"/>
  <c r="D22" i="18"/>
  <c r="B21" i="18"/>
  <c r="B19" i="18"/>
  <c r="B17" i="18"/>
  <c r="B15" i="18"/>
  <c r="B13" i="18"/>
  <c r="D16" i="18"/>
  <c r="D15" i="18"/>
  <c r="D14" i="18"/>
  <c r="D13" i="18"/>
  <c r="AF40" i="10"/>
  <c r="F6" i="18"/>
  <c r="F5" i="18"/>
  <c r="E13" i="18"/>
  <c r="AB42" i="10"/>
  <c r="AB41" i="10"/>
  <c r="AB40" i="10"/>
  <c r="AA41" i="10"/>
  <c r="AA42" i="10"/>
  <c r="AA40" i="10"/>
  <c r="W41" i="10"/>
  <c r="Z41" i="10"/>
  <c r="W42" i="10"/>
  <c r="Z42" i="10"/>
  <c r="W40" i="10"/>
  <c r="Z40" i="10"/>
  <c r="Y42" i="10"/>
  <c r="Y41" i="10"/>
  <c r="Y40" i="10"/>
  <c r="U41" i="10"/>
  <c r="U42" i="10"/>
  <c r="U40" i="10"/>
  <c r="G5" i="18"/>
  <c r="H5" i="18"/>
  <c r="G6" i="18"/>
  <c r="H6" i="18"/>
  <c r="U39" i="10"/>
  <c r="AG67" i="10"/>
  <c r="R43" i="10"/>
  <c r="R42" i="10"/>
  <c r="R41" i="10"/>
  <c r="R40" i="10"/>
  <c r="I6" i="18"/>
  <c r="I5" i="18"/>
  <c r="O24" i="10"/>
  <c r="D24" i="10"/>
  <c r="O11" i="10"/>
  <c r="D11" i="10"/>
  <c r="I21" i="17"/>
  <c r="C21" i="17"/>
  <c r="I4" i="17"/>
  <c r="I3" i="17"/>
  <c r="P112" i="6"/>
  <c r="M114" i="6"/>
  <c r="M113" i="6"/>
  <c r="M112" i="6"/>
  <c r="M111" i="6"/>
  <c r="M110" i="6"/>
  <c r="U29" i="2"/>
  <c r="AA29" i="2"/>
  <c r="Z29" i="2"/>
  <c r="V29" i="2"/>
  <c r="E28" i="13"/>
  <c r="D26" i="13"/>
  <c r="G22" i="13"/>
  <c r="E22" i="13"/>
  <c r="G32" i="13"/>
  <c r="H33" i="13"/>
  <c r="J65" i="10"/>
  <c r="J66" i="10"/>
  <c r="K66" i="10"/>
  <c r="K65" i="10"/>
  <c r="M63" i="10"/>
  <c r="K63" i="10"/>
  <c r="Q14" i="15"/>
  <c r="Q6" i="15"/>
  <c r="Q15" i="15"/>
  <c r="Q7" i="15"/>
  <c r="Q16" i="15"/>
  <c r="Q8" i="15"/>
  <c r="U8" i="15"/>
  <c r="M15" i="15"/>
  <c r="M14" i="15"/>
  <c r="E14" i="15"/>
  <c r="E15" i="15"/>
  <c r="M16" i="15"/>
  <c r="I15" i="15"/>
  <c r="I14" i="15"/>
  <c r="I16" i="15"/>
  <c r="E16" i="15"/>
  <c r="Y8" i="15"/>
  <c r="M7" i="15"/>
  <c r="M6" i="15"/>
  <c r="C12" i="14"/>
  <c r="M8" i="15"/>
  <c r="E6" i="15"/>
  <c r="E7" i="15"/>
  <c r="I7" i="15"/>
  <c r="I6" i="15"/>
  <c r="I8" i="15"/>
  <c r="E3" i="14"/>
  <c r="K2" i="13"/>
  <c r="M49" i="13"/>
  <c r="R41" i="13"/>
  <c r="P30" i="13"/>
  <c r="P32" i="13"/>
  <c r="O28" i="13"/>
  <c r="O32" i="13"/>
  <c r="N26" i="13"/>
  <c r="R26" i="13"/>
  <c r="O22" i="13"/>
  <c r="C49" i="13"/>
  <c r="H41" i="13"/>
  <c r="F32" i="13"/>
  <c r="E32" i="13"/>
  <c r="D32" i="13"/>
  <c r="C32" i="13"/>
  <c r="H30" i="13"/>
  <c r="H28" i="13"/>
  <c r="H26" i="13"/>
  <c r="H24" i="13"/>
  <c r="B43" i="12"/>
  <c r="C43" i="12"/>
  <c r="M43" i="12"/>
  <c r="C10" i="12"/>
  <c r="F43" i="12"/>
  <c r="H10" i="12"/>
  <c r="H11" i="12"/>
  <c r="C13" i="12"/>
  <c r="K11" i="12"/>
  <c r="M32" i="13"/>
  <c r="R24" i="13"/>
  <c r="C15" i="13"/>
  <c r="H7" i="13"/>
  <c r="S88" i="6"/>
  <c r="K43" i="12"/>
  <c r="G43" i="12"/>
  <c r="R30" i="13"/>
  <c r="R28" i="13"/>
  <c r="S89" i="6"/>
  <c r="M87" i="6"/>
  <c r="M90" i="6"/>
  <c r="M86" i="6"/>
  <c r="P88" i="6"/>
  <c r="Y76" i="5"/>
  <c r="B56" i="12"/>
  <c r="B60" i="12"/>
  <c r="B95" i="12"/>
  <c r="B94" i="12"/>
  <c r="B93" i="12"/>
  <c r="B92" i="12"/>
  <c r="B90" i="12"/>
  <c r="B89" i="12"/>
  <c r="B59" i="12"/>
  <c r="T29" i="1"/>
  <c r="V29" i="1" s="1"/>
  <c r="T28" i="1"/>
  <c r="V28" i="1" s="1"/>
  <c r="AI59" i="10"/>
  <c r="AK59" i="10"/>
  <c r="AI54" i="10"/>
  <c r="AK54" i="10"/>
  <c r="AI53" i="10"/>
  <c r="AK53" i="10"/>
  <c r="AK55" i="10"/>
  <c r="AK56" i="10"/>
  <c r="AK57" i="10"/>
  <c r="AK58" i="10"/>
  <c r="AE54" i="10"/>
  <c r="AG54" i="10"/>
  <c r="AA54" i="10"/>
  <c r="AC54" i="10"/>
  <c r="Y54" i="10"/>
  <c r="W54" i="10"/>
  <c r="S54" i="10"/>
  <c r="U54" i="10"/>
  <c r="O54" i="10"/>
  <c r="Q54" i="10"/>
  <c r="K54" i="10"/>
  <c r="M54" i="10"/>
  <c r="K53" i="10"/>
  <c r="M53" i="10"/>
  <c r="O53" i="10"/>
  <c r="Q53" i="10"/>
  <c r="S53" i="10"/>
  <c r="U53" i="10"/>
  <c r="W53" i="10"/>
  <c r="Y53" i="10"/>
  <c r="AA53" i="10"/>
  <c r="AC53" i="10"/>
  <c r="AE53" i="10"/>
  <c r="AG53" i="10"/>
  <c r="I54" i="10"/>
  <c r="I55" i="10"/>
  <c r="K55" i="10"/>
  <c r="M55" i="10"/>
  <c r="O55" i="10"/>
  <c r="Q55" i="10"/>
  <c r="S55" i="10"/>
  <c r="U55" i="10"/>
  <c r="W55" i="10"/>
  <c r="Y55" i="10"/>
  <c r="AA55" i="10"/>
  <c r="AC55" i="10"/>
  <c r="AE55" i="10"/>
  <c r="AG55" i="10"/>
  <c r="I56" i="10"/>
  <c r="K56" i="10"/>
  <c r="M56" i="10"/>
  <c r="O56" i="10"/>
  <c r="Q56" i="10"/>
  <c r="S56" i="10"/>
  <c r="U56" i="10"/>
  <c r="W56" i="10"/>
  <c r="Y56" i="10"/>
  <c r="AA56" i="10"/>
  <c r="AC56" i="10"/>
  <c r="AE56" i="10"/>
  <c r="AG56" i="10"/>
  <c r="I57" i="10"/>
  <c r="K57" i="10"/>
  <c r="M57" i="10"/>
  <c r="O57" i="10"/>
  <c r="Q57" i="10"/>
  <c r="S57" i="10"/>
  <c r="U57" i="10"/>
  <c r="W57" i="10"/>
  <c r="Y57" i="10"/>
  <c r="AA57" i="10"/>
  <c r="AC57" i="10"/>
  <c r="AE57" i="10"/>
  <c r="AG57" i="10"/>
  <c r="I58" i="10"/>
  <c r="K58" i="10"/>
  <c r="M58" i="10"/>
  <c r="O58" i="10"/>
  <c r="Q58" i="10"/>
  <c r="S58" i="10"/>
  <c r="U58" i="10"/>
  <c r="W58" i="10"/>
  <c r="Y58" i="10"/>
  <c r="AA58" i="10"/>
  <c r="AC58" i="10"/>
  <c r="AE58" i="10"/>
  <c r="AG58" i="10"/>
  <c r="K41" i="10"/>
  <c r="C55" i="10"/>
  <c r="E55" i="10"/>
  <c r="K42" i="10"/>
  <c r="C56" i="10"/>
  <c r="E56" i="10"/>
  <c r="K43" i="10"/>
  <c r="C57" i="10"/>
  <c r="E57" i="10"/>
  <c r="K44" i="10"/>
  <c r="C58" i="10"/>
  <c r="E58" i="10"/>
  <c r="K40" i="10"/>
  <c r="C54" i="10"/>
  <c r="E54" i="10"/>
  <c r="I44" i="10"/>
  <c r="E44" i="10"/>
  <c r="I43" i="10"/>
  <c r="E43" i="10"/>
  <c r="I41" i="10"/>
  <c r="E41" i="10"/>
  <c r="I45" i="10"/>
  <c r="K45" i="10"/>
  <c r="C59" i="10"/>
  <c r="E59" i="10"/>
  <c r="G59" i="10"/>
  <c r="I59" i="10"/>
  <c r="K59" i="10"/>
  <c r="M59" i="10"/>
  <c r="O59" i="10"/>
  <c r="Q59" i="10"/>
  <c r="S59" i="10"/>
  <c r="U59" i="10"/>
  <c r="W59" i="10"/>
  <c r="Y59" i="10"/>
  <c r="AA59" i="10"/>
  <c r="AC59" i="10"/>
  <c r="AE59" i="10"/>
  <c r="AG59" i="10"/>
  <c r="E45" i="10"/>
  <c r="I42" i="10"/>
  <c r="E42" i="10"/>
  <c r="I40" i="10"/>
  <c r="E40" i="10"/>
  <c r="I39" i="10"/>
  <c r="K39" i="10"/>
  <c r="C53" i="10"/>
  <c r="E53" i="10"/>
  <c r="G53" i="10"/>
  <c r="I53" i="10"/>
  <c r="E39" i="10"/>
  <c r="T31" i="10"/>
  <c r="V31" i="10"/>
  <c r="P31" i="10"/>
  <c r="T30" i="10"/>
  <c r="V30" i="10"/>
  <c r="P30" i="10"/>
  <c r="T29" i="10"/>
  <c r="V29" i="10"/>
  <c r="P29" i="10"/>
  <c r="T28" i="10"/>
  <c r="V28" i="10"/>
  <c r="P28" i="10"/>
  <c r="P16" i="10"/>
  <c r="P15" i="10"/>
  <c r="T18" i="10"/>
  <c r="V18" i="10"/>
  <c r="P18" i="10"/>
  <c r="T17" i="10"/>
  <c r="V17" i="10"/>
  <c r="P17" i="10"/>
  <c r="T16" i="10"/>
  <c r="V16" i="10"/>
  <c r="T15" i="10"/>
  <c r="V15" i="10"/>
  <c r="I31" i="10"/>
  <c r="K31" i="10"/>
  <c r="E31" i="10"/>
  <c r="I30" i="10"/>
  <c r="K30" i="10"/>
  <c r="E30" i="10"/>
  <c r="I29" i="10"/>
  <c r="K29" i="10"/>
  <c r="E29" i="10"/>
  <c r="I28" i="10"/>
  <c r="K28" i="10"/>
  <c r="E28" i="10"/>
  <c r="AC31" i="2"/>
  <c r="AA33" i="2"/>
  <c r="Z33" i="2"/>
  <c r="Z34" i="2"/>
  <c r="G7" i="10"/>
  <c r="E7" i="10"/>
  <c r="D7" i="10"/>
  <c r="M7" i="10"/>
  <c r="I16" i="10"/>
  <c r="K16" i="10"/>
  <c r="I17" i="10"/>
  <c r="K17" i="10"/>
  <c r="I18" i="10"/>
  <c r="K18" i="10"/>
  <c r="I15" i="10"/>
  <c r="K15" i="10"/>
  <c r="E16" i="10"/>
  <c r="E17" i="10"/>
  <c r="E18" i="10"/>
  <c r="E15" i="10"/>
  <c r="C51" i="5"/>
  <c r="Y77" i="5"/>
  <c r="B79" i="5"/>
  <c r="E14" i="2"/>
  <c r="C50" i="5"/>
  <c r="AI68" i="5"/>
  <c r="C10" i="5"/>
  <c r="H11" i="5"/>
  <c r="K24" i="1"/>
  <c r="K29" i="1" s="1"/>
  <c r="J23" i="1"/>
  <c r="J28" i="1" s="1"/>
  <c r="M15" i="1"/>
  <c r="M16" i="1"/>
  <c r="L16" i="1"/>
  <c r="L15" i="1"/>
  <c r="K15" i="1"/>
  <c r="K16" i="1"/>
  <c r="J16" i="1"/>
  <c r="J15" i="1"/>
  <c r="N15" i="1" s="1"/>
  <c r="B43" i="5"/>
  <c r="M43" i="5"/>
  <c r="K43" i="5"/>
  <c r="G43" i="5"/>
  <c r="F43" i="5"/>
  <c r="C43" i="5"/>
  <c r="L10" i="1"/>
  <c r="N10" i="1"/>
  <c r="R10" i="1"/>
  <c r="K19" i="1"/>
  <c r="K9" i="1"/>
  <c r="K7" i="1"/>
  <c r="J14" i="1"/>
  <c r="J6" i="1"/>
  <c r="J8" i="1"/>
  <c r="K14" i="1"/>
  <c r="K21" i="1"/>
  <c r="J21" i="1"/>
  <c r="N21" i="1" s="1"/>
  <c r="J17" i="1"/>
  <c r="Z67" i="5"/>
  <c r="B13" i="6"/>
  <c r="B12" i="6"/>
  <c r="P63" i="6"/>
  <c r="B11" i="6"/>
  <c r="P62" i="6"/>
  <c r="P65" i="6"/>
  <c r="K11" i="5"/>
  <c r="C13" i="5"/>
  <c r="H10" i="5"/>
  <c r="H49" i="5"/>
  <c r="H50" i="5"/>
  <c r="C52" i="5"/>
  <c r="Y73" i="5"/>
  <c r="Z68" i="5"/>
  <c r="Z69" i="5"/>
  <c r="Z70" i="5"/>
  <c r="J47" i="3"/>
  <c r="I47" i="3"/>
  <c r="H47" i="3"/>
  <c r="G47" i="3"/>
  <c r="F47" i="3"/>
  <c r="J46" i="3"/>
  <c r="I46" i="3"/>
  <c r="H46" i="3"/>
  <c r="G46" i="3"/>
  <c r="F46" i="3"/>
  <c r="G45" i="3"/>
  <c r="I45" i="3"/>
  <c r="J45" i="3"/>
  <c r="F45" i="3"/>
  <c r="H45" i="3"/>
  <c r="M11" i="1"/>
  <c r="N11" i="1"/>
  <c r="R11" i="1"/>
  <c r="Y72" i="5"/>
  <c r="H51" i="5"/>
  <c r="C54" i="5"/>
  <c r="H6" i="3"/>
  <c r="E6" i="3"/>
  <c r="Q23" i="2"/>
  <c r="R23" i="2"/>
  <c r="Q24" i="2"/>
  <c r="R24" i="2"/>
  <c r="Q25" i="2"/>
  <c r="R25" i="2"/>
  <c r="Q26" i="2"/>
  <c r="R26" i="2"/>
  <c r="Q27" i="2"/>
  <c r="R27" i="2"/>
  <c r="Q28" i="2"/>
  <c r="R28" i="2"/>
  <c r="Q22" i="2"/>
  <c r="R22" i="2"/>
  <c r="T31" i="1"/>
  <c r="V31" i="1"/>
  <c r="W31" i="1"/>
  <c r="X31" i="1"/>
  <c r="G51" i="6"/>
  <c r="H51" i="6"/>
  <c r="T30" i="1"/>
  <c r="V30" i="1"/>
  <c r="W30" i="1"/>
  <c r="X30" i="1"/>
  <c r="G50" i="6"/>
  <c r="H50" i="6"/>
  <c r="AD16" i="1"/>
  <c r="AE16" i="1"/>
  <c r="AD17" i="1"/>
  <c r="AE17" i="1"/>
  <c r="AD18" i="1"/>
  <c r="AE18" i="1"/>
  <c r="AD19" i="1"/>
  <c r="AE19" i="1"/>
  <c r="AD20" i="1"/>
  <c r="AE20" i="1"/>
  <c r="AD21" i="1"/>
  <c r="AE21" i="1"/>
  <c r="AD15" i="1"/>
  <c r="AE15" i="1"/>
  <c r="H41" i="3"/>
  <c r="G41" i="3"/>
  <c r="BL13" i="1"/>
  <c r="BL14" i="1"/>
  <c r="BL15" i="1"/>
  <c r="BL20" i="1"/>
  <c r="BL21" i="1"/>
  <c r="L6" i="4"/>
  <c r="K6" i="4"/>
  <c r="K33" i="4"/>
  <c r="BA7" i="1"/>
  <c r="BA10" i="1"/>
  <c r="BA11" i="1"/>
  <c r="BA12" i="1"/>
  <c r="BA19" i="1"/>
  <c r="E26" i="2"/>
  <c r="AJ29" i="1"/>
  <c r="AJ30" i="1"/>
  <c r="AJ31" i="1"/>
  <c r="AJ28" i="1"/>
  <c r="AK28" i="1"/>
  <c r="AJ24" i="1"/>
  <c r="AJ25" i="1"/>
  <c r="AJ26" i="1"/>
  <c r="AJ23" i="1"/>
  <c r="AK23" i="1"/>
  <c r="J6" i="4"/>
  <c r="E15" i="2"/>
  <c r="E9" i="2"/>
  <c r="G7" i="2"/>
  <c r="G12" i="2"/>
  <c r="E7" i="2"/>
  <c r="E12" i="2"/>
  <c r="D33" i="2"/>
  <c r="F7" i="2"/>
  <c r="F12" i="2"/>
  <c r="R33" i="2"/>
  <c r="G6" i="2"/>
  <c r="G11" i="2"/>
  <c r="F6" i="2"/>
  <c r="F11" i="2"/>
  <c r="E41" i="2"/>
  <c r="E6" i="2"/>
  <c r="E11" i="2"/>
  <c r="G5" i="2"/>
  <c r="G10" i="2"/>
  <c r="N6" i="2"/>
  <c r="U30" i="2"/>
  <c r="F5" i="2"/>
  <c r="E5" i="2"/>
  <c r="E10" i="2"/>
  <c r="G4" i="2"/>
  <c r="G9" i="2"/>
  <c r="F4" i="2"/>
  <c r="F9" i="2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AH22" i="1"/>
  <c r="AJ10" i="1"/>
  <c r="D4" i="3"/>
  <c r="E4" i="3"/>
  <c r="D3" i="3"/>
  <c r="E3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M26" i="1"/>
  <c r="N26" i="1"/>
  <c r="D35" i="3"/>
  <c r="M31" i="1"/>
  <c r="L25" i="1"/>
  <c r="N25" i="1"/>
  <c r="M21" i="1"/>
  <c r="L21" i="1"/>
  <c r="M20" i="1"/>
  <c r="N20" i="1"/>
  <c r="R20" i="1"/>
  <c r="L18" i="1"/>
  <c r="N18" i="1"/>
  <c r="M14" i="1"/>
  <c r="L14" i="1"/>
  <c r="M13" i="1"/>
  <c r="N13" i="1"/>
  <c r="R13" i="1"/>
  <c r="L12" i="1"/>
  <c r="N12" i="1"/>
  <c r="R12" i="1"/>
  <c r="L29" i="1"/>
  <c r="M29" i="1"/>
  <c r="J30" i="1"/>
  <c r="K30" i="1"/>
  <c r="M30" i="1"/>
  <c r="J31" i="1"/>
  <c r="K31" i="1"/>
  <c r="L31" i="1"/>
  <c r="L28" i="1"/>
  <c r="M28" i="1"/>
  <c r="T25" i="1"/>
  <c r="C34" i="3"/>
  <c r="F34" i="3"/>
  <c r="I34" i="3"/>
  <c r="K34" i="3"/>
  <c r="T26" i="1"/>
  <c r="U26" i="1"/>
  <c r="C71" i="3"/>
  <c r="D71" i="3"/>
  <c r="T24" i="1"/>
  <c r="C33" i="3"/>
  <c r="T23" i="1"/>
  <c r="H28" i="19" s="1"/>
  <c r="D29" i="1"/>
  <c r="O29" i="1" s="1"/>
  <c r="C29" i="1"/>
  <c r="D28" i="1"/>
  <c r="P28" i="1" s="1"/>
  <c r="AC9" i="1" s="1"/>
  <c r="C28" i="1"/>
  <c r="D24" i="1"/>
  <c r="P24" i="1" s="1"/>
  <c r="C24" i="1"/>
  <c r="D23" i="1"/>
  <c r="P23" i="1" s="1"/>
  <c r="AC8" i="1" s="1"/>
  <c r="C23" i="1"/>
  <c r="D21" i="1"/>
  <c r="Q21" i="1" s="1"/>
  <c r="O21" i="1"/>
  <c r="C21" i="1"/>
  <c r="BL9" i="1" s="1"/>
  <c r="D19" i="1"/>
  <c r="O19" i="1" s="1"/>
  <c r="C19" i="1"/>
  <c r="BL18" i="1" s="1"/>
  <c r="D17" i="1"/>
  <c r="O17" i="1" s="1"/>
  <c r="C17" i="1"/>
  <c r="BA13" i="1" s="1"/>
  <c r="D16" i="1"/>
  <c r="C16" i="1"/>
  <c r="BA21" i="1"/>
  <c r="D15" i="1"/>
  <c r="Q15" i="1" s="1"/>
  <c r="C15" i="1"/>
  <c r="BA20" i="1" s="1"/>
  <c r="D14" i="1"/>
  <c r="P14" i="1" s="1"/>
  <c r="AC6" i="1" s="1"/>
  <c r="C14" i="1"/>
  <c r="BA9" i="1" s="1"/>
  <c r="D9" i="1"/>
  <c r="J9" i="1" s="1"/>
  <c r="N9" i="1" s="1"/>
  <c r="C9" i="1"/>
  <c r="BA18" i="1" s="1"/>
  <c r="D8" i="1"/>
  <c r="K8" i="1" s="1"/>
  <c r="N8" i="1" s="1"/>
  <c r="C8" i="1"/>
  <c r="BL11" i="1" s="1"/>
  <c r="D7" i="1"/>
  <c r="Q7" i="1" s="1"/>
  <c r="C7" i="1"/>
  <c r="BA17" i="1" s="1"/>
  <c r="D6" i="1"/>
  <c r="O6" i="1" s="1"/>
  <c r="C6" i="1"/>
  <c r="BA14" i="1" s="1"/>
  <c r="G2" i="1"/>
  <c r="T20" i="1" s="1"/>
  <c r="N7" i="2"/>
  <c r="R34" i="2"/>
  <c r="R35" i="2"/>
  <c r="R36" i="2"/>
  <c r="R37" i="2"/>
  <c r="D34" i="2"/>
  <c r="D35" i="2"/>
  <c r="BL19" i="1"/>
  <c r="BA6" i="1"/>
  <c r="F34" i="2"/>
  <c r="F35" i="2"/>
  <c r="F33" i="2"/>
  <c r="F36" i="2"/>
  <c r="AJ7" i="1"/>
  <c r="AJ8" i="1"/>
  <c r="AJ19" i="1"/>
  <c r="AJ20" i="1"/>
  <c r="F10" i="2"/>
  <c r="W8" i="2"/>
  <c r="R6" i="3"/>
  <c r="E7" i="3"/>
  <c r="Q6" i="3"/>
  <c r="D6" i="3"/>
  <c r="P6" i="3"/>
  <c r="V6" i="3"/>
  <c r="U6" i="3"/>
  <c r="T6" i="3"/>
  <c r="S6" i="3"/>
  <c r="D7" i="3"/>
  <c r="F4" i="3"/>
  <c r="F3" i="3"/>
  <c r="F6" i="3"/>
  <c r="F7" i="3"/>
  <c r="G3" i="3"/>
  <c r="G6" i="3"/>
  <c r="G4" i="3"/>
  <c r="G7" i="3"/>
  <c r="H4" i="3"/>
  <c r="H3" i="3"/>
  <c r="H7" i="3"/>
  <c r="I4" i="3"/>
  <c r="I3" i="3"/>
  <c r="I6" i="3"/>
  <c r="I7" i="3"/>
  <c r="J3" i="3"/>
  <c r="J4" i="3"/>
  <c r="E22" i="2"/>
  <c r="J6" i="3"/>
  <c r="J7" i="3"/>
  <c r="K4" i="3"/>
  <c r="K3" i="3"/>
  <c r="K6" i="3"/>
  <c r="K7" i="3"/>
  <c r="L3" i="3"/>
  <c r="L4" i="3"/>
  <c r="L6" i="3"/>
  <c r="L7" i="3"/>
  <c r="M4" i="3"/>
  <c r="M3" i="3"/>
  <c r="M6" i="3"/>
  <c r="M7" i="3"/>
  <c r="N3" i="3"/>
  <c r="N4" i="3"/>
  <c r="N6" i="3"/>
  <c r="N7" i="3"/>
  <c r="O4" i="3"/>
  <c r="O3" i="3"/>
  <c r="J8" i="3"/>
  <c r="K8" i="3"/>
  <c r="L8" i="3"/>
  <c r="N8" i="3"/>
  <c r="I8" i="3"/>
  <c r="H8" i="3"/>
  <c r="O6" i="3"/>
  <c r="E8" i="3"/>
  <c r="D8" i="3"/>
  <c r="F8" i="3"/>
  <c r="M8" i="3"/>
  <c r="G8" i="3"/>
  <c r="O8" i="3"/>
  <c r="O7" i="3"/>
  <c r="P4" i="3"/>
  <c r="P8" i="3"/>
  <c r="P7" i="3"/>
  <c r="Q4" i="3"/>
  <c r="Q7" i="3"/>
  <c r="Q8" i="3"/>
  <c r="R4" i="3"/>
  <c r="R8" i="3"/>
  <c r="R7" i="3"/>
  <c r="S4" i="3"/>
  <c r="S8" i="3"/>
  <c r="S7" i="3"/>
  <c r="T4" i="3"/>
  <c r="T7" i="3"/>
  <c r="T8" i="3"/>
  <c r="U4" i="3"/>
  <c r="U7" i="3"/>
  <c r="U8" i="3"/>
  <c r="V4" i="3"/>
  <c r="V8" i="3"/>
  <c r="V7" i="3"/>
  <c r="D10" i="3"/>
  <c r="P64" i="6"/>
  <c r="M63" i="6"/>
  <c r="F46" i="6"/>
  <c r="M64" i="6"/>
  <c r="M88" i="6"/>
  <c r="M89" i="6"/>
  <c r="Y74" i="5"/>
  <c r="Y75" i="5"/>
  <c r="Y78" i="5"/>
  <c r="B78" i="5"/>
  <c r="Y79" i="5"/>
  <c r="Y81" i="5"/>
  <c r="U31" i="1"/>
  <c r="C76" i="3"/>
  <c r="D76" i="3"/>
  <c r="B14" i="6"/>
  <c r="F45" i="6"/>
  <c r="H4" i="6"/>
  <c r="H7" i="6"/>
  <c r="H5" i="6"/>
  <c r="H6" i="6"/>
  <c r="U30" i="1"/>
  <c r="C75" i="3"/>
  <c r="D75" i="3"/>
  <c r="R29" i="2"/>
  <c r="Z30" i="2"/>
  <c r="U31" i="2"/>
  <c r="D36" i="2"/>
  <c r="V36" i="2"/>
  <c r="N5" i="2"/>
  <c r="F52" i="2"/>
  <c r="F59" i="2"/>
  <c r="D52" i="2"/>
  <c r="D59" i="2"/>
  <c r="V30" i="2"/>
  <c r="U25" i="1"/>
  <c r="C70" i="3"/>
  <c r="D70" i="3"/>
  <c r="L30" i="1"/>
  <c r="N30" i="1"/>
  <c r="M65" i="6"/>
  <c r="H8" i="6"/>
  <c r="H9" i="6"/>
  <c r="H32" i="6"/>
  <c r="AA30" i="2"/>
  <c r="V31" i="2"/>
  <c r="M66" i="6"/>
  <c r="AI67" i="5"/>
  <c r="B80" i="5"/>
  <c r="AI69" i="5"/>
  <c r="AI70" i="5"/>
  <c r="AI71" i="5"/>
  <c r="H22" i="13"/>
  <c r="Q22" i="13"/>
  <c r="Q32" i="13"/>
  <c r="V25" i="1"/>
  <c r="W25" i="1"/>
  <c r="X25" i="1"/>
  <c r="E8" i="15"/>
  <c r="N13" i="20"/>
  <c r="E37" i="20"/>
  <c r="M17" i="20"/>
  <c r="N17" i="20"/>
  <c r="N6" i="20"/>
  <c r="M19" i="20"/>
  <c r="N19" i="20"/>
  <c r="E40" i="20"/>
  <c r="M15" i="20"/>
  <c r="N15" i="20"/>
  <c r="I22" i="18"/>
  <c r="I20" i="18"/>
  <c r="I18" i="18"/>
  <c r="I16" i="18"/>
  <c r="L37" i="18"/>
  <c r="BA8" i="1"/>
  <c r="O28" i="1"/>
  <c r="AM23" i="1"/>
  <c r="AK24" i="1"/>
  <c r="AM24" i="1"/>
  <c r="AM28" i="1"/>
  <c r="AK29" i="1"/>
  <c r="AJ21" i="1"/>
  <c r="AJ9" i="1"/>
  <c r="AJ17" i="1"/>
  <c r="V26" i="1"/>
  <c r="W26" i="1"/>
  <c r="X26" i="1"/>
  <c r="AJ16" i="1"/>
  <c r="AJ15" i="1"/>
  <c r="P21" i="1"/>
  <c r="AJ14" i="1"/>
  <c r="C35" i="3"/>
  <c r="F35" i="3"/>
  <c r="I35" i="3"/>
  <c r="K35" i="3"/>
  <c r="AJ13" i="1"/>
  <c r="AJ18" i="1"/>
  <c r="AJ12" i="1"/>
  <c r="AJ6" i="1"/>
  <c r="AK6" i="1"/>
  <c r="AK7" i="1"/>
  <c r="AJ11" i="1"/>
  <c r="AJ22" i="1"/>
  <c r="D34" i="3"/>
  <c r="E34" i="3"/>
  <c r="R25" i="1"/>
  <c r="AK25" i="1"/>
  <c r="AM25" i="1"/>
  <c r="R26" i="1"/>
  <c r="N31" i="1"/>
  <c r="R31" i="1"/>
  <c r="AA25" i="1"/>
  <c r="Z25" i="1"/>
  <c r="L35" i="3"/>
  <c r="M35" i="3"/>
  <c r="AG25" i="1"/>
  <c r="AA30" i="1"/>
  <c r="AG30" i="1"/>
  <c r="L34" i="3"/>
  <c r="M34" i="3"/>
  <c r="I50" i="6"/>
  <c r="J50" i="6"/>
  <c r="I51" i="6"/>
  <c r="J51" i="6"/>
  <c r="R30" i="1"/>
  <c r="R18" i="1"/>
  <c r="T10" i="1"/>
  <c r="U10" i="1" s="1"/>
  <c r="C55" i="3" s="1"/>
  <c r="D55" i="3" s="1"/>
  <c r="E24" i="10"/>
  <c r="F24" i="10"/>
  <c r="C32" i="3"/>
  <c r="N16" i="1"/>
  <c r="T16" i="1" s="1"/>
  <c r="P24" i="10"/>
  <c r="S24" i="10"/>
  <c r="BL12" i="1"/>
  <c r="Q24" i="1"/>
  <c r="F33" i="3" s="1"/>
  <c r="I33" i="3" s="1"/>
  <c r="K33" i="3" s="1"/>
  <c r="V23" i="1"/>
  <c r="W23" i="1" s="1"/>
  <c r="BL7" i="1"/>
  <c r="N14" i="1"/>
  <c r="T14" i="1" s="1"/>
  <c r="P11" i="10"/>
  <c r="Q11" i="10" s="1"/>
  <c r="C24" i="16"/>
  <c r="C29" i="16" s="1"/>
  <c r="D28" i="19"/>
  <c r="X17" i="20"/>
  <c r="X13" i="20"/>
  <c r="T17" i="20"/>
  <c r="T13" i="20"/>
  <c r="X15" i="20"/>
  <c r="N5" i="20"/>
  <c r="T15" i="20"/>
  <c r="E41" i="20"/>
  <c r="B86" i="12"/>
  <c r="T12" i="1"/>
  <c r="V12" i="1" s="1"/>
  <c r="BL6" i="1"/>
  <c r="I14" i="18"/>
  <c r="G13" i="18"/>
  <c r="G15" i="18"/>
  <c r="G17" i="18"/>
  <c r="G19" i="18"/>
  <c r="G21" i="18"/>
  <c r="H13" i="18"/>
  <c r="H15" i="18"/>
  <c r="H17" i="18"/>
  <c r="H19" i="18"/>
  <c r="H21" i="18"/>
  <c r="E15" i="18"/>
  <c r="E17" i="18"/>
  <c r="E19" i="18"/>
  <c r="E21" i="18"/>
  <c r="E16" i="18"/>
  <c r="E18" i="18"/>
  <c r="E20" i="18"/>
  <c r="E22" i="18"/>
  <c r="E14" i="18"/>
  <c r="K5" i="18"/>
  <c r="K6" i="18"/>
  <c r="E11" i="10"/>
  <c r="F11" i="10" s="1"/>
  <c r="H11" i="10"/>
  <c r="H24" i="10"/>
  <c r="Q24" i="10"/>
  <c r="X31" i="2"/>
  <c r="H32" i="13"/>
  <c r="N32" i="13"/>
  <c r="R33" i="13"/>
  <c r="R22" i="13"/>
  <c r="R32" i="13"/>
  <c r="P29" i="1"/>
  <c r="Z30" i="1"/>
  <c r="Q29" i="1"/>
  <c r="P7" i="1"/>
  <c r="O7" i="1"/>
  <c r="J7" i="1"/>
  <c r="N7" i="1" s="1"/>
  <c r="Q16" i="1"/>
  <c r="O16" i="1"/>
  <c r="P16" i="1"/>
  <c r="BL8" i="1"/>
  <c r="T18" i="1"/>
  <c r="T13" i="1"/>
  <c r="U13" i="1" s="1"/>
  <c r="C58" i="3" s="1"/>
  <c r="D58" i="3" s="1"/>
  <c r="M28" i="20"/>
  <c r="Y23" i="1"/>
  <c r="K24" i="19" s="1"/>
  <c r="AM6" i="1"/>
  <c r="E35" i="3"/>
  <c r="AA26" i="1"/>
  <c r="AK30" i="1"/>
  <c r="AM29" i="1"/>
  <c r="AA31" i="1"/>
  <c r="AG31" i="1"/>
  <c r="AK26" i="1"/>
  <c r="AM26" i="1"/>
  <c r="AK8" i="1"/>
  <c r="AM7" i="1"/>
  <c r="E39" i="20"/>
  <c r="P39" i="20"/>
  <c r="Y15" i="20"/>
  <c r="Z15" i="20"/>
  <c r="V38" i="20"/>
  <c r="Y13" i="20"/>
  <c r="Y17" i="20"/>
  <c r="Z17" i="20"/>
  <c r="V39" i="20"/>
  <c r="G41" i="20"/>
  <c r="K41" i="20"/>
  <c r="L41" i="20"/>
  <c r="P41" i="20"/>
  <c r="E38" i="20"/>
  <c r="G37" i="20"/>
  <c r="K37" i="20"/>
  <c r="L37" i="20"/>
  <c r="P37" i="20"/>
  <c r="P40" i="20"/>
  <c r="G40" i="20"/>
  <c r="K40" i="20"/>
  <c r="L40" i="20"/>
  <c r="E42" i="20"/>
  <c r="I21" i="18"/>
  <c r="I19" i="18"/>
  <c r="I17" i="18"/>
  <c r="I15" i="18"/>
  <c r="I13" i="18"/>
  <c r="J13" i="18"/>
  <c r="U18" i="1"/>
  <c r="V18" i="1"/>
  <c r="BE18" i="1" s="1"/>
  <c r="J15" i="18"/>
  <c r="K15" i="18"/>
  <c r="J17" i="18"/>
  <c r="K17" i="18"/>
  <c r="J19" i="18"/>
  <c r="K19" i="18"/>
  <c r="J21" i="18"/>
  <c r="K21" i="18"/>
  <c r="Z13" i="20"/>
  <c r="V37" i="20"/>
  <c r="AD37" i="20"/>
  <c r="Y20" i="20"/>
  <c r="AG26" i="1"/>
  <c r="Z26" i="1"/>
  <c r="Z31" i="1"/>
  <c r="AK31" i="1"/>
  <c r="AM31" i="1"/>
  <c r="AM30" i="1"/>
  <c r="AM8" i="1"/>
  <c r="AK9" i="1"/>
  <c r="X38" i="20"/>
  <c r="Y38" i="20"/>
  <c r="Z38" i="20"/>
  <c r="AD38" i="20"/>
  <c r="G39" i="20"/>
  <c r="K39" i="20"/>
  <c r="L39" i="20"/>
  <c r="X39" i="20"/>
  <c r="Y39" i="20"/>
  <c r="Z39" i="20"/>
  <c r="AD39" i="20"/>
  <c r="N28" i="20"/>
  <c r="P42" i="20"/>
  <c r="G42" i="20"/>
  <c r="K42" i="20"/>
  <c r="L42" i="20"/>
  <c r="G38" i="20"/>
  <c r="K38" i="20"/>
  <c r="L38" i="20"/>
  <c r="P38" i="20"/>
  <c r="K13" i="18"/>
  <c r="O54" i="18"/>
  <c r="C63" i="3"/>
  <c r="D63" i="3" s="1"/>
  <c r="N62" i="20"/>
  <c r="E35" i="20"/>
  <c r="O63" i="20"/>
  <c r="O62" i="20"/>
  <c r="N67" i="20"/>
  <c r="O69" i="20"/>
  <c r="N69" i="20"/>
  <c r="N65" i="20"/>
  <c r="O67" i="20"/>
  <c r="N66" i="20"/>
  <c r="O66" i="20"/>
  <c r="O64" i="20"/>
  <c r="O65" i="20"/>
  <c r="N63" i="20"/>
  <c r="N68" i="20"/>
  <c r="O68" i="20"/>
  <c r="N64" i="20"/>
  <c r="X37" i="20"/>
  <c r="Y37" i="20"/>
  <c r="Z37" i="20"/>
  <c r="E41" i="18"/>
  <c r="O58" i="18"/>
  <c r="O57" i="18"/>
  <c r="E40" i="18"/>
  <c r="M40" i="18"/>
  <c r="O56" i="18"/>
  <c r="E39" i="18"/>
  <c r="O55" i="18"/>
  <c r="E38" i="18"/>
  <c r="M38" i="18"/>
  <c r="J24" i="18"/>
  <c r="AC63" i="20"/>
  <c r="AD63" i="20"/>
  <c r="AC62" i="20"/>
  <c r="AD62" i="20"/>
  <c r="AM9" i="1"/>
  <c r="AK10" i="1"/>
  <c r="G35" i="20"/>
  <c r="E36" i="20"/>
  <c r="G36" i="20"/>
  <c r="K36" i="20"/>
  <c r="L36" i="20"/>
  <c r="G40" i="18"/>
  <c r="H40" i="18"/>
  <c r="I40" i="18"/>
  <c r="G39" i="18"/>
  <c r="H39" i="18"/>
  <c r="I39" i="18"/>
  <c r="M39" i="18"/>
  <c r="G38" i="18"/>
  <c r="H38" i="18"/>
  <c r="I38" i="18"/>
  <c r="E37" i="18"/>
  <c r="M41" i="18"/>
  <c r="G41" i="18"/>
  <c r="H41" i="18"/>
  <c r="I41" i="18"/>
  <c r="P36" i="20"/>
  <c r="P35" i="20"/>
  <c r="AK11" i="1"/>
  <c r="AM10" i="1"/>
  <c r="K35" i="20"/>
  <c r="L35" i="20"/>
  <c r="G37" i="18"/>
  <c r="H37" i="18"/>
  <c r="I37" i="18"/>
  <c r="M37" i="18"/>
  <c r="AM11" i="1"/>
  <c r="AK12" i="1"/>
  <c r="AK13" i="1"/>
  <c r="AM12" i="1"/>
  <c r="AM13" i="1"/>
  <c r="AK14" i="1"/>
  <c r="AM14" i="1"/>
  <c r="AK15" i="1"/>
  <c r="AM15" i="1"/>
  <c r="AK16" i="1"/>
  <c r="Y6" i="15"/>
  <c r="Y11" i="15"/>
  <c r="U6" i="15"/>
  <c r="U11" i="15"/>
  <c r="AM16" i="1"/>
  <c r="AK17" i="1"/>
  <c r="AK18" i="1"/>
  <c r="AM17" i="1"/>
  <c r="AM18" i="1"/>
  <c r="AK19" i="1"/>
  <c r="AM19" i="1"/>
  <c r="AK20" i="1"/>
  <c r="AM20" i="1"/>
  <c r="AK21" i="1"/>
  <c r="AM21" i="1"/>
  <c r="Z20" i="20"/>
  <c r="K24" i="18"/>
  <c r="V36" i="20"/>
  <c r="V35" i="20"/>
  <c r="G35" i="18"/>
  <c r="H35" i="18"/>
  <c r="I35" i="18"/>
  <c r="M35" i="18"/>
  <c r="O53" i="18"/>
  <c r="P53" i="18"/>
  <c r="O52" i="18"/>
  <c r="P52" i="18"/>
  <c r="AD35" i="20"/>
  <c r="X35" i="20"/>
  <c r="Y35" i="20"/>
  <c r="Z35" i="20"/>
  <c r="X36" i="20"/>
  <c r="Y36" i="20"/>
  <c r="Z36" i="20"/>
  <c r="AD36" i="20"/>
  <c r="G36" i="18"/>
  <c r="H36" i="18"/>
  <c r="I36" i="18"/>
  <c r="M36" i="18"/>
  <c r="P58" i="18"/>
  <c r="P56" i="18"/>
  <c r="P55" i="18"/>
  <c r="P54" i="18"/>
  <c r="P57" i="18"/>
  <c r="Q56" i="18"/>
  <c r="D62" i="18"/>
  <c r="AD64" i="20"/>
  <c r="AE65" i="20"/>
  <c r="P65" i="20"/>
  <c r="AD65" i="20"/>
  <c r="AD66" i="20"/>
  <c r="T15" i="1" l="1"/>
  <c r="V15" i="1" s="1"/>
  <c r="Q23" i="1"/>
  <c r="BL10" i="1"/>
  <c r="R16" i="1"/>
  <c r="BA15" i="1"/>
  <c r="Q14" i="1"/>
  <c r="R14" i="1" s="1"/>
  <c r="E5" i="13" s="1"/>
  <c r="O39" i="13" s="1"/>
  <c r="E39" i="13" s="1"/>
  <c r="P19" i="1"/>
  <c r="J19" i="1"/>
  <c r="N19" i="1" s="1"/>
  <c r="T19" i="1" s="1"/>
  <c r="K6" i="1"/>
  <c r="N6" i="1" s="1"/>
  <c r="U12" i="1"/>
  <c r="C57" i="3" s="1"/>
  <c r="D57" i="3" s="1"/>
  <c r="P6" i="1"/>
  <c r="AC5" i="1" s="1"/>
  <c r="O23" i="1"/>
  <c r="BA16" i="1"/>
  <c r="K23" i="1"/>
  <c r="K28" i="1" s="1"/>
  <c r="N28" i="1" s="1"/>
  <c r="AA28" i="1" s="1"/>
  <c r="T11" i="21"/>
  <c r="L21" i="21" s="1"/>
  <c r="S21" i="21" s="1"/>
  <c r="T21" i="21" s="1"/>
  <c r="O22" i="21"/>
  <c r="P22" i="21"/>
  <c r="Q22" i="21" s="1"/>
  <c r="S8" i="21"/>
  <c r="U11" i="21"/>
  <c r="R21" i="1"/>
  <c r="T21" i="1"/>
  <c r="U7" i="21"/>
  <c r="V7" i="21" s="1"/>
  <c r="K71" i="21"/>
  <c r="M71" i="21"/>
  <c r="P71" i="21" s="1"/>
  <c r="V16" i="1"/>
  <c r="W16" i="1" s="1"/>
  <c r="X16" i="1" s="1"/>
  <c r="U16" i="1"/>
  <c r="C61" i="3" s="1"/>
  <c r="D61" i="3" s="1"/>
  <c r="O23" i="21"/>
  <c r="W12" i="1"/>
  <c r="X12" i="1" s="1"/>
  <c r="O15" i="2" s="1"/>
  <c r="P15" i="2" s="1"/>
  <c r="Q15" i="2" s="1"/>
  <c r="R15" i="2" s="1"/>
  <c r="BE12" i="1"/>
  <c r="Y12" i="1"/>
  <c r="AA12" i="1"/>
  <c r="U12" i="21"/>
  <c r="L29" i="21" s="1"/>
  <c r="L22" i="21"/>
  <c r="S22" i="21" s="1"/>
  <c r="T22" i="21" s="1"/>
  <c r="S7" i="21"/>
  <c r="T7" i="21" s="1"/>
  <c r="L18" i="21" s="1"/>
  <c r="N83" i="21"/>
  <c r="M70" i="21"/>
  <c r="K70" i="21"/>
  <c r="N80" i="21" s="1"/>
  <c r="N84" i="21"/>
  <c r="N85" i="21" s="1"/>
  <c r="Q8" i="1"/>
  <c r="R8" i="1" s="1"/>
  <c r="V13" i="1"/>
  <c r="P8" i="1"/>
  <c r="O24" i="1"/>
  <c r="Q19" i="1"/>
  <c r="U19" i="1" s="1"/>
  <c r="C64" i="3" s="1"/>
  <c r="D64" i="3" s="1"/>
  <c r="K8" i="21"/>
  <c r="V10" i="1"/>
  <c r="BE10" i="1" s="1"/>
  <c r="P9" i="1"/>
  <c r="S11" i="10"/>
  <c r="Q17" i="1"/>
  <c r="Q9" i="1"/>
  <c r="P21" i="21"/>
  <c r="AP46" i="21"/>
  <c r="AQ46" i="21" s="1"/>
  <c r="AR46" i="21" s="1"/>
  <c r="U29" i="1"/>
  <c r="C74" i="3" s="1"/>
  <c r="D74" i="3" s="1"/>
  <c r="K17" i="1"/>
  <c r="N17" i="1" s="1"/>
  <c r="T17" i="1" s="1"/>
  <c r="O9" i="1"/>
  <c r="AA18" i="1"/>
  <c r="AG18" i="1" s="1"/>
  <c r="Q6" i="1"/>
  <c r="P15" i="1"/>
  <c r="AC7" i="1" s="1"/>
  <c r="P17" i="1"/>
  <c r="C17" i="16"/>
  <c r="C22" i="16" s="1"/>
  <c r="U24" i="1"/>
  <c r="C69" i="3" s="1"/>
  <c r="D69" i="3" s="1"/>
  <c r="V24" i="1"/>
  <c r="W24" i="1" s="1"/>
  <c r="X24" i="1" s="1"/>
  <c r="Y24" i="1"/>
  <c r="K58" i="19" s="1"/>
  <c r="O8" i="1"/>
  <c r="R15" i="1"/>
  <c r="U15" i="1"/>
  <c r="V19" i="1"/>
  <c r="W19" i="1" s="1"/>
  <c r="X19" i="1" s="1"/>
  <c r="R7" i="1"/>
  <c r="T7" i="1"/>
  <c r="V20" i="1"/>
  <c r="W20" i="1" s="1"/>
  <c r="X20" i="1" s="1"/>
  <c r="U20" i="1"/>
  <c r="C65" i="3" s="1"/>
  <c r="D65" i="3" s="1"/>
  <c r="T8" i="1"/>
  <c r="V14" i="1"/>
  <c r="W14" i="1" s="1"/>
  <c r="BE14" i="1"/>
  <c r="R9" i="1"/>
  <c r="T9" i="1"/>
  <c r="W28" i="1"/>
  <c r="Y28" i="1"/>
  <c r="E23" i="19" s="1"/>
  <c r="W29" i="1"/>
  <c r="X29" i="1" s="1"/>
  <c r="G49" i="6" s="1"/>
  <c r="H49" i="6" s="1"/>
  <c r="Y29" i="1"/>
  <c r="E57" i="19" s="1"/>
  <c r="M33" i="3"/>
  <c r="L33" i="3"/>
  <c r="R6" i="1"/>
  <c r="T6" i="1"/>
  <c r="W15" i="1"/>
  <c r="X15" i="1" s="1"/>
  <c r="AA15" i="1"/>
  <c r="BE15" i="1"/>
  <c r="Y15" i="1"/>
  <c r="W18" i="1"/>
  <c r="X18" i="1" s="1"/>
  <c r="W13" i="1"/>
  <c r="X13" i="1" s="1"/>
  <c r="O16" i="2" s="1"/>
  <c r="P16" i="2" s="1"/>
  <c r="O15" i="1"/>
  <c r="Q28" i="1"/>
  <c r="U28" i="1" s="1"/>
  <c r="C73" i="3" s="1"/>
  <c r="D73" i="3" s="1"/>
  <c r="Y18" i="1"/>
  <c r="BL16" i="1"/>
  <c r="R19" i="1"/>
  <c r="T11" i="1"/>
  <c r="J24" i="1"/>
  <c r="O14" i="1"/>
  <c r="BL17" i="1"/>
  <c r="X14" i="1" l="1"/>
  <c r="F32" i="3"/>
  <c r="I32" i="3" s="1"/>
  <c r="K32" i="3" s="1"/>
  <c r="U23" i="1"/>
  <c r="U14" i="1"/>
  <c r="N23" i="1"/>
  <c r="X23" i="1"/>
  <c r="Y8" i="21"/>
  <c r="M18" i="21"/>
  <c r="Y10" i="1"/>
  <c r="Y13" i="1"/>
  <c r="BE13" i="1"/>
  <c r="V21" i="1"/>
  <c r="U21" i="1"/>
  <c r="C66" i="3" s="1"/>
  <c r="D66" i="3" s="1"/>
  <c r="AG12" i="1"/>
  <c r="Z12" i="1"/>
  <c r="V11" i="21"/>
  <c r="Y7" i="21"/>
  <c r="L28" i="21"/>
  <c r="M74" i="21"/>
  <c r="M75" i="21" s="1"/>
  <c r="P70" i="21"/>
  <c r="P75" i="21" s="1"/>
  <c r="N78" i="21" s="1"/>
  <c r="N79" i="21" s="1"/>
  <c r="AA13" i="1"/>
  <c r="Z18" i="1"/>
  <c r="AG48" i="21"/>
  <c r="AP48" i="21"/>
  <c r="AQ48" i="21" s="1"/>
  <c r="AR48" i="21" s="1"/>
  <c r="AA16" i="1"/>
  <c r="T8" i="21"/>
  <c r="P23" i="21"/>
  <c r="Q23" i="21" s="1"/>
  <c r="Q21" i="21"/>
  <c r="BE16" i="1"/>
  <c r="AA10" i="1"/>
  <c r="W10" i="1"/>
  <c r="X10" i="1" s="1"/>
  <c r="O13" i="2" s="1"/>
  <c r="P13" i="2" s="1"/>
  <c r="Q13" i="2" s="1"/>
  <c r="R13" i="2" s="1"/>
  <c r="R17" i="1"/>
  <c r="S18" i="21"/>
  <c r="T18" i="21" s="1"/>
  <c r="S23" i="21"/>
  <c r="T23" i="21" s="1"/>
  <c r="Y16" i="1"/>
  <c r="G5" i="13"/>
  <c r="G15" i="13" s="1"/>
  <c r="V22" i="21"/>
  <c r="Y22" i="21" s="1"/>
  <c r="V21" i="21"/>
  <c r="Y21" i="21" s="1"/>
  <c r="AA20" i="1"/>
  <c r="AG20" i="1" s="1"/>
  <c r="X28" i="1"/>
  <c r="G48" i="6" s="1"/>
  <c r="BE20" i="1"/>
  <c r="R28" i="1"/>
  <c r="AA14" i="1"/>
  <c r="Z14" i="1" s="1"/>
  <c r="Y20" i="1"/>
  <c r="U6" i="1"/>
  <c r="C10" i="16"/>
  <c r="C15" i="16" s="1"/>
  <c r="V6" i="1"/>
  <c r="W6" i="1" s="1"/>
  <c r="X6" i="1" s="1"/>
  <c r="C59" i="3"/>
  <c r="D59" i="3" s="1"/>
  <c r="F40" i="3"/>
  <c r="I40" i="3" s="1"/>
  <c r="K40" i="3" s="1"/>
  <c r="Q16" i="2"/>
  <c r="R16" i="2" s="1"/>
  <c r="U11" i="1"/>
  <c r="C56" i="3" s="1"/>
  <c r="D56" i="3" s="1"/>
  <c r="V11" i="1"/>
  <c r="W11" i="1" s="1"/>
  <c r="X11" i="1" s="1"/>
  <c r="O14" i="2" s="1"/>
  <c r="P14" i="2" s="1"/>
  <c r="Y19" i="1"/>
  <c r="V9" i="1"/>
  <c r="BE9" i="1" s="1"/>
  <c r="U9" i="1"/>
  <c r="C54" i="3" s="1"/>
  <c r="D54" i="3" s="1"/>
  <c r="Y14" i="1"/>
  <c r="BE19" i="1"/>
  <c r="Z15" i="1"/>
  <c r="AG15" i="1"/>
  <c r="U7" i="1"/>
  <c r="C52" i="3" s="1"/>
  <c r="D52" i="3" s="1"/>
  <c r="V7" i="1"/>
  <c r="W7" i="1" s="1"/>
  <c r="X7" i="1" s="1"/>
  <c r="O10" i="2" s="1"/>
  <c r="P10" i="2" s="1"/>
  <c r="Y7" i="1"/>
  <c r="U17" i="1"/>
  <c r="V17" i="1"/>
  <c r="W17" i="1" s="1"/>
  <c r="X17" i="1" s="1"/>
  <c r="AA19" i="1"/>
  <c r="AD6" i="1"/>
  <c r="O17" i="2"/>
  <c r="P17" i="2" s="1"/>
  <c r="N24" i="1"/>
  <c r="J29" i="1"/>
  <c r="N29" i="1" s="1"/>
  <c r="F36" i="3"/>
  <c r="C60" i="3"/>
  <c r="D60" i="3" s="1"/>
  <c r="B47" i="6"/>
  <c r="AD9" i="1"/>
  <c r="U8" i="1"/>
  <c r="V8" i="1"/>
  <c r="W8" i="1" s="1"/>
  <c r="X8" i="1" s="1"/>
  <c r="O11" i="2" s="1"/>
  <c r="P11" i="2" s="1"/>
  <c r="AG28" i="1"/>
  <c r="Z28" i="1"/>
  <c r="AA6" i="1"/>
  <c r="I49" i="6"/>
  <c r="J49" i="6" s="1"/>
  <c r="AA7" i="1"/>
  <c r="C68" i="3" l="1"/>
  <c r="D68" i="3" s="1"/>
  <c r="AI72" i="5"/>
  <c r="AI73" i="5" s="1"/>
  <c r="AI74" i="5" s="1"/>
  <c r="B102" i="12"/>
  <c r="B105" i="12" s="1"/>
  <c r="B2" i="12"/>
  <c r="C14" i="12" s="1"/>
  <c r="B64" i="12" a="1"/>
  <c r="AD8" i="1"/>
  <c r="H5" i="13"/>
  <c r="L32" i="3"/>
  <c r="M32" i="3"/>
  <c r="N32" i="3" s="1"/>
  <c r="AA23" i="1"/>
  <c r="D32" i="3"/>
  <c r="E32" i="3" s="1"/>
  <c r="R23" i="1"/>
  <c r="Q39" i="13"/>
  <c r="Q49" i="13" s="1"/>
  <c r="BE7" i="1"/>
  <c r="AG14" i="1"/>
  <c r="B2" i="5"/>
  <c r="M28" i="21"/>
  <c r="U8" i="21"/>
  <c r="V8" i="21" s="1"/>
  <c r="L19" i="21"/>
  <c r="Z20" i="1"/>
  <c r="Z16" i="1"/>
  <c r="AG16" i="1"/>
  <c r="V23" i="21"/>
  <c r="Y23" i="21" s="1"/>
  <c r="Y21" i="1"/>
  <c r="Q55" i="19" s="1"/>
  <c r="BE21" i="1"/>
  <c r="AA21" i="1"/>
  <c r="W21" i="1"/>
  <c r="X21" i="1" s="1"/>
  <c r="E18" i="2" s="1"/>
  <c r="B20" i="6"/>
  <c r="Z13" i="1"/>
  <c r="AG13" i="1"/>
  <c r="AG10" i="1"/>
  <c r="Z10" i="1"/>
  <c r="N82" i="21"/>
  <c r="N81" i="21"/>
  <c r="O18" i="21"/>
  <c r="P18" i="21"/>
  <c r="Y11" i="1"/>
  <c r="Q11" i="2"/>
  <c r="R11" i="2"/>
  <c r="C53" i="3"/>
  <c r="D53" i="3" s="1"/>
  <c r="F39" i="3"/>
  <c r="I39" i="3" s="1"/>
  <c r="K39" i="3" s="1"/>
  <c r="AA29" i="1"/>
  <c r="R29" i="1"/>
  <c r="BE17" i="1"/>
  <c r="Q10" i="2"/>
  <c r="R10" i="2" s="1"/>
  <c r="AA11" i="1"/>
  <c r="Y8" i="1"/>
  <c r="W9" i="1"/>
  <c r="X9" i="1" s="1"/>
  <c r="O12" i="2" s="1"/>
  <c r="P12" i="2" s="1"/>
  <c r="AA9" i="1"/>
  <c r="AG19" i="1"/>
  <c r="Z19" i="1"/>
  <c r="R24" i="1"/>
  <c r="D9" i="13" s="1"/>
  <c r="D33" i="3"/>
  <c r="E33" i="3" s="1"/>
  <c r="AA24" i="1"/>
  <c r="Y17" i="1"/>
  <c r="Y9" i="1"/>
  <c r="C55" i="19" s="1"/>
  <c r="O9" i="2"/>
  <c r="AG7" i="1"/>
  <c r="Z7" i="1"/>
  <c r="Z6" i="1"/>
  <c r="AG6" i="1"/>
  <c r="H10" i="6"/>
  <c r="C62" i="3"/>
  <c r="D62" i="3" s="1"/>
  <c r="F37" i="3"/>
  <c r="I37" i="3" s="1"/>
  <c r="K37" i="3" s="1"/>
  <c r="L40" i="3"/>
  <c r="M40" i="3"/>
  <c r="Y6" i="1"/>
  <c r="P115" i="6"/>
  <c r="P114" i="6"/>
  <c r="H48" i="6"/>
  <c r="P66" i="6"/>
  <c r="P90" i="6"/>
  <c r="Q17" i="2"/>
  <c r="R17" i="2" s="1"/>
  <c r="Q14" i="2"/>
  <c r="R14" i="2" s="1"/>
  <c r="R39" i="13"/>
  <c r="G39" i="13"/>
  <c r="C51" i="3"/>
  <c r="D51" i="3" s="1"/>
  <c r="F38" i="3"/>
  <c r="C20" i="12"/>
  <c r="G32" i="12" s="1"/>
  <c r="C24" i="12"/>
  <c r="M32" i="12" s="1"/>
  <c r="C16" i="12"/>
  <c r="I36" i="3"/>
  <c r="V32" i="2"/>
  <c r="V33" i="2" s="1"/>
  <c r="D61" i="2"/>
  <c r="AA8" i="1"/>
  <c r="BE8" i="1"/>
  <c r="BE11" i="1"/>
  <c r="BE6" i="1"/>
  <c r="AA17" i="1"/>
  <c r="AG23" i="1" l="1"/>
  <c r="Z23" i="1"/>
  <c r="Q40" i="3"/>
  <c r="C55" i="5"/>
  <c r="C14" i="5"/>
  <c r="B64" i="12"/>
  <c r="C67" i="12"/>
  <c r="C65" i="12"/>
  <c r="C66" i="12"/>
  <c r="D37" i="2"/>
  <c r="D42" i="2"/>
  <c r="Q21" i="19"/>
  <c r="Q18" i="21"/>
  <c r="V18" i="21" s="1"/>
  <c r="Y18" i="21" s="1"/>
  <c r="C21" i="12"/>
  <c r="F32" i="12" s="1"/>
  <c r="M19" i="21"/>
  <c r="Y9" i="21"/>
  <c r="Z21" i="1"/>
  <c r="AG21" i="1"/>
  <c r="C21" i="19"/>
  <c r="AD7" i="1"/>
  <c r="S28" i="21"/>
  <c r="O28" i="21"/>
  <c r="C25" i="12"/>
  <c r="K32" i="12" s="1"/>
  <c r="K33" i="12" s="1"/>
  <c r="K36" i="12" s="1"/>
  <c r="N43" i="13"/>
  <c r="D15" i="13"/>
  <c r="H9" i="13"/>
  <c r="I38" i="3"/>
  <c r="K38" i="3" s="1"/>
  <c r="F61" i="2"/>
  <c r="U32" i="2"/>
  <c r="E45" i="2"/>
  <c r="D43" i="2"/>
  <c r="AD5" i="1"/>
  <c r="M12" i="6"/>
  <c r="M15" i="6" s="1"/>
  <c r="M13" i="6"/>
  <c r="M16" i="6" s="1"/>
  <c r="M11" i="6"/>
  <c r="E17" i="2"/>
  <c r="B21" i="6"/>
  <c r="E11" i="13"/>
  <c r="B48" i="6"/>
  <c r="U46" i="2"/>
  <c r="U47" i="2" s="1"/>
  <c r="P9" i="2"/>
  <c r="AG9" i="1"/>
  <c r="Z9" i="1"/>
  <c r="AG29" i="1"/>
  <c r="Z29" i="1"/>
  <c r="K36" i="3"/>
  <c r="C32" i="12"/>
  <c r="C17" i="12"/>
  <c r="B32" i="12" s="1"/>
  <c r="Q12" i="2"/>
  <c r="R12" i="2" s="1"/>
  <c r="M39" i="3"/>
  <c r="L39" i="3"/>
  <c r="G49" i="13"/>
  <c r="H39" i="13"/>
  <c r="F37" i="12"/>
  <c r="F33" i="12"/>
  <c r="F36" i="12" s="1"/>
  <c r="Z24" i="1"/>
  <c r="AG24" i="1"/>
  <c r="Z11" i="1"/>
  <c r="AG11" i="1"/>
  <c r="I48" i="6"/>
  <c r="I53" i="6" s="1"/>
  <c r="Z17" i="1"/>
  <c r="AG17" i="1"/>
  <c r="M36" i="12"/>
  <c r="M33" i="12"/>
  <c r="M37" i="12" s="1"/>
  <c r="BE22" i="1"/>
  <c r="AG8" i="1"/>
  <c r="Z8" i="1"/>
  <c r="G36" i="12"/>
  <c r="G33" i="12"/>
  <c r="G37" i="12" s="1"/>
  <c r="L37" i="3"/>
  <c r="M37" i="3"/>
  <c r="C64" i="12" l="1"/>
  <c r="B106" i="12"/>
  <c r="C16" i="5"/>
  <c r="C24" i="5"/>
  <c r="M32" i="5" s="1"/>
  <c r="C20" i="5"/>
  <c r="C61" i="5"/>
  <c r="G74" i="5" s="1"/>
  <c r="C57" i="5"/>
  <c r="C74" i="5" s="1"/>
  <c r="C65" i="5"/>
  <c r="K37" i="12"/>
  <c r="O19" i="21"/>
  <c r="O20" i="21" s="1"/>
  <c r="P19" i="21"/>
  <c r="S20" i="21"/>
  <c r="T20" i="21" s="1"/>
  <c r="S19" i="21"/>
  <c r="T19" i="21" s="1"/>
  <c r="T28" i="21"/>
  <c r="P28" i="21"/>
  <c r="Q28" i="21" s="1"/>
  <c r="J41" i="3"/>
  <c r="F34" i="12"/>
  <c r="J48" i="6"/>
  <c r="M34" i="12"/>
  <c r="AA39" i="2"/>
  <c r="U33" i="2"/>
  <c r="Y40" i="2"/>
  <c r="L36" i="3"/>
  <c r="M36" i="3"/>
  <c r="H11" i="13"/>
  <c r="O45" i="13"/>
  <c r="E15" i="13"/>
  <c r="F13" i="13"/>
  <c r="G42" i="12"/>
  <c r="G38" i="12"/>
  <c r="G34" i="12"/>
  <c r="M38" i="12"/>
  <c r="M42" i="12"/>
  <c r="F42" i="2"/>
  <c r="F43" i="2" s="1"/>
  <c r="F37" i="2"/>
  <c r="F38" i="2" s="1"/>
  <c r="M38" i="3"/>
  <c r="L38" i="3"/>
  <c r="M118" i="6"/>
  <c r="M94" i="6"/>
  <c r="M70" i="6"/>
  <c r="M14" i="6"/>
  <c r="H20" i="6"/>
  <c r="K38" i="12"/>
  <c r="K42" i="12"/>
  <c r="BG14" i="1"/>
  <c r="BG11" i="1"/>
  <c r="BG17" i="1"/>
  <c r="BG12" i="1"/>
  <c r="BG8" i="1"/>
  <c r="BG13" i="1"/>
  <c r="BG10" i="1"/>
  <c r="BG16" i="1"/>
  <c r="BG21" i="1"/>
  <c r="BG6" i="1"/>
  <c r="BG18" i="1"/>
  <c r="BG19" i="1"/>
  <c r="BG15" i="1"/>
  <c r="BG20" i="1"/>
  <c r="BG9" i="1"/>
  <c r="BG7" i="1"/>
  <c r="F42" i="12"/>
  <c r="F38" i="12"/>
  <c r="B37" i="12"/>
  <c r="B33" i="12"/>
  <c r="B36" i="12" s="1"/>
  <c r="Q9" i="2"/>
  <c r="Q18" i="2" s="1"/>
  <c r="K34" i="12"/>
  <c r="C36" i="12"/>
  <c r="C33" i="12"/>
  <c r="C37" i="12" s="1"/>
  <c r="D65" i="2"/>
  <c r="R43" i="13"/>
  <c r="D43" i="13"/>
  <c r="N49" i="13"/>
  <c r="M115" i="6"/>
  <c r="M116" i="6"/>
  <c r="M117" i="6" s="1"/>
  <c r="M92" i="6"/>
  <c r="M68" i="6"/>
  <c r="M69" i="6" s="1"/>
  <c r="M67" i="6"/>
  <c r="M91" i="6"/>
  <c r="C62" i="5" l="1"/>
  <c r="F74" i="5" s="1"/>
  <c r="Q94" i="6"/>
  <c r="M74" i="5"/>
  <c r="C66" i="5"/>
  <c r="K74" i="5" s="1"/>
  <c r="C78" i="5"/>
  <c r="C75" i="5"/>
  <c r="H78" i="5"/>
  <c r="G75" i="5"/>
  <c r="H79" i="5" s="1"/>
  <c r="G32" i="5"/>
  <c r="C21" i="5"/>
  <c r="F32" i="5" s="1"/>
  <c r="M36" i="5"/>
  <c r="M33" i="5"/>
  <c r="M37" i="5" s="1"/>
  <c r="C25" i="5"/>
  <c r="K32" i="5" s="1"/>
  <c r="C32" i="5"/>
  <c r="C17" i="5"/>
  <c r="B32" i="5" s="1"/>
  <c r="R9" i="2"/>
  <c r="C58" i="5"/>
  <c r="B74" i="5" s="1"/>
  <c r="B75" i="5" s="1"/>
  <c r="B76" i="5" s="1"/>
  <c r="B61" i="12"/>
  <c r="B70" i="12"/>
  <c r="B72" i="12" s="1"/>
  <c r="B73" i="12" s="1"/>
  <c r="V28" i="21"/>
  <c r="Y28" i="21" s="1"/>
  <c r="Q19" i="21"/>
  <c r="V19" i="21" s="1"/>
  <c r="Y19" i="21" s="1"/>
  <c r="P20" i="21"/>
  <c r="Q20" i="21" s="1"/>
  <c r="V20" i="21" s="1"/>
  <c r="Y20" i="21" s="1"/>
  <c r="N36" i="3"/>
  <c r="F45" i="12"/>
  <c r="F44" i="12"/>
  <c r="F46" i="12" s="1"/>
  <c r="Q70" i="6"/>
  <c r="P47" i="13"/>
  <c r="H13" i="13"/>
  <c r="H15" i="13" s="1"/>
  <c r="F15" i="13"/>
  <c r="H16" i="13" s="1"/>
  <c r="N45" i="12"/>
  <c r="N44" i="12"/>
  <c r="Y39" i="2"/>
  <c r="U34" i="2"/>
  <c r="U35" i="2" s="1"/>
  <c r="C34" i="12"/>
  <c r="W9" i="2"/>
  <c r="U36" i="2"/>
  <c r="BG22" i="1"/>
  <c r="BH6" i="1"/>
  <c r="BH7" i="1" s="1"/>
  <c r="BH8" i="1" s="1"/>
  <c r="BH9" i="1" s="1"/>
  <c r="BH10" i="1" s="1"/>
  <c r="BH11" i="1" s="1"/>
  <c r="BH12" i="1" s="1"/>
  <c r="BH13" i="1" s="1"/>
  <c r="BH14" i="1" s="1"/>
  <c r="BH15" i="1" s="1"/>
  <c r="BH16" i="1" s="1"/>
  <c r="BH17" i="1" s="1"/>
  <c r="BH18" i="1" s="1"/>
  <c r="BH19" i="1" s="1"/>
  <c r="BH20" i="1" s="1"/>
  <c r="BH21" i="1" s="1"/>
  <c r="L45" i="12"/>
  <c r="L44" i="12"/>
  <c r="L46" i="12" s="1"/>
  <c r="M119" i="6"/>
  <c r="Q118" i="6"/>
  <c r="E45" i="13"/>
  <c r="R45" i="13"/>
  <c r="O49" i="13"/>
  <c r="B42" i="12"/>
  <c r="B38" i="12"/>
  <c r="H23" i="6"/>
  <c r="H21" i="6"/>
  <c r="H24" i="6" s="1"/>
  <c r="G40" i="2"/>
  <c r="E44" i="2" s="1"/>
  <c r="F39" i="2"/>
  <c r="H45" i="12"/>
  <c r="H44" i="12"/>
  <c r="H46" i="12" s="1"/>
  <c r="C42" i="12"/>
  <c r="C38" i="12"/>
  <c r="B34" i="12"/>
  <c r="M93" i="6"/>
  <c r="C5" i="14"/>
  <c r="D49" i="13"/>
  <c r="H43" i="13"/>
  <c r="C79" i="5" l="1"/>
  <c r="C86" i="5" s="1"/>
  <c r="C76" i="5"/>
  <c r="K75" i="5"/>
  <c r="K78" i="5" s="1"/>
  <c r="K79" i="5"/>
  <c r="B84" i="12"/>
  <c r="B78" i="12"/>
  <c r="B79" i="12" s="1"/>
  <c r="B121" i="12" s="1"/>
  <c r="C80" i="5"/>
  <c r="F37" i="5"/>
  <c r="F33" i="5"/>
  <c r="M38" i="5"/>
  <c r="M42" i="5"/>
  <c r="G33" i="5"/>
  <c r="G37" i="5" s="1"/>
  <c r="G36" i="5"/>
  <c r="G34" i="5"/>
  <c r="F79" i="5"/>
  <c r="F75" i="5"/>
  <c r="F78" i="5" s="1"/>
  <c r="F76" i="5"/>
  <c r="K37" i="5"/>
  <c r="K33" i="5"/>
  <c r="K36" i="5" s="1"/>
  <c r="K34" i="5"/>
  <c r="M78" i="5"/>
  <c r="M75" i="5"/>
  <c r="N79" i="5" s="1"/>
  <c r="M34" i="5"/>
  <c r="C36" i="5"/>
  <c r="C33" i="5"/>
  <c r="C37" i="5" s="1"/>
  <c r="B37" i="5"/>
  <c r="B33" i="5"/>
  <c r="G86" i="5"/>
  <c r="H80" i="5"/>
  <c r="G76" i="5"/>
  <c r="H22" i="6"/>
  <c r="H31" i="6"/>
  <c r="H25" i="6"/>
  <c r="P49" i="13"/>
  <c r="R50" i="13" s="1"/>
  <c r="F47" i="13"/>
  <c r="R47" i="13"/>
  <c r="R49" i="13" s="1"/>
  <c r="B45" i="12"/>
  <c r="B44" i="12"/>
  <c r="C3" i="14"/>
  <c r="Y41" i="2"/>
  <c r="N46" i="12"/>
  <c r="D51" i="2"/>
  <c r="E46" i="2"/>
  <c r="F51" i="2"/>
  <c r="U48" i="2"/>
  <c r="V39" i="2"/>
  <c r="O15" i="16"/>
  <c r="Q15" i="16" s="1"/>
  <c r="Q25" i="16" s="1"/>
  <c r="C44" i="12"/>
  <c r="C45" i="12"/>
  <c r="H45" i="13"/>
  <c r="E49" i="13"/>
  <c r="C88" i="5" l="1"/>
  <c r="C89" i="5"/>
  <c r="B36" i="5"/>
  <c r="B34" i="5"/>
  <c r="M86" i="5"/>
  <c r="N80" i="5"/>
  <c r="G42" i="5"/>
  <c r="G38" i="5"/>
  <c r="G89" i="5"/>
  <c r="G88" i="5"/>
  <c r="G90" i="5" s="1"/>
  <c r="G91" i="5" s="1"/>
  <c r="G92" i="5" s="1"/>
  <c r="B85" i="12"/>
  <c r="B112" i="12" s="1"/>
  <c r="B117" i="12" s="1"/>
  <c r="B111" i="12"/>
  <c r="C38" i="5"/>
  <c r="C42" i="5"/>
  <c r="K80" i="5"/>
  <c r="K86" i="5"/>
  <c r="F36" i="5"/>
  <c r="F34" i="5"/>
  <c r="B46" i="12"/>
  <c r="K38" i="5"/>
  <c r="K42" i="5"/>
  <c r="N44" i="5"/>
  <c r="N45" i="5"/>
  <c r="K76" i="5"/>
  <c r="F86" i="5"/>
  <c r="F80" i="5"/>
  <c r="M76" i="5"/>
  <c r="C34" i="5"/>
  <c r="C46" i="12"/>
  <c r="D58" i="2"/>
  <c r="D53" i="2"/>
  <c r="D60" i="2" s="1"/>
  <c r="E32" i="6"/>
  <c r="E31" i="6"/>
  <c r="F58" i="2"/>
  <c r="F53" i="2"/>
  <c r="H47" i="13"/>
  <c r="F49" i="13"/>
  <c r="H49" i="13"/>
  <c r="C6" i="14" s="1"/>
  <c r="N46" i="5" l="1"/>
  <c r="L45" i="5"/>
  <c r="L44" i="5"/>
  <c r="L46" i="5" s="1"/>
  <c r="N88" i="5"/>
  <c r="N89" i="5"/>
  <c r="L89" i="5"/>
  <c r="L88" i="5"/>
  <c r="L90" i="5" s="1"/>
  <c r="L91" i="5" s="1"/>
  <c r="L92" i="5" s="1"/>
  <c r="B42" i="5"/>
  <c r="B38" i="5"/>
  <c r="H45" i="5"/>
  <c r="H44" i="5"/>
  <c r="H46" i="5" s="1"/>
  <c r="B114" i="12"/>
  <c r="B116" i="12"/>
  <c r="B118" i="12" s="1"/>
  <c r="C4" i="14" s="1"/>
  <c r="C7" i="14"/>
  <c r="C11" i="14" s="1"/>
  <c r="C13" i="14" s="1"/>
  <c r="C14" i="14" s="1"/>
  <c r="C15" i="14" s="1"/>
  <c r="C45" i="5"/>
  <c r="C44" i="5"/>
  <c r="C46" i="5" s="1"/>
  <c r="F89" i="5"/>
  <c r="F88" i="5"/>
  <c r="F90" i="5" s="1"/>
  <c r="F91" i="5" s="1"/>
  <c r="F92" i="5" s="1"/>
  <c r="F42" i="5"/>
  <c r="F38" i="5"/>
  <c r="C90" i="5"/>
  <c r="C91" i="5" s="1"/>
  <c r="C92" i="5" s="1"/>
  <c r="E7" i="14"/>
  <c r="F60" i="2"/>
  <c r="F62" i="2" s="1"/>
  <c r="E53" i="2"/>
  <c r="E54" i="2" s="1"/>
  <c r="E55" i="2" s="1"/>
  <c r="H33" i="6"/>
  <c r="H34" i="6" s="1"/>
  <c r="D62" i="2"/>
  <c r="B44" i="5" l="1"/>
  <c r="B45" i="5"/>
  <c r="H60" i="2"/>
  <c r="E64" i="2" s="1"/>
  <c r="F45" i="5"/>
  <c r="F44" i="5"/>
  <c r="F46" i="5" s="1"/>
  <c r="E63" i="2"/>
  <c r="B65" i="2" s="1"/>
  <c r="N90" i="5"/>
  <c r="N91" i="5" s="1"/>
  <c r="N92" i="5" s="1"/>
  <c r="H38" i="6"/>
  <c r="H35" i="6"/>
  <c r="N3" i="17"/>
  <c r="N4" i="17" s="1"/>
  <c r="H9" i="14"/>
  <c r="C3" i="17"/>
  <c r="H8" i="14"/>
  <c r="H10" i="14"/>
  <c r="B46" i="5" l="1"/>
  <c r="C4" i="17"/>
  <c r="C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Daniele Palandri</author>
    <author>Gioacchino Ruggirello</author>
  </authors>
  <commentList>
    <comment ref="D4" authorId="0" shapeId="0" xr:uid="{B4BB1B8B-C2D8-4647-AE0B-E1DAF625432B}">
      <text>
        <r>
          <rPr>
            <b/>
            <sz val="9"/>
            <color rgb="FF000000"/>
            <rFont val="Tahoma"/>
            <family val="2"/>
          </rPr>
          <t xml:space="preserve">Corpi e inserti plancia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D5" authorId="0" shapeId="0" xr:uid="{5A701BF7-B3E4-4806-BC62-5D86729BA586}">
      <text>
        <r>
          <rPr>
            <b/>
            <sz val="9"/>
            <color indexed="81"/>
            <rFont val="Tahoma"/>
            <family val="2"/>
          </rPr>
          <t xml:space="preserve">Cupolotti
</t>
        </r>
      </text>
    </comment>
    <comment ref="Y5" authorId="0" shapeId="0" xr:uid="{20BD56F9-5F07-41B9-9799-22CC8B37DE45}">
      <text>
        <r>
          <rPr>
            <b/>
            <sz val="20"/>
            <color indexed="81"/>
            <rFont val="Tahoma"/>
            <family val="2"/>
          </rPr>
          <t>Disposizione di massima del magazzino MP (quote non aggiornate)</t>
        </r>
      </text>
    </comment>
    <comment ref="D6" authorId="0" shapeId="0" xr:uid="{E768711F-05F9-475D-8962-7AFD268C4282}">
      <text>
        <r>
          <rPr>
            <b/>
            <sz val="9"/>
            <color indexed="81"/>
            <rFont val="Tahoma"/>
            <family val="2"/>
          </rPr>
          <t>Centraline</t>
        </r>
      </text>
    </comment>
    <comment ref="D7" authorId="0" shapeId="0" xr:uid="{C89602AF-FBC5-4BC9-B8A8-3898D5053D6F}">
      <text>
        <r>
          <rPr>
            <b/>
            <sz val="9"/>
            <color rgb="FF000000"/>
            <rFont val="Tahoma"/>
            <family val="2"/>
          </rPr>
          <t xml:space="preserve">Corpi AB, Cornici AB, cavi elettrici
</t>
        </r>
      </text>
    </comment>
    <comment ref="F39" authorId="0" shapeId="0" xr:uid="{32124254-B07C-4400-85CC-0817E8FADF72}">
      <text>
        <r>
          <rPr>
            <b/>
            <sz val="9"/>
            <color rgb="FF000000"/>
            <rFont val="Tahoma"/>
            <family val="2"/>
          </rPr>
          <t xml:space="preserve">K=3 per distribuiti U/V =1,5
</t>
        </r>
      </text>
    </comment>
    <comment ref="E41" authorId="0" shapeId="0" xr:uid="{9D6BA0FD-7AFE-4E7A-AD8B-B39BAF24BD31}">
      <text>
        <r>
          <rPr>
            <b/>
            <sz val="9"/>
            <color rgb="FF000000"/>
            <rFont val="Tahoma"/>
            <family val="2"/>
          </rPr>
          <t xml:space="preserve">Lmb maggiore
</t>
        </r>
        <r>
          <rPr>
            <b/>
            <sz val="9"/>
            <color rgb="FF000000"/>
            <rFont val="Tahoma"/>
            <family val="2"/>
          </rPr>
          <t>tra i due</t>
        </r>
      </text>
    </comment>
    <comment ref="G41" authorId="1" shapeId="0" xr:uid="{B29A53B9-9FCB-4849-8775-994BE63F00C2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Possiamo uasare i metri in piu in PR1 per picking o scambio muletti</t>
        </r>
      </text>
    </comment>
    <comment ref="E44" authorId="1" shapeId="0" xr:uid="{04B29D54-2662-40FF-8527-74B09D2F0C21}">
      <text>
        <r>
          <rPr>
            <b/>
            <sz val="9"/>
            <color rgb="FF000000"/>
            <rFont val="Tahoma"/>
            <family val="2"/>
          </rPr>
          <t>Gioacchino Ruggirello: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aggiungiamo 6m per il corridoio centrale
</t>
        </r>
      </text>
    </comment>
    <comment ref="D51" authorId="1" shapeId="0" xr:uid="{3EA231B1-8338-4EC1-9F09-8CDC01202356}">
      <text>
        <r>
          <rPr>
            <b/>
            <sz val="9"/>
            <color rgb="FF000000"/>
            <rFont val="Tahoma"/>
            <family val="2"/>
          </rPr>
          <t>Gioacchino Ruggirello: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il +3 m è del corridoio
</t>
        </r>
      </text>
    </comment>
    <comment ref="E53" authorId="1" shapeId="0" xr:uid="{8757FF00-E5B9-40E8-8149-58B577D0A062}">
      <text>
        <r>
          <rPr>
            <b/>
            <sz val="9"/>
            <color rgb="FF000000"/>
            <rFont val="Tahoma"/>
            <family val="2"/>
          </rPr>
          <t>Gioacchino Ruggirello: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media ponderata dei tempi di attraversamento
</t>
        </r>
      </text>
    </comment>
    <comment ref="D58" authorId="1" shapeId="0" xr:uid="{F6F7D0FB-66CF-4BBF-B455-07BD47F9F5CC}">
      <text>
        <r>
          <rPr>
            <b/>
            <sz val="9"/>
            <color rgb="FF000000"/>
            <rFont val="Tahoma"/>
            <family val="2"/>
          </rPr>
          <t>Gioacchino Ruggirello: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il +3 m è del corridoio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ZANNOTTI NICOLA</author>
  </authors>
  <commentList>
    <comment ref="B36" authorId="0" shapeId="0" xr:uid="{627135DA-5FE5-4A47-941D-05F0D01A8085}">
      <text>
        <r>
          <rPr>
            <sz val="12"/>
            <color rgb="FF000000"/>
            <rFont val="Aptos Narrow"/>
            <family val="2"/>
          </rPr>
          <t xml:space="preserve">ZANNOTTI NICOLA:
</t>
        </r>
        <r>
          <rPr>
            <sz val="12"/>
            <color rgb="FF000000"/>
            <rFont val="Aptos Narrow"/>
            <family val="2"/>
          </rPr>
          <t xml:space="preserve">Corridoio centrale di 3m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ZANNOTTI NICOLA</author>
  </authors>
  <commentList>
    <comment ref="B36" authorId="0" shapeId="0" xr:uid="{68C93586-B274-4907-A6D3-83ED7DC883C7}">
      <text>
        <r>
          <rPr>
            <sz val="12"/>
            <color theme="1"/>
            <rFont val="Aptos Narrow"/>
            <family val="2"/>
            <scheme val="minor"/>
          </rPr>
          <t xml:space="preserve">ZANNOTTI NICOLA:
Corridoio centrale di 3m
</t>
        </r>
      </text>
    </comment>
    <comment ref="B127" authorId="0" shapeId="0" xr:uid="{DCAA01EF-8EF4-406C-ADE5-B926189B030A}">
      <text>
        <r>
          <rPr>
            <sz val="12"/>
            <color rgb="FF000000"/>
            <rFont val="Aptos Narrow"/>
            <family val="2"/>
          </rPr>
          <t xml:space="preserve">ZANNOTTI NICOLA:
</t>
        </r>
        <r>
          <rPr>
            <sz val="12"/>
            <color rgb="FF000000"/>
            <rFont val="Aptos Narrow"/>
            <family val="2"/>
          </rPr>
          <t xml:space="preserve">Corridoio centrale di 3m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tc={A4852BB6-FC76-4F46-939A-96820B7C0891}</author>
    <author>Alessio Palmisano</author>
    <author>Daniele Palandri</author>
    <author>tc={2631D2E1-C4D8-4141-9051-664D48D18BD9}</author>
  </authors>
  <commentList>
    <comment ref="N5" authorId="0" shapeId="0" xr:uid="{A4852BB6-FC76-4F46-939A-96820B7C0891}">
      <text>
        <t>[Threaded comment]
Your version of Excel allows you to read this threaded comment; however, any edits to it will get removed if the file is opened in a newer version of Excel. Learn more: https://go.microsoft.com/fwlink/?linkid=870924
Comment:
    Sia a carico che a vuoto</t>
      </text>
    </comment>
    <comment ref="C6" authorId="1" shapeId="0" xr:uid="{BFA5625B-AD3F-4950-93F8-62E2A5E70AB4}">
      <text>
        <r>
          <rPr>
            <b/>
            <sz val="9"/>
            <color indexed="81"/>
            <rFont val="Tahoma"/>
            <family val="2"/>
          </rPr>
          <t>Alessio Palmisano:</t>
        </r>
        <r>
          <rPr>
            <sz val="9"/>
            <color indexed="81"/>
            <rFont val="Tahoma"/>
            <family val="2"/>
          </rPr>
          <t xml:space="preserve">
Corsie strette / drive through</t>
        </r>
      </text>
    </comment>
    <comment ref="L9" authorId="2" shapeId="0" xr:uid="{B9BB9F0E-90FD-4089-AF2C-FECB1A20AFD5}">
      <text>
        <r>
          <rPr>
            <b/>
            <sz val="9"/>
            <color indexed="81"/>
            <rFont val="Tahoma"/>
            <family val="2"/>
          </rPr>
          <t>Valore intermedio tra 210, 300, 420</t>
        </r>
      </text>
    </comment>
    <comment ref="L32" authorId="3" shapeId="0" xr:uid="{2631D2E1-C4D8-4141-9051-664D48D18BD9}">
      <text>
        <t>[Threaded comment]
Your version of Excel allows you to read this threaded comment; however, any edits to it will get removed if the file is opened in a newer version of Excel. Learn more: https://go.microsoft.com/fwlink/?linkid=870924
Comment:
    Sia a carico che a vuoto</t>
      </text>
    </comment>
    <comment ref="C33" authorId="1" shapeId="0" xr:uid="{E985BC61-51DD-4564-84B7-550D12801F2B}">
      <text>
        <r>
          <rPr>
            <b/>
            <sz val="9"/>
            <color indexed="81"/>
            <rFont val="Tahoma"/>
            <family val="2"/>
          </rPr>
          <t>Alessio Palmisano:</t>
        </r>
        <r>
          <rPr>
            <sz val="9"/>
            <color indexed="81"/>
            <rFont val="Tahoma"/>
            <family val="2"/>
          </rPr>
          <t xml:space="preserve">
Trilaterale</t>
        </r>
      </text>
    </comment>
    <comment ref="C65" authorId="1" shapeId="0" xr:uid="{2A7BBF22-9CC9-48F4-A507-70EC36A67709}">
      <text>
        <r>
          <rPr>
            <b/>
            <sz val="9"/>
            <color indexed="81"/>
            <rFont val="Tahoma"/>
            <family val="2"/>
          </rPr>
          <t>Alessio Palmisano:</t>
        </r>
        <r>
          <rPr>
            <sz val="9"/>
            <color indexed="81"/>
            <rFont val="Tahoma"/>
            <family val="2"/>
          </rPr>
          <t xml:space="preserve">
Trilaterale</t>
        </r>
      </text>
    </comment>
    <comment ref="C71" authorId="1" shapeId="0" xr:uid="{652BA104-D30D-40B1-80DB-8938795988A9}">
      <text>
        <r>
          <rPr>
            <b/>
            <sz val="9"/>
            <color indexed="81"/>
            <rFont val="Tahoma"/>
            <family val="2"/>
          </rPr>
          <t>Alessio Palmisano:</t>
        </r>
        <r>
          <rPr>
            <sz val="9"/>
            <color indexed="81"/>
            <rFont val="Tahoma"/>
            <family val="2"/>
          </rPr>
          <t xml:space="preserve">
Trilaterale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ZANNOTTI NICOLA</author>
    <author>Daniele Palandri</author>
    <author>tc={A2A69826-8E22-4918-9709-363883DF3971}</author>
    <author>tc={87B2E08A-0104-44DF-AAE4-FE53A070023B}</author>
    <author>Alessio Palmisano</author>
  </authors>
  <commentList>
    <comment ref="B2" authorId="0" shapeId="0" xr:uid="{0BEE00F6-3BF0-4780-BBC6-A2780483E3EA}">
      <text>
        <r>
          <rPr>
            <sz val="12"/>
            <color theme="1"/>
            <rFont val="Aptos Narrow"/>
            <family val="2"/>
            <scheme val="minor"/>
          </rPr>
          <t xml:space="preserve">ZANNOTTI NICOLA:
Consegne ogni 3 giorni
</t>
        </r>
      </text>
    </comment>
    <comment ref="P33" authorId="1" shapeId="0" xr:uid="{47424F03-6A5F-4341-A712-4185E002C77C}">
      <text>
        <r>
          <rPr>
            <b/>
            <sz val="10"/>
            <color rgb="FF000000"/>
            <rFont val="Tahoma"/>
            <family val="2"/>
          </rPr>
          <t>Una giornata di lavoro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G36" authorId="2" shapeId="0" xr:uid="{A2A69826-8E22-4918-9709-363883DF3971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Calcolate a mano</t>
      </text>
    </comment>
    <comment ref="H36" authorId="3" shapeId="0" xr:uid="{87B2E08A-0104-44DF-AAE4-FE53A070023B}">
      <text>
        <t>[Threaded comment]
Your version of Excel allows you to read this threaded comment; however, any edits to it will get removed if the file is opened in a newer version of Excel. Learn more: https://go.microsoft.com/fwlink/?linkid=870924
Comment:
    Siamo molto sovrappeso
Reply:
    Se fosse trasportato tutto in un camion (66 UDC a camion), avremmo un peso max di  63360 kg (TROPPO ALTO), quindi dimezzo il numero di UDC per cambion</t>
      </text>
    </comment>
    <comment ref="N36" authorId="1" shapeId="0" xr:uid="{22B3E222-3D8E-6544-B54E-EB972A0CFDB7}">
      <text>
        <r>
          <rPr>
            <b/>
            <sz val="10"/>
            <color rgb="FF000000"/>
            <rFont val="Tahoma"/>
            <family val="2"/>
          </rPr>
          <t>Numero calcolato teoricamente +1 di sicurezza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C45" authorId="1" shapeId="0" xr:uid="{17848A41-6288-4585-8829-AC3A33D4B55B}">
      <text>
        <r>
          <rPr>
            <b/>
            <sz val="9"/>
            <color indexed="81"/>
            <rFont val="Tahoma"/>
            <family val="2"/>
          </rPr>
          <t xml:space="preserve">Destinate a cupolotti e inserti plancia
</t>
        </r>
      </text>
    </comment>
    <comment ref="H45" authorId="4" shapeId="0" xr:uid="{62EB0919-B5E4-4CC9-9CA8-A03096DB2B89}">
      <text>
        <r>
          <rPr>
            <b/>
            <sz val="9"/>
            <color rgb="FF000000"/>
            <rFont val="Tahoma"/>
            <family val="2"/>
          </rPr>
          <t>Alessio Palmisano: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Corridoi inclusi + arrotondamento (un corridoio ogni 2 file)
</t>
        </r>
      </text>
    </comment>
    <comment ref="J45" authorId="1" shapeId="0" xr:uid="{4C5BCAD8-95E4-5143-B7D8-1C8E3F5A386C}">
      <text>
        <r>
          <rPr>
            <b/>
            <sz val="10"/>
            <color rgb="FF000000"/>
            <rFont val="Tahoma"/>
            <family val="2"/>
          </rPr>
          <t>Dimensionata sulla base di 108 UdC di inserti plancia [dimensione massima possibile di quest'area]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C46" authorId="1" shapeId="0" xr:uid="{8AC17969-2466-4D60-BEFE-25DE66883EA5}">
      <text>
        <r>
          <rPr>
            <b/>
            <sz val="9"/>
            <color indexed="81"/>
            <rFont val="Tahoma"/>
            <family val="2"/>
          </rPr>
          <t xml:space="preserve">Destinate a una delle due odette in sovrapposizione ai saldati
</t>
        </r>
      </text>
    </comment>
    <comment ref="J46" authorId="1" shapeId="0" xr:uid="{B9964CE0-6782-3F4B-84BD-2E09B4646018}">
      <text>
        <r>
          <rPr>
            <sz val="10"/>
            <color rgb="FF000000"/>
            <rFont val="Tahoma"/>
            <family val="2"/>
          </rPr>
          <t>Basata su Pallet di ODETTE</t>
        </r>
      </text>
    </comment>
    <comment ref="C47" authorId="1" shapeId="0" xr:uid="{A833388A-BAC4-49F6-8E45-A3148727857B}">
      <text>
        <r>
          <rPr>
            <b/>
            <sz val="9"/>
            <color indexed="81"/>
            <rFont val="Tahoma"/>
            <family val="2"/>
          </rPr>
          <t xml:space="preserve">Destinate ai corpi plancia
</t>
        </r>
      </text>
    </comment>
    <comment ref="J47" authorId="1" shapeId="0" xr:uid="{46EADD6B-57A1-451A-8AF3-036986D2B4D1}">
      <text>
        <r>
          <rPr>
            <b/>
            <sz val="9"/>
            <color indexed="81"/>
            <rFont val="Tahoma"/>
            <family val="2"/>
          </rPr>
          <t xml:space="preserve">Basato su corpi plancia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Gioacchino Ruggirello</author>
  </authors>
  <commentList>
    <comment ref="M7" authorId="0" shapeId="0" xr:uid="{F0A986C9-F9E2-4555-80C9-48514A9735D0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lasciamo un 5% di spazio ai lati del pallet
</t>
        </r>
      </text>
    </comment>
    <comment ref="AB39" authorId="0" shapeId="0" xr:uid="{F7632D2C-70FD-4010-8045-532FA36EFBF2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Tempo in cui saturo la linea
</t>
        </r>
      </text>
    </comment>
    <comment ref="AC39" authorId="0" shapeId="0" xr:uid="{6A6E3F3E-1AFC-4334-9551-FA10DC83C0E3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Tempo per fare i kit
(i tempi sono accavallati)</t>
        </r>
      </text>
    </comment>
    <comment ref="AA40" authorId="0" shapeId="0" xr:uid="{BCC70CF1-473F-4E46-94B9-D043B7C7A7B8}">
      <text>
        <r>
          <rPr>
            <b/>
            <sz val="9"/>
            <color rgb="FF000000"/>
            <rFont val="Tahoma"/>
            <family val="2"/>
          </rPr>
          <t>Gioacchino Ruggirello: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16 sono i kit
</t>
        </r>
        <r>
          <rPr>
            <sz val="9"/>
            <color rgb="FF000000"/>
            <rFont val="Tahoma"/>
            <family val="2"/>
          </rPr>
          <t>4 sono i carrelli</t>
        </r>
      </text>
    </comment>
    <comment ref="AA42" authorId="0" shapeId="0" xr:uid="{7C3EB6D7-C62D-4B49-91FD-FC17C5FAFD5B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Sono 38 B e  26 D
</t>
        </r>
      </text>
    </comment>
    <comment ref="AE43" authorId="0" shapeId="0" xr:uid="{30CD528B-D1B1-4B0F-BAD2-B82A135598E7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persone che guida+persona che dispone i kit</t>
        </r>
      </text>
    </comment>
    <comment ref="G54" authorId="0" shapeId="0" xr:uid="{4653E940-C875-481F-8E3F-AE77CF53DC1E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  <comment ref="K54" authorId="0" shapeId="0" xr:uid="{0AFD518A-9E70-456C-9FD4-6DF26503A996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  <comment ref="O54" authorId="0" shapeId="0" xr:uid="{2BA8535B-E7EC-4D8D-B9EB-EE42F910B832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  <comment ref="S54" authorId="0" shapeId="0" xr:uid="{4417DCBE-56C2-41C3-A12D-EEF72313A505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  <comment ref="W54" authorId="0" shapeId="0" xr:uid="{C1068395-A4AA-4717-9A31-63793B513568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  <comment ref="AA54" authorId="0" shapeId="0" xr:uid="{8ACC2415-6760-4062-8AC3-6CB579CE78A7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  <comment ref="AE54" authorId="0" shapeId="0" xr:uid="{AE850027-D062-4FAC-90D0-330C6F5B7F6C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ricarico il pullet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Daniele Palandri</author>
  </authors>
  <commentList>
    <comment ref="E7" authorId="0" shapeId="0" xr:uid="{D8138ADC-00E4-9342-AFB7-B0C49295B5ED}">
      <text>
        <r>
          <rPr>
            <b/>
            <sz val="9"/>
            <color indexed="81"/>
            <rFont val="Tahoma"/>
            <family val="2"/>
          </rPr>
          <t>Tenendo conto di un coefficiente correttivo legato alla durata della batteria</t>
        </r>
      </text>
    </comment>
    <comment ref="E8" authorId="0" shapeId="0" xr:uid="{3B624918-F563-487F-8EC1-50FA9C2E7707}">
      <text>
        <r>
          <rPr>
            <b/>
            <sz val="9"/>
            <color indexed="81"/>
            <rFont val="Tahoma"/>
            <family val="2"/>
          </rPr>
          <t>Tenendo conto di un coefficiente correttivo legato alla durata della batteria</t>
        </r>
      </text>
    </comment>
    <comment ref="C12" authorId="0" shapeId="0" xr:uid="{54BAAB1A-F751-4E35-AEF5-107FA61A6EE4}">
      <text>
        <r>
          <rPr>
            <b/>
            <sz val="9"/>
            <color indexed="81"/>
            <rFont val="Tahoma"/>
            <family val="2"/>
          </rPr>
          <t xml:space="preserve">2*(#post ass +#post sald + #pallettizzatori)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Gioacchino Ruggirello</author>
  </authors>
  <commentList>
    <comment ref="J34" authorId="0" shapeId="0" xr:uid="{3B9A401D-55A8-4371-B75F-F0AD36AE6B2A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da tabella
</t>
        </r>
      </text>
    </comment>
    <comment ref="E51" authorId="0" shapeId="0" xr:uid="{D77BAF49-7896-4404-966C-3A0802E05250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da tabella
</t>
        </r>
      </text>
    </comment>
    <comment ref="L51" authorId="0" shapeId="0" xr:uid="{4E9D467B-FBBC-41FF-BDEC-FD4484B0784B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lo considero rigido
</t>
        </r>
      </text>
    </comment>
    <comment ref="L52" authorId="0" shapeId="0" xr:uid="{3A945A4A-61BD-48B9-9A47-379796310BE2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chiedere sse va considerato al compressore la perdita dell'altezza
</t>
        </r>
      </text>
    </comment>
    <comment ref="K53" authorId="0" shapeId="0" xr:uid="{FDB5EECB-6C16-4513-AAAC-8FF775AE2E84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chiedere al prof se la riduzione va valutata e chiedere che tabella usare perchè il valore non c'è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Gioacchino Ruggirello</author>
  </authors>
  <commentList>
    <comment ref="M34" authorId="0" shapeId="0" xr:uid="{DD308984-2839-494A-919D-D925CEE893D1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da tabella
</t>
        </r>
      </text>
    </comment>
    <comment ref="AA34" authorId="0" shapeId="0" xr:uid="{C31F415A-2886-0B4F-B2B9-A4632B9ED73C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da tabella
</t>
        </r>
      </text>
    </comment>
    <comment ref="E61" authorId="0" shapeId="0" xr:uid="{394C2D77-2053-5E40-89B1-B4398A8EC5A8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da tabella
</t>
        </r>
      </text>
    </comment>
    <comment ref="W61" authorId="0" shapeId="0" xr:uid="{923E880B-B146-8349-A827-329B486FD98A}">
      <text>
        <r>
          <rPr>
            <b/>
            <sz val="9"/>
            <color indexed="81"/>
            <rFont val="Tahoma"/>
            <family val="2"/>
          </rPr>
          <t>Gioacchino Ruggirello:</t>
        </r>
        <r>
          <rPr>
            <sz val="9"/>
            <color indexed="81"/>
            <rFont val="Tahoma"/>
            <family val="2"/>
          </rPr>
          <t xml:space="preserve">
da tabella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tc={77061D42-407B-4630-8E41-B887B45C0B48}</author>
    <author>Daniele Palandri</author>
    <author>tc={E1745FC7-41E4-432F-B5F4-24FBA6A9B735}</author>
  </authors>
  <commentList>
    <comment ref="D2" authorId="0" shapeId="0" xr:uid="{77061D42-407B-4630-8E41-B887B45C0B48}">
      <text>
        <t>[Threaded comment]
Your version of Excel allows you to read this threaded comment; however, any edits to it will get removed if the file is opened in a newer version of Excel. Learn more: https://go.microsoft.com/fwlink/?linkid=870924
Comment:
    GIA’ CAMBIATO</t>
      </text>
    </comment>
    <comment ref="G2" authorId="1" shapeId="0" xr:uid="{7CA0B576-C57A-4EAA-8860-F0FBD81B813A}">
      <text>
        <r>
          <rPr>
            <b/>
            <sz val="10"/>
            <color rgb="FF000000"/>
            <rFont val="Tahoma"/>
            <family val="2"/>
          </rPr>
          <t>Daniele Palandri: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Si può cambiare per migliorare l'OEE complessivo
</t>
        </r>
      </text>
    </comment>
    <comment ref="S18" authorId="2" shapeId="0" xr:uid="{E1745FC7-41E4-432F-B5F4-24FBA6A9B735}">
      <text>
        <t>[Threaded comment]
Your version of Excel allows you to read this threaded comment; however, any edits to it will get removed if the file is opened in a newer version of Excel. Learn more: https://go.microsoft.com/fwlink/?linkid=870924
Comment:
    DA DIVIDERE ANCHE PER M17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Daniele Palandri</author>
  </authors>
  <commentList>
    <comment ref="R8" authorId="0" shapeId="0" xr:uid="{8D38D689-AFF3-43E9-A517-1FDF730684FB}">
      <text>
        <r>
          <rPr>
            <b/>
            <sz val="9"/>
            <color indexed="81"/>
            <rFont val="Tahoma"/>
            <family val="2"/>
          </rPr>
          <t xml:space="preserve">Peso di B x costante K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<sst xmlns="http://schemas.openxmlformats.org/spreadsheetml/2006/main" count="2191" uniqueCount="940">
  <si>
    <t>GG LAVORO/MESE</t>
  </si>
  <si>
    <t>%S.S.</t>
  </si>
  <si>
    <r>
      <t xml:space="preserve">FABBISOGNI MENSILI
</t>
    </r>
    <r>
      <rPr>
        <sz val="12"/>
        <color theme="1"/>
        <rFont val="Aptos Narrow"/>
        <family val="2"/>
        <scheme val="minor"/>
      </rPr>
      <t>(UDC MOVIMENTATE IN UN MESE)</t>
    </r>
  </si>
  <si>
    <r>
      <t xml:space="preserve">CAPACITA' MAGAZZINI E BUFFER
</t>
    </r>
    <r>
      <rPr>
        <sz val="12"/>
        <color theme="1"/>
        <rFont val="Aptos Narrow"/>
        <family val="2"/>
        <scheme val="minor"/>
      </rPr>
      <t>(Q.TA' MAX PER IL DIMENSIONAMENTO)</t>
    </r>
  </si>
  <si>
    <t>CODICE</t>
  </si>
  <si>
    <t>DESCRIZIONE</t>
  </si>
  <si>
    <t>TIPO PLANCIA</t>
  </si>
  <si>
    <t>TOTALE</t>
  </si>
  <si>
    <t>TIPO
UDC</t>
  </si>
  <si>
    <t>DIM 
UDC</t>
  </si>
  <si>
    <t>PZ/UDC</t>
  </si>
  <si>
    <t>NUM.
UDC</t>
  </si>
  <si>
    <t>IMPILABILITA'</t>
  </si>
  <si>
    <t xml:space="preserve">LOTTO </t>
  </si>
  <si>
    <t>UDC/LOTTO</t>
  </si>
  <si>
    <t>SS</t>
  </si>
  <si>
    <t>Giac. Media</t>
  </si>
  <si>
    <t>GG cop</t>
  </si>
  <si>
    <t>Ir</t>
  </si>
  <si>
    <t>TIPO UDC</t>
  </si>
  <si>
    <t>Ir ord</t>
  </si>
  <si>
    <t>Percentuale</t>
  </si>
  <si>
    <t>Cumulata</t>
  </si>
  <si>
    <t>Classi</t>
  </si>
  <si>
    <t>CODICI ORDINATI (IR)</t>
  </si>
  <si>
    <t>GIACENZA MEDIA</t>
  </si>
  <si>
    <t>GIACENZA M. ORD.</t>
  </si>
  <si>
    <t>percentuale</t>
  </si>
  <si>
    <t>cumulata</t>
  </si>
  <si>
    <t>CODICI ORDINATI (GM)</t>
  </si>
  <si>
    <t>A1</t>
  </si>
  <si>
    <t>B</t>
  </si>
  <si>
    <t>A2</t>
  </si>
  <si>
    <t>D</t>
  </si>
  <si>
    <t>ARTICOLI A MAGAZZINO MATERIE PRIME</t>
  </si>
  <si>
    <t>a</t>
  </si>
  <si>
    <t>m</t>
  </si>
  <si>
    <t>A</t>
  </si>
  <si>
    <t>j</t>
  </si>
  <si>
    <t>b</t>
  </si>
  <si>
    <t>o</t>
  </si>
  <si>
    <t>k</t>
  </si>
  <si>
    <t>c</t>
  </si>
  <si>
    <t>p</t>
  </si>
  <si>
    <t>i</t>
  </si>
  <si>
    <t>d</t>
  </si>
  <si>
    <t>EST_STAMP_005</t>
  </si>
  <si>
    <t>CORPO PLANCIA A2</t>
  </si>
  <si>
    <t>PED+SCA</t>
  </si>
  <si>
    <t>1400x800x600</t>
  </si>
  <si>
    <t>e</t>
  </si>
  <si>
    <t>EST_STAMP_006</t>
  </si>
  <si>
    <t>CORPO PLANCIA D</t>
  </si>
  <si>
    <t>f</t>
  </si>
  <si>
    <t>EST_STAMP_007</t>
  </si>
  <si>
    <t>INSERTO PLANCIA A2</t>
  </si>
  <si>
    <t>g</t>
  </si>
  <si>
    <t>l</t>
  </si>
  <si>
    <t>EST_STAMP_008</t>
  </si>
  <si>
    <t>INSERTO PLANCIA D</t>
  </si>
  <si>
    <t>h</t>
  </si>
  <si>
    <t>n</t>
  </si>
  <si>
    <t>EST_ELETTR_002</t>
  </si>
  <si>
    <t>CENTRALINA ELETTRONICA A2</t>
  </si>
  <si>
    <t>ODETTE</t>
  </si>
  <si>
    <t>600x400x320</t>
  </si>
  <si>
    <t>C</t>
  </si>
  <si>
    <t>EST_ELETTR_004</t>
  </si>
  <si>
    <t>CENTRALINA ELETTRONICA D</t>
  </si>
  <si>
    <t>somma</t>
  </si>
  <si>
    <t>ARTICOLI A MAGAZZINO PF</t>
  </si>
  <si>
    <t>count</t>
  </si>
  <si>
    <t>INT_ASS_003</t>
  </si>
  <si>
    <t>PLANCIA SEGMENTO A2</t>
  </si>
  <si>
    <t>1800x800x800</t>
  </si>
  <si>
    <t>INT_ASS_004</t>
  </si>
  <si>
    <t>PLANCIA SEGMENTO D</t>
  </si>
  <si>
    <t>CODICI NEL BUFFER SEMILAVORATI</t>
  </si>
  <si>
    <t>INT_SAL_003</t>
  </si>
  <si>
    <t>(CORPO + INSERTO) PLANCIA SEGMENTO A2</t>
  </si>
  <si>
    <t>SPEC</t>
  </si>
  <si>
    <t>1600x800x600</t>
  </si>
  <si>
    <t>INT_SAL_004</t>
  </si>
  <si>
    <t>(CORPO + INSERTO) PLANCIA SEGMENTO D</t>
  </si>
  <si>
    <t>FREQUENZE DI RIFORN. E SS DEI MATER. A MAG. MP</t>
  </si>
  <si>
    <t>INTERVALLO
RIORDINO
[G]</t>
  </si>
  <si>
    <t>SCORTA
SICUREZZA
[G]</t>
  </si>
  <si>
    <t>COMP.STAMP. PLANCIA</t>
  </si>
  <si>
    <t>COMPONENTI SICUREZZA</t>
  </si>
  <si>
    <t>IMPIANTO ELETTRICO</t>
  </si>
  <si>
    <t>BULLONERIA</t>
  </si>
  <si>
    <t>Magazzino MP</t>
  </si>
  <si>
    <t>Base</t>
  </si>
  <si>
    <t>Profondità</t>
  </si>
  <si>
    <t>Altezza</t>
  </si>
  <si>
    <t>[mm]</t>
  </si>
  <si>
    <t>Dati :</t>
  </si>
  <si>
    <t>Dimensione unità di carico:</t>
  </si>
  <si>
    <t>1)</t>
  </si>
  <si>
    <t>DRIVE-THROUGH:</t>
  </si>
  <si>
    <t>2)</t>
  </si>
  <si>
    <r>
      <t>A</t>
    </r>
    <r>
      <rPr>
        <vertAlign val="subscript"/>
        <sz val="12"/>
        <color theme="1"/>
        <rFont val="Aptos Narrow"/>
        <family val="2"/>
        <scheme val="minor"/>
      </rPr>
      <t>vano DT</t>
    </r>
    <r>
      <rPr>
        <sz val="12"/>
        <color theme="1"/>
        <rFont val="Aptos Narrow"/>
        <family val="2"/>
        <scheme val="minor"/>
      </rPr>
      <t xml:space="preserve"> [m</t>
    </r>
    <r>
      <rPr>
        <vertAlign val="super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] </t>
    </r>
  </si>
  <si>
    <t>Dimens righe</t>
  </si>
  <si>
    <t>3)</t>
  </si>
  <si>
    <r>
      <t>N</t>
    </r>
    <r>
      <rPr>
        <vertAlign val="subscript"/>
        <sz val="12"/>
        <color theme="1"/>
        <rFont val="Aptos Narrow"/>
        <family val="2"/>
        <scheme val="minor"/>
      </rPr>
      <t>livelli DT</t>
    </r>
  </si>
  <si>
    <t>4)</t>
  </si>
  <si>
    <r>
      <t>N</t>
    </r>
    <r>
      <rPr>
        <vertAlign val="subscript"/>
        <sz val="12"/>
        <color theme="1"/>
        <rFont val="Aptos Narrow"/>
        <family val="2"/>
        <scheme val="minor"/>
      </rPr>
      <t>livelli BF</t>
    </r>
  </si>
  <si>
    <t>CODICE PRODOTTO</t>
  </si>
  <si>
    <t>UdC richieste</t>
  </si>
  <si>
    <r>
      <t>N</t>
    </r>
    <r>
      <rPr>
        <b/>
        <vertAlign val="subscript"/>
        <sz val="12"/>
        <color theme="1"/>
        <rFont val="Aptos Narrow"/>
        <family val="2"/>
        <scheme val="minor"/>
      </rPr>
      <t>colonne</t>
    </r>
    <r>
      <rPr>
        <b/>
        <sz val="12"/>
        <color theme="1"/>
        <rFont val="Aptos Narrow"/>
        <family val="2"/>
        <scheme val="minor"/>
      </rPr>
      <t>/codice</t>
    </r>
  </si>
  <si>
    <r>
      <t>N</t>
    </r>
    <r>
      <rPr>
        <b/>
        <vertAlign val="subscript"/>
        <sz val="12"/>
        <color theme="1"/>
        <rFont val="Aptos Narrow"/>
        <family val="2"/>
        <scheme val="minor"/>
      </rPr>
      <t>righe</t>
    </r>
  </si>
  <si>
    <t>Sat%</t>
  </si>
  <si>
    <t>SEZIONE DRIVE-THROUGH</t>
  </si>
  <si>
    <t>Dim righe [m]</t>
  </si>
  <si>
    <t>Dimensione vano:</t>
  </si>
  <si>
    <t>CORPO PLANCIA A1</t>
  </si>
  <si>
    <t>Righe TOT [m]</t>
  </si>
  <si>
    <t>CORPO PLANCIA B</t>
  </si>
  <si>
    <t>INSERTO PLANCIA A1</t>
  </si>
  <si>
    <t>INSERTO PLANCIA B</t>
  </si>
  <si>
    <t>Tempi fissi:</t>
  </si>
  <si>
    <t>s</t>
  </si>
  <si>
    <t>Coefficiente di sicurezza K:</t>
  </si>
  <si>
    <t>Potenzialità Ricettiva 2 (PR2):</t>
  </si>
  <si>
    <t>udc</t>
  </si>
  <si>
    <t>CUPOLOTTO</t>
  </si>
  <si>
    <t>Potenzialità Ricettiva 1 (PR1):</t>
  </si>
  <si>
    <t>Righe TOT</t>
  </si>
  <si>
    <t>ODETTE - CATASTA</t>
  </si>
  <si>
    <t>Potenzialità di movimentazione1 (PM1):</t>
  </si>
  <si>
    <r>
      <t>m</t>
    </r>
    <r>
      <rPr>
        <b/>
        <vertAlign val="superscript"/>
        <sz val="12"/>
        <color theme="1"/>
        <rFont val="Aptos Narrow"/>
        <family val="2"/>
        <scheme val="minor"/>
      </rPr>
      <t xml:space="preserve">2 </t>
    </r>
    <r>
      <rPr>
        <b/>
        <sz val="12"/>
        <color theme="1"/>
        <rFont val="Aptos Narrow"/>
        <family val="2"/>
        <scheme val="minor"/>
      </rPr>
      <t>occupati</t>
    </r>
  </si>
  <si>
    <t>DIMENSIONI EFFETTIVE</t>
  </si>
  <si>
    <t>Potenzialità di movimentazione2 (PM2):</t>
  </si>
  <si>
    <t>CORPO AIR BAG</t>
  </si>
  <si>
    <r>
      <t>U</t>
    </r>
    <r>
      <rPr>
        <vertAlign val="subscript"/>
        <sz val="12"/>
        <color theme="1"/>
        <rFont val="Aptos Narrow"/>
        <family val="2"/>
        <scheme val="minor"/>
      </rPr>
      <t>eff</t>
    </r>
  </si>
  <si>
    <t>CORNICE AIR BAG</t>
  </si>
  <si>
    <r>
      <t>V</t>
    </r>
    <r>
      <rPr>
        <vertAlign val="subscript"/>
        <sz val="12"/>
        <color theme="1"/>
        <rFont val="Aptos Narrow"/>
        <family val="2"/>
        <scheme val="minor"/>
      </rPr>
      <t>eff</t>
    </r>
  </si>
  <si>
    <t>Disposizione:</t>
  </si>
  <si>
    <t>Haircomb</t>
  </si>
  <si>
    <t>CENTRALINA ELETTRONICA A1</t>
  </si>
  <si>
    <r>
      <t>Area</t>
    </r>
    <r>
      <rPr>
        <vertAlign val="subscript"/>
        <sz val="12"/>
        <color theme="1"/>
        <rFont val="Aptos Narrow"/>
        <family val="2"/>
        <scheme val="minor"/>
      </rPr>
      <t>eff</t>
    </r>
  </si>
  <si>
    <t>Larghezza Corridoio :</t>
  </si>
  <si>
    <t>CENTRALINA ELETTRONICA B</t>
  </si>
  <si>
    <t>DIMENSIONAMENTO DINAMICO IN</t>
  </si>
  <si>
    <t>DIMENSIONAMENTO DINAMICO OUT</t>
  </si>
  <si>
    <t>CAVO ELETTRICO COMPLETO</t>
  </si>
  <si>
    <t>Drive-Through</t>
  </si>
  <si>
    <t>Bifrontale</t>
  </si>
  <si>
    <r>
      <t>m</t>
    </r>
    <r>
      <rPr>
        <b/>
        <vertAlign val="superscript"/>
        <sz val="12"/>
        <color theme="1"/>
        <rFont val="Aptos Narrow"/>
        <family val="2"/>
        <scheme val="minor"/>
      </rPr>
      <t xml:space="preserve">2 </t>
    </r>
    <r>
      <rPr>
        <b/>
        <sz val="12"/>
        <color theme="1"/>
        <rFont val="Aptos Narrow"/>
        <family val="2"/>
        <scheme val="minor"/>
      </rPr>
      <t>TOT</t>
    </r>
  </si>
  <si>
    <t xml:space="preserve">L </t>
  </si>
  <si>
    <t>BIFRONTALE:</t>
  </si>
  <si>
    <t xml:space="preserve">H </t>
  </si>
  <si>
    <t>ODETTE/CUPOLOTTI</t>
  </si>
  <si>
    <t xml:space="preserve">SALDATI </t>
  </si>
  <si>
    <t>ODETTE - BIFRONTALE</t>
  </si>
  <si>
    <r>
      <t>T</t>
    </r>
    <r>
      <rPr>
        <vertAlign val="subscript"/>
        <sz val="12"/>
        <color theme="1"/>
        <rFont val="Aptos Narrow"/>
        <family val="2"/>
        <scheme val="minor"/>
      </rPr>
      <t>in</t>
    </r>
  </si>
  <si>
    <t>T_medio</t>
  </si>
  <si>
    <r>
      <t>T</t>
    </r>
    <r>
      <rPr>
        <vertAlign val="subscript"/>
        <sz val="12"/>
        <color theme="1"/>
        <rFont val="Aptos Narrow"/>
        <family val="2"/>
        <scheme val="minor"/>
      </rPr>
      <t>out</t>
    </r>
  </si>
  <si>
    <t>Modulo base:</t>
  </si>
  <si>
    <r>
      <t>PM</t>
    </r>
    <r>
      <rPr>
        <vertAlign val="subscript"/>
        <sz val="12"/>
        <color theme="1"/>
        <rFont val="Aptos Narrow"/>
        <family val="2"/>
        <scheme val="minor"/>
      </rPr>
      <t>rich</t>
    </r>
  </si>
  <si>
    <r>
      <t>A</t>
    </r>
    <r>
      <rPr>
        <vertAlign val="subscript"/>
        <sz val="12"/>
        <color theme="1"/>
        <rFont val="Aptos Narrow"/>
        <family val="2"/>
        <scheme val="minor"/>
      </rPr>
      <t>mb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</si>
  <si>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carr th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</si>
  <si>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livelli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</si>
  <si>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UDC</t>
    </r>
    <r>
      <rPr>
        <sz val="12"/>
        <color theme="1"/>
        <rFont val="Aptos Narrow"/>
        <family val="2"/>
        <scheme val="minor"/>
      </rPr>
      <t>/MB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</si>
  <si>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carrelli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</si>
  <si>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MB</t>
    </r>
  </si>
  <si>
    <r>
      <t>PM</t>
    </r>
    <r>
      <rPr>
        <vertAlign val="subscript"/>
        <sz val="12"/>
        <color theme="1"/>
        <rFont val="Aptos Narrow"/>
        <family val="2"/>
        <scheme val="minor"/>
      </rPr>
      <t>eff</t>
    </r>
  </si>
  <si>
    <r>
      <t>Impronta</t>
    </r>
    <r>
      <rPr>
        <vertAlign val="subscript"/>
        <sz val="12"/>
        <color theme="1"/>
        <rFont val="Aptos Narrow"/>
        <family val="2"/>
        <scheme val="minor"/>
      </rPr>
      <t>th</t>
    </r>
  </si>
  <si>
    <t>L complessiva</t>
  </si>
  <si>
    <r>
      <t>N</t>
    </r>
    <r>
      <rPr>
        <vertAlign val="subscript"/>
        <sz val="12"/>
        <color theme="1"/>
        <rFont val="Aptos Narrow"/>
        <family val="2"/>
        <scheme val="minor"/>
      </rPr>
      <t>vani</t>
    </r>
  </si>
  <si>
    <t>Area complessiva</t>
  </si>
  <si>
    <r>
      <t>U</t>
    </r>
    <r>
      <rPr>
        <vertAlign val="subscript"/>
        <sz val="12"/>
        <color theme="1"/>
        <rFont val="Aptos Narrow"/>
        <family val="2"/>
        <scheme val="minor"/>
      </rPr>
      <t>id</t>
    </r>
  </si>
  <si>
    <r>
      <t>V</t>
    </r>
    <r>
      <rPr>
        <vertAlign val="subscript"/>
        <sz val="12"/>
        <color theme="1"/>
        <rFont val="Aptos Narrow"/>
        <family val="2"/>
        <scheme val="minor"/>
      </rPr>
      <t>id</t>
    </r>
  </si>
  <si>
    <t>INVESTIMENTO</t>
  </si>
  <si>
    <r>
      <t>N</t>
    </r>
    <r>
      <rPr>
        <vertAlign val="subscript"/>
        <sz val="12"/>
        <color theme="1"/>
        <rFont val="Aptos Narrow"/>
        <family val="2"/>
        <scheme val="minor"/>
      </rPr>
      <t>carrelli tot</t>
    </r>
    <r>
      <rPr>
        <sz val="12"/>
        <color theme="1"/>
        <rFont val="Aptos Narrow"/>
        <family val="2"/>
        <scheme val="minor"/>
      </rPr>
      <t xml:space="preserve"> </t>
    </r>
  </si>
  <si>
    <r>
      <t>t</t>
    </r>
    <r>
      <rPr>
        <vertAlign val="subscript"/>
        <sz val="12"/>
        <color theme="1"/>
        <rFont val="Aptos Narrow"/>
        <family val="2"/>
        <scheme val="minor"/>
      </rPr>
      <t>av weighted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</si>
  <si>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corridoi</t>
    </r>
  </si>
  <si>
    <r>
      <t>l</t>
    </r>
    <r>
      <rPr>
        <vertAlign val="subscript"/>
        <sz val="12"/>
        <color theme="1"/>
        <rFont val="Aptos Narrow"/>
        <family val="2"/>
        <scheme val="minor"/>
      </rPr>
      <t>mb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</si>
  <si>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mb</t>
    </r>
    <r>
      <rPr>
        <sz val="12"/>
        <color theme="1"/>
        <rFont val="Aptos Narrow"/>
        <family val="2"/>
        <scheme val="minor"/>
      </rPr>
      <t>/Corr</t>
    </r>
  </si>
  <si>
    <r>
      <t>PR</t>
    </r>
    <r>
      <rPr>
        <vertAlign val="subscript"/>
        <sz val="12"/>
        <color theme="1"/>
        <rFont val="Aptos Narrow"/>
        <family val="2"/>
        <scheme val="minor"/>
      </rPr>
      <t>eff</t>
    </r>
  </si>
  <si>
    <t>Indici di prestazione logistici</t>
  </si>
  <si>
    <r>
      <t>IMPRONTA</t>
    </r>
    <r>
      <rPr>
        <vertAlign val="subscript"/>
        <sz val="12"/>
        <color theme="1"/>
        <rFont val="Aptos Narrow"/>
        <family val="2"/>
        <scheme val="minor"/>
      </rPr>
      <t>eff</t>
    </r>
  </si>
  <si>
    <r>
      <t>m</t>
    </r>
    <r>
      <rPr>
        <vertAlign val="super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/UdC</t>
    </r>
  </si>
  <si>
    <r>
      <t>IMPRONTA</t>
    </r>
    <r>
      <rPr>
        <vertAlign val="subscript"/>
        <sz val="12"/>
        <color theme="1"/>
        <rFont val="Aptos Narrow"/>
        <family val="2"/>
        <scheme val="minor"/>
      </rPr>
      <t>eff volumetrica</t>
    </r>
  </si>
  <si>
    <r>
      <t>m</t>
    </r>
    <r>
      <rPr>
        <vertAlign val="superscript"/>
        <sz val="12"/>
        <color theme="1"/>
        <rFont val="Aptos Narrow"/>
        <family val="2"/>
        <scheme val="minor"/>
      </rPr>
      <t>3</t>
    </r>
    <r>
      <rPr>
        <sz val="12"/>
        <color theme="1"/>
        <rFont val="Aptos Narrow"/>
        <family val="2"/>
        <scheme val="minor"/>
      </rPr>
      <t>/UdC</t>
    </r>
  </si>
  <si>
    <t>UdC</t>
  </si>
  <si>
    <t>Dinamico:</t>
  </si>
  <si>
    <t>Selettività D-T</t>
  </si>
  <si>
    <t>Calcolo grossolano-&gt;</t>
  </si>
  <si>
    <t>Calcolo raffinato -&gt;</t>
  </si>
  <si>
    <t>dimensione UdC</t>
  </si>
  <si>
    <t>mm</t>
  </si>
  <si>
    <t>BIFRONTALE</t>
  </si>
  <si>
    <t>base</t>
  </si>
  <si>
    <t>I/O</t>
  </si>
  <si>
    <t>U/V</t>
  </si>
  <si>
    <t>profondità</t>
  </si>
  <si>
    <r>
      <rPr>
        <sz val="12"/>
        <color rgb="FF000000"/>
        <rFont val="Aptos Narrow"/>
        <family val="2"/>
        <scheme val="minor"/>
      </rPr>
      <t>l</t>
    </r>
    <r>
      <rPr>
        <sz val="8"/>
        <color rgb="FF000000"/>
        <rFont val="Aptos Narrow"/>
        <family val="2"/>
        <scheme val="minor"/>
      </rPr>
      <t>MB</t>
    </r>
  </si>
  <si>
    <t>Larghezza modulo base</t>
  </si>
  <si>
    <t>centro</t>
  </si>
  <si>
    <t xml:space="preserve">altezza </t>
  </si>
  <si>
    <r>
      <rPr>
        <sz val="12"/>
        <color rgb="FF000000"/>
        <rFont val="Aptos Narrow"/>
        <family val="2"/>
        <scheme val="minor"/>
      </rPr>
      <t>A</t>
    </r>
    <r>
      <rPr>
        <sz val="8"/>
        <color rgb="FF000000"/>
        <rFont val="Aptos Narrow"/>
        <family val="2"/>
        <scheme val="minor"/>
      </rPr>
      <t>MB</t>
    </r>
  </si>
  <si>
    <t>Area modulo base</t>
  </si>
  <si>
    <t>mm^2</t>
  </si>
  <si>
    <t>vertice</t>
  </si>
  <si>
    <t>m^2</t>
  </si>
  <si>
    <t>distribuito</t>
  </si>
  <si>
    <r>
      <rPr>
        <sz val="12"/>
        <color rgb="FF000000"/>
        <rFont val="Aptos Narrow"/>
        <family val="2"/>
        <scheme val="minor"/>
      </rPr>
      <t>N</t>
    </r>
    <r>
      <rPr>
        <sz val="8"/>
        <color rgb="FF000000"/>
        <rFont val="Aptos Narrow"/>
        <family val="2"/>
        <scheme val="minor"/>
      </rPr>
      <t>Liv</t>
    </r>
  </si>
  <si>
    <t>Numero di livelli</t>
  </si>
  <si>
    <r>
      <rPr>
        <sz val="12"/>
        <color rgb="FF000000"/>
        <rFont val="Aptos Narrow"/>
        <family val="2"/>
        <scheme val="minor"/>
      </rPr>
      <t>n</t>
    </r>
    <r>
      <rPr>
        <sz val="8"/>
        <color rgb="FF000000"/>
        <rFont val="Aptos Narrow"/>
        <family val="2"/>
        <scheme val="minor"/>
      </rPr>
      <t>udc</t>
    </r>
  </si>
  <si>
    <t>n udc in modulo base</t>
  </si>
  <si>
    <t>dimensione vano</t>
  </si>
  <si>
    <t>1750x950x750</t>
  </si>
  <si>
    <r>
      <rPr>
        <sz val="12"/>
        <color rgb="FF000000"/>
        <rFont val="Aptos Narrow"/>
        <family val="2"/>
        <scheme val="minor"/>
      </rPr>
      <t>a</t>
    </r>
    <r>
      <rPr>
        <sz val="8"/>
        <color rgb="FF000000"/>
        <rFont val="Aptos Narrow"/>
        <family val="2"/>
        <scheme val="minor"/>
      </rPr>
      <t>udc</t>
    </r>
  </si>
  <si>
    <t>impronta teorica</t>
  </si>
  <si>
    <t>m^2/udc</t>
  </si>
  <si>
    <r>
      <rPr>
        <sz val="12"/>
        <color rgb="FF000000"/>
        <rFont val="Aptos Narrow"/>
        <family val="2"/>
        <scheme val="minor"/>
      </rPr>
      <t>A</t>
    </r>
    <r>
      <rPr>
        <sz val="8"/>
        <color rgb="FF000000"/>
        <rFont val="Aptos Narrow"/>
        <family val="2"/>
        <scheme val="minor"/>
      </rPr>
      <t>mag</t>
    </r>
  </si>
  <si>
    <t>Area magazzino</t>
  </si>
  <si>
    <t xml:space="preserve">m^2 </t>
  </si>
  <si>
    <r>
      <rPr>
        <sz val="12"/>
        <color rgb="FF000000"/>
        <rFont val="Aptos Narrow"/>
        <family val="2"/>
        <scheme val="minor"/>
      </rPr>
      <t>U</t>
    </r>
    <r>
      <rPr>
        <sz val="8"/>
        <color rgb="FF000000"/>
        <rFont val="Aptos Narrow"/>
        <family val="2"/>
        <scheme val="minor"/>
      </rPr>
      <t>id</t>
    </r>
  </si>
  <si>
    <t>k = 4</t>
  </si>
  <si>
    <t>k = 2</t>
  </si>
  <si>
    <t>k = 3</t>
  </si>
  <si>
    <t>AREA VANO</t>
  </si>
  <si>
    <r>
      <t>V</t>
    </r>
    <r>
      <rPr>
        <sz val="8"/>
        <color rgb="FF000000"/>
        <rFont val="Aptos Narrow"/>
        <family val="2"/>
      </rPr>
      <t>id</t>
    </r>
  </si>
  <si>
    <t>larghezza corridoio</t>
  </si>
  <si>
    <t>dim. statico</t>
  </si>
  <si>
    <t>HAIRCOMB</t>
  </si>
  <si>
    <t>potenz. ricettiva PR</t>
  </si>
  <si>
    <r>
      <t>n</t>
    </r>
    <r>
      <rPr>
        <sz val="8"/>
        <color rgb="FF000000"/>
        <rFont val="Aptos Narrow"/>
        <family val="2"/>
      </rPr>
      <t>corr</t>
    </r>
  </si>
  <si>
    <t>num. corridoi second.</t>
  </si>
  <si>
    <t>potenz. movim. PM</t>
  </si>
  <si>
    <t>udc/h</t>
  </si>
  <si>
    <r>
      <rPr>
        <sz val="12"/>
        <color rgb="FF000000"/>
        <rFont val="Aptos Narrow"/>
        <family val="2"/>
        <scheme val="minor"/>
      </rPr>
      <t>n</t>
    </r>
    <r>
      <rPr>
        <sz val="8"/>
        <color rgb="FF000000"/>
        <rFont val="Aptos Narrow"/>
        <family val="2"/>
        <scheme val="minor"/>
      </rPr>
      <t>MB/corr</t>
    </r>
  </si>
  <si>
    <t>moduli base/corr. sec.</t>
  </si>
  <si>
    <r>
      <rPr>
        <sz val="12"/>
        <color rgb="FF000000"/>
        <rFont val="Aptos Narrow"/>
        <family val="2"/>
        <scheme val="minor"/>
      </rPr>
      <t>PR</t>
    </r>
    <r>
      <rPr>
        <sz val="8"/>
        <color rgb="FF000000"/>
        <rFont val="Aptos Narrow"/>
        <family val="2"/>
        <scheme val="minor"/>
      </rPr>
      <t>eff</t>
    </r>
  </si>
  <si>
    <t>pot. ricettiva effettiva [udc]</t>
  </si>
  <si>
    <t>tempi fissi</t>
  </si>
  <si>
    <r>
      <rPr>
        <sz val="12"/>
        <color rgb="FF000000"/>
        <rFont val="Aptos Narrow"/>
        <family val="2"/>
        <scheme val="minor"/>
      </rPr>
      <t>U</t>
    </r>
    <r>
      <rPr>
        <sz val="8"/>
        <color rgb="FF000000"/>
        <rFont val="Aptos Narrow"/>
        <family val="2"/>
        <scheme val="minor"/>
      </rPr>
      <t>eff</t>
    </r>
  </si>
  <si>
    <t>[m]</t>
  </si>
  <si>
    <t>coeff. sicurezza K</t>
  </si>
  <si>
    <r>
      <rPr>
        <sz val="12"/>
        <color rgb="FF000000"/>
        <rFont val="Aptos Narrow"/>
        <family val="2"/>
        <scheme val="minor"/>
      </rPr>
      <t>V</t>
    </r>
    <r>
      <rPr>
        <sz val="8"/>
        <color rgb="FF000000"/>
        <rFont val="Aptos Narrow"/>
        <family val="2"/>
        <scheme val="minor"/>
      </rPr>
      <t>eff</t>
    </r>
  </si>
  <si>
    <r>
      <rPr>
        <sz val="12"/>
        <color rgb="FF000000"/>
        <rFont val="Aptos Narrow"/>
        <family val="2"/>
        <scheme val="minor"/>
      </rPr>
      <t>A</t>
    </r>
    <r>
      <rPr>
        <sz val="8"/>
        <color rgb="FF000000"/>
        <rFont val="Aptos Narrow"/>
        <family val="2"/>
        <scheme val="minor"/>
      </rPr>
      <t>mag,eff</t>
    </r>
  </si>
  <si>
    <t>area effettiva [m^2]</t>
  </si>
  <si>
    <t>dim. dinamico</t>
  </si>
  <si>
    <r>
      <rPr>
        <sz val="12"/>
        <color rgb="FF000000"/>
        <rFont val="Aptos Narrow"/>
        <family val="2"/>
        <scheme val="minor"/>
      </rPr>
      <t>T</t>
    </r>
    <r>
      <rPr>
        <sz val="8"/>
        <color rgb="FF000000"/>
        <rFont val="Aptos Narrow"/>
        <family val="2"/>
        <scheme val="minor"/>
      </rPr>
      <t>in</t>
    </r>
  </si>
  <si>
    <t>distanza copertura carr. [m]</t>
  </si>
  <si>
    <r>
      <rPr>
        <sz val="12"/>
        <color rgb="FF000000"/>
        <rFont val="Aptos Narrow"/>
        <family val="2"/>
        <scheme val="minor"/>
      </rPr>
      <t>T</t>
    </r>
    <r>
      <rPr>
        <sz val="8"/>
        <color rgb="FF000000"/>
        <rFont val="Aptos Narrow"/>
        <family val="2"/>
        <scheme val="minor"/>
      </rPr>
      <t>out</t>
    </r>
  </si>
  <si>
    <t>H</t>
  </si>
  <si>
    <t>percorrenza forche [m]</t>
  </si>
  <si>
    <r>
      <rPr>
        <sz val="12"/>
        <color rgb="FF000000"/>
        <rFont val="Aptos Narrow"/>
        <family val="2"/>
        <scheme val="minor"/>
      </rPr>
      <t>T</t>
    </r>
    <r>
      <rPr>
        <sz val="8"/>
        <color rgb="FF000000"/>
        <rFont val="Aptos Narrow"/>
        <family val="2"/>
        <scheme val="minor"/>
      </rPr>
      <t>attr</t>
    </r>
  </si>
  <si>
    <t>tempo attraversamento [s]</t>
  </si>
  <si>
    <t>N</t>
  </si>
  <si>
    <t>numero carrelli</t>
  </si>
  <si>
    <r>
      <rPr>
        <sz val="12"/>
        <color rgb="FF000000"/>
        <rFont val="Aptos Narrow"/>
        <family val="2"/>
        <scheme val="minor"/>
      </rPr>
      <t>PM</t>
    </r>
    <r>
      <rPr>
        <sz val="8"/>
        <color rgb="FF000000"/>
        <rFont val="Aptos Narrow"/>
        <family val="2"/>
        <scheme val="minor"/>
      </rPr>
      <t>eff</t>
    </r>
  </si>
  <si>
    <t>potenz. mov. effettiva [udc/h]</t>
  </si>
  <si>
    <t>DRIVE THROUGH</t>
  </si>
  <si>
    <r>
      <t>A</t>
    </r>
    <r>
      <rPr>
        <vertAlign val="subscript"/>
        <sz val="12"/>
        <color theme="1"/>
        <rFont val="Aptos Narrow"/>
        <family val="2"/>
        <scheme val="minor"/>
      </rPr>
      <t>vano</t>
    </r>
    <r>
      <rPr>
        <sz val="12"/>
        <color theme="1"/>
        <rFont val="Aptos Narrow"/>
        <family val="2"/>
        <scheme val="minor"/>
      </rPr>
      <t xml:space="preserve"> [m</t>
    </r>
    <r>
      <rPr>
        <vertAlign val="super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]</t>
    </r>
  </si>
  <si>
    <t>vani in profondità</t>
  </si>
  <si>
    <t>(CORPO+INSERTO) PLANCIA A1</t>
  </si>
  <si>
    <t>(CORPO+INSERTO) PLANCIA B</t>
  </si>
  <si>
    <t>(CORPO+INSERTO) PLANCIA A2</t>
  </si>
  <si>
    <t>(CORPO+INSERTO) PLANCIA D</t>
  </si>
  <si>
    <r>
      <rPr>
        <sz val="12"/>
        <color rgb="FF000000"/>
        <rFont val="Aptos Narrow"/>
        <family val="2"/>
        <scheme val="minor"/>
      </rPr>
      <t>N</t>
    </r>
    <r>
      <rPr>
        <sz val="8"/>
        <color rgb="FF000000"/>
        <rFont val="Aptos Narrow"/>
        <family val="2"/>
        <scheme val="minor"/>
      </rPr>
      <t>righeTOT</t>
    </r>
  </si>
  <si>
    <t>layout ottimale</t>
  </si>
  <si>
    <t>DIMENSIONAMENTO DINAMICO</t>
  </si>
  <si>
    <t>Ueff [m]</t>
  </si>
  <si>
    <t>L [m]</t>
  </si>
  <si>
    <t>Veff [m]</t>
  </si>
  <si>
    <t>H [m]</t>
  </si>
  <si>
    <t>A eff [m^2]</t>
  </si>
  <si>
    <r>
      <rPr>
        <sz val="12"/>
        <color rgb="FF000000"/>
        <rFont val="Aptos Narrow"/>
        <family val="2"/>
        <scheme val="minor"/>
      </rPr>
      <t>T</t>
    </r>
    <r>
      <rPr>
        <sz val="8"/>
        <color rgb="FF000000"/>
        <rFont val="Aptos Narrow"/>
        <family val="2"/>
        <scheme val="minor"/>
      </rPr>
      <t>in</t>
    </r>
    <r>
      <rPr>
        <sz val="12"/>
        <color rgb="FF000000"/>
        <rFont val="Aptos Narrow"/>
        <family val="2"/>
        <scheme val="minor"/>
      </rPr>
      <t xml:space="preserve"> [s]</t>
    </r>
  </si>
  <si>
    <t>Ueff/Veff</t>
  </si>
  <si>
    <t xml:space="preserve"> </t>
  </si>
  <si>
    <r>
      <rPr>
        <sz val="12"/>
        <color rgb="FF000000"/>
        <rFont val="Aptos Narrow"/>
        <family val="2"/>
        <scheme val="minor"/>
      </rPr>
      <t>T</t>
    </r>
    <r>
      <rPr>
        <sz val="8"/>
        <color rgb="FF000000"/>
        <rFont val="Aptos Narrow"/>
        <family val="2"/>
        <scheme val="minor"/>
      </rPr>
      <t>out</t>
    </r>
    <r>
      <rPr>
        <sz val="12"/>
        <color rgb="FF000000"/>
        <rFont val="Aptos Narrow"/>
        <family val="2"/>
        <scheme val="minor"/>
      </rPr>
      <t xml:space="preserve"> [s]</t>
    </r>
  </si>
  <si>
    <t>CSU</t>
  </si>
  <si>
    <r>
      <rPr>
        <sz val="12"/>
        <color rgb="FF000000"/>
        <rFont val="Aptos Narrow"/>
        <family val="2"/>
        <scheme val="minor"/>
      </rPr>
      <t xml:space="preserve">PM </t>
    </r>
    <r>
      <rPr>
        <sz val="8"/>
        <color rgb="FF000000"/>
        <rFont val="Aptos Narrow"/>
        <family val="2"/>
        <scheme val="minor"/>
      </rPr>
      <t>rich</t>
    </r>
  </si>
  <si>
    <r>
      <rPr>
        <sz val="12"/>
        <color rgb="FF000000"/>
        <rFont val="Aptos Narrow"/>
        <family val="2"/>
        <scheme val="minor"/>
      </rPr>
      <t>N</t>
    </r>
    <r>
      <rPr>
        <vertAlign val="subscript"/>
        <sz val="12"/>
        <color rgb="FF000000"/>
        <rFont val="Aptos Narrow"/>
        <family val="2"/>
        <scheme val="minor"/>
      </rPr>
      <t xml:space="preserve">carr </t>
    </r>
  </si>
  <si>
    <r>
      <rPr>
        <sz val="12"/>
        <color rgb="FF000000"/>
        <rFont val="Aptos Narrow"/>
        <scheme val="minor"/>
      </rPr>
      <t>PM</t>
    </r>
    <r>
      <rPr>
        <sz val="8"/>
        <color rgb="FF000000"/>
        <rFont val="Aptos Narrow"/>
        <scheme val="minor"/>
      </rPr>
      <t>eff</t>
    </r>
  </si>
  <si>
    <t>layout L</t>
  </si>
  <si>
    <r>
      <rPr>
        <sz val="12"/>
        <color rgb="FF000000"/>
        <rFont val="Aptos Narrow"/>
        <scheme val="minor"/>
      </rPr>
      <t>L</t>
    </r>
    <r>
      <rPr>
        <sz val="8"/>
        <color rgb="FF000000"/>
        <rFont val="Aptos Narrow"/>
        <scheme val="minor"/>
      </rPr>
      <t>in</t>
    </r>
    <r>
      <rPr>
        <sz val="12"/>
        <color rgb="FF000000"/>
        <rFont val="Aptos Narrow"/>
        <scheme val="minor"/>
      </rPr>
      <t xml:space="preserve"> [m]</t>
    </r>
  </si>
  <si>
    <r>
      <rPr>
        <sz val="12"/>
        <color rgb="FF000000"/>
        <rFont val="Aptos Narrow"/>
        <scheme val="minor"/>
      </rPr>
      <t>L</t>
    </r>
    <r>
      <rPr>
        <sz val="8"/>
        <color rgb="FF000000"/>
        <rFont val="Aptos Narrow"/>
        <scheme val="minor"/>
      </rPr>
      <t>out</t>
    </r>
    <r>
      <rPr>
        <sz val="12"/>
        <color rgb="FF000000"/>
        <rFont val="Aptos Narrow"/>
        <scheme val="minor"/>
      </rPr>
      <t xml:space="preserve"> [m]</t>
    </r>
  </si>
  <si>
    <r>
      <rPr>
        <sz val="12"/>
        <color rgb="FF000000"/>
        <rFont val="Aptos Narrow"/>
        <scheme val="minor"/>
      </rPr>
      <t>L</t>
    </r>
    <r>
      <rPr>
        <sz val="8"/>
        <color rgb="FF000000"/>
        <rFont val="Aptos Narrow"/>
        <scheme val="minor"/>
      </rPr>
      <t>in</t>
    </r>
  </si>
  <si>
    <r>
      <rPr>
        <sz val="12"/>
        <color rgb="FF000000"/>
        <rFont val="Aptos Narrow"/>
        <scheme val="minor"/>
      </rPr>
      <t>T</t>
    </r>
    <r>
      <rPr>
        <sz val="8"/>
        <color rgb="FF000000"/>
        <rFont val="Aptos Narrow"/>
        <scheme val="minor"/>
      </rPr>
      <t>in</t>
    </r>
    <r>
      <rPr>
        <sz val="12"/>
        <color rgb="FF000000"/>
        <rFont val="Aptos Narrow"/>
        <scheme val="minor"/>
      </rPr>
      <t xml:space="preserve"> [s]</t>
    </r>
  </si>
  <si>
    <r>
      <rPr>
        <sz val="12"/>
        <color rgb="FF000000"/>
        <rFont val="Aptos Narrow"/>
        <scheme val="minor"/>
      </rPr>
      <t>L</t>
    </r>
    <r>
      <rPr>
        <sz val="8"/>
        <color rgb="FF000000"/>
        <rFont val="Aptos Narrow"/>
        <scheme val="minor"/>
      </rPr>
      <t>out</t>
    </r>
  </si>
  <si>
    <r>
      <rPr>
        <sz val="12"/>
        <color rgb="FF000000"/>
        <rFont val="Aptos Narrow"/>
        <scheme val="minor"/>
      </rPr>
      <t>T</t>
    </r>
    <r>
      <rPr>
        <sz val="8"/>
        <color rgb="FF000000"/>
        <rFont val="Aptos Narrow"/>
        <scheme val="minor"/>
      </rPr>
      <t>out</t>
    </r>
    <r>
      <rPr>
        <sz val="12"/>
        <color rgb="FF000000"/>
        <rFont val="Aptos Narrow"/>
        <scheme val="minor"/>
      </rPr>
      <t xml:space="preserve"> [s]</t>
    </r>
  </si>
  <si>
    <r>
      <rPr>
        <sz val="12"/>
        <color rgb="FF000000"/>
        <rFont val="Aptos Narrow"/>
        <scheme val="minor"/>
      </rPr>
      <t xml:space="preserve">PM </t>
    </r>
    <r>
      <rPr>
        <sz val="8"/>
        <color rgb="FF000000"/>
        <rFont val="Aptos Narrow"/>
        <scheme val="minor"/>
      </rPr>
      <t>rich</t>
    </r>
  </si>
  <si>
    <r>
      <rPr>
        <sz val="12"/>
        <color rgb="FF000000"/>
        <rFont val="Aptos Narrow"/>
        <scheme val="minor"/>
      </rPr>
      <t>N</t>
    </r>
    <r>
      <rPr>
        <sz val="8"/>
        <color rgb="FF000000"/>
        <rFont val="Aptos Narrow"/>
        <scheme val="minor"/>
      </rPr>
      <t xml:space="preserve">carr </t>
    </r>
  </si>
  <si>
    <r>
      <rPr>
        <sz val="12"/>
        <color rgb="FF000000"/>
        <rFont val="Aptos Narrow"/>
        <scheme val="minor"/>
      </rPr>
      <t>N</t>
    </r>
    <r>
      <rPr>
        <sz val="8"/>
        <color rgb="FF000000"/>
        <rFont val="Aptos Narrow"/>
        <scheme val="minor"/>
      </rPr>
      <t>vani</t>
    </r>
  </si>
  <si>
    <t>selettività</t>
  </si>
  <si>
    <t>Aeff [m^2]</t>
  </si>
  <si>
    <t>CSU [udc/m^2]</t>
  </si>
  <si>
    <t>1/CSU [m^2/udc]</t>
  </si>
  <si>
    <t>PR eff [udc]</t>
  </si>
  <si>
    <t>Potenzialità Ricettiva Magazzino PF</t>
  </si>
  <si>
    <t>tempi fissi:</t>
  </si>
  <si>
    <t>Dimensione Vano</t>
  </si>
  <si>
    <t>1900x950x950</t>
  </si>
  <si>
    <t>coeff. di sicurezza:</t>
  </si>
  <si>
    <t xml:space="preserve">m </t>
  </si>
  <si>
    <t>Carrello Trilaterale</t>
  </si>
  <si>
    <t>n_livelli</t>
  </si>
  <si>
    <t>larghezza_moduloBase</t>
  </si>
  <si>
    <t>num_udc_moduloBase</t>
  </si>
  <si>
    <t>area_moduloBase</t>
  </si>
  <si>
    <t>impronta_teorica</t>
  </si>
  <si>
    <t>m^2/UdC</t>
  </si>
  <si>
    <t>sup_teorica_magazzino</t>
  </si>
  <si>
    <t>lunghezza_magazzino (U_id)</t>
  </si>
  <si>
    <t>k=4</t>
  </si>
  <si>
    <t>larghezza_magazzino (V_id)</t>
  </si>
  <si>
    <t>al centro</t>
  </si>
  <si>
    <t>laterale</t>
  </si>
  <si>
    <t>k=2</t>
  </si>
  <si>
    <t>k=3</t>
  </si>
  <si>
    <t>DIMENSIONAMENTO STATICO</t>
  </si>
  <si>
    <t>configurazione</t>
  </si>
  <si>
    <t>1) FISH BONE</t>
  </si>
  <si>
    <t>2) HAIRCOMB</t>
  </si>
  <si>
    <t>num_corridoi_secondari</t>
  </si>
  <si>
    <t>num_moduliBase/corridoi_secondari</t>
  </si>
  <si>
    <t>potenzialità_ricettiva_effettiva [udc]</t>
  </si>
  <si>
    <t>lunghezza_magazzino_reale (U_eff) (m)</t>
  </si>
  <si>
    <t>larghezza_magazzino_reale (V_eff) (m)</t>
  </si>
  <si>
    <t>area_effettiva (A_eff) (m^2)</t>
  </si>
  <si>
    <t>distanza_coperta (L) [m]</t>
  </si>
  <si>
    <t>percorrenza_forche (H) [m]</t>
  </si>
  <si>
    <t>t_attraversamento_input [s]</t>
  </si>
  <si>
    <t>t_attraversamento_output [s]</t>
  </si>
  <si>
    <t>t_medio_ciclo_attraversamento (Tca) [s]</t>
  </si>
  <si>
    <t>VANO E SCAFFALE</t>
  </si>
  <si>
    <t>larghezza [mm]</t>
  </si>
  <si>
    <t>altezza [mm]</t>
  </si>
  <si>
    <t>profondità [mm]</t>
  </si>
  <si>
    <t>Dim. Vano</t>
  </si>
  <si>
    <t>Num. Vani in altezza</t>
  </si>
  <si>
    <t>Altezza scaffale</t>
  </si>
  <si>
    <t>Num. Vani in profondità</t>
  </si>
  <si>
    <t>Profondità scaffale</t>
  </si>
  <si>
    <t>Num. vani totali linea</t>
  </si>
  <si>
    <t>Num. vani complessivi</t>
  </si>
  <si>
    <t>PEZZI</t>
  </si>
  <si>
    <t>NUM. UDC</t>
  </si>
  <si>
    <t>NUM. MODULO BASE</t>
  </si>
  <si>
    <t>PLANCIA SEGMENTO A1</t>
  </si>
  <si>
    <t>PLANCIA SEGMENTO B</t>
  </si>
  <si>
    <t>AREE E INVILUPPO COMPLESSIVO</t>
  </si>
  <si>
    <t>numero modulo base totale</t>
  </si>
  <si>
    <t>num. aree</t>
  </si>
  <si>
    <t>num. modulo base / area</t>
  </si>
  <si>
    <t>larghezza area</t>
  </si>
  <si>
    <t>corridoio principale</t>
  </si>
  <si>
    <t>corridoio secondario</t>
  </si>
  <si>
    <t>profondità totale (Veff)</t>
  </si>
  <si>
    <t>larghezza totale (Ueff)</t>
  </si>
  <si>
    <t>area totale (Aeff)</t>
  </si>
  <si>
    <t>m²</t>
  </si>
  <si>
    <t>PERCORSO</t>
  </si>
  <si>
    <t>percorso sul piano IN</t>
  </si>
  <si>
    <t>percorso sul piano OUT</t>
  </si>
  <si>
    <t>percorso in altezza</t>
  </si>
  <si>
    <t>VELOCITÀ</t>
  </si>
  <si>
    <t>traslazione (VUOTO)</t>
  </si>
  <si>
    <t>m/s</t>
  </si>
  <si>
    <t>traslazione (CARICO)</t>
  </si>
  <si>
    <t>salita forche (VUOTO)</t>
  </si>
  <si>
    <t>salita forche (CARICO)</t>
  </si>
  <si>
    <t>discesa forche (VUOTO)</t>
  </si>
  <si>
    <t>discesa forche (CARICO)</t>
  </si>
  <si>
    <t>MISCELLANEOUS</t>
  </si>
  <si>
    <t>fattore di utilizzazione (k)</t>
  </si>
  <si>
    <t>numero giorni</t>
  </si>
  <si>
    <t>ore lavorative giornaliere</t>
  </si>
  <si>
    <t>UdC movimentate</t>
  </si>
  <si>
    <t>,</t>
  </si>
  <si>
    <t>POTENZIALITÀ DI MOVIMENTAZIONE</t>
  </si>
  <si>
    <t>PM in</t>
  </si>
  <si>
    <t>UdC/h</t>
  </si>
  <si>
    <t>PM out</t>
  </si>
  <si>
    <t>TEMPI</t>
  </si>
  <si>
    <t>T fissi</t>
  </si>
  <si>
    <t>TC in</t>
  </si>
  <si>
    <t>TC out</t>
  </si>
  <si>
    <t>T medio</t>
  </si>
  <si>
    <t>N carrelli teorici in</t>
  </si>
  <si>
    <t>N carrelli teorici out</t>
  </si>
  <si>
    <t>N carrelli effettivi</t>
  </si>
  <si>
    <t>motivato dal fatto che PM in e PM out sono diversi</t>
  </si>
  <si>
    <t>IMPRONTA</t>
  </si>
  <si>
    <t>CUS eff</t>
  </si>
  <si>
    <t>UdC/m²</t>
  </si>
  <si>
    <t>DRIVE IN</t>
  </si>
  <si>
    <t>...</t>
  </si>
  <si>
    <t>Carrello Unilaterale</t>
  </si>
  <si>
    <t>num_vani_in_profondità</t>
  </si>
  <si>
    <t>DEDICATO FISH BONE K=4</t>
  </si>
  <si>
    <t>DIM. STATICO</t>
  </si>
  <si>
    <t>DIM. DINAMICO</t>
  </si>
  <si>
    <t>UDC</t>
  </si>
  <si>
    <t>N_file (12x)</t>
  </si>
  <si>
    <t>Nmb DED</t>
  </si>
  <si>
    <t>PM [UdC/h]</t>
  </si>
  <si>
    <t>Nmb NON DED</t>
  </si>
  <si>
    <t>N_carrelli</t>
  </si>
  <si>
    <t>Nmb tot</t>
  </si>
  <si>
    <t>PM_eff [UdC/h]</t>
  </si>
  <si>
    <t>Nmb/area</t>
  </si>
  <si>
    <t>Aree</t>
  </si>
  <si>
    <t>Veff</t>
  </si>
  <si>
    <t>lunghezza_magazzino_reale (U_eff) [m]</t>
  </si>
  <si>
    <t>Ueff</t>
  </si>
  <si>
    <t>larghezza_magazzino_reale (V_eff) [m]</t>
  </si>
  <si>
    <t>Aeff</t>
  </si>
  <si>
    <t>area_effettiva (A_eff) [m^2]</t>
  </si>
  <si>
    <t>CSU eff</t>
  </si>
  <si>
    <t>NON PIU' LARGO DI 1 M</t>
  </si>
  <si>
    <t>Marca</t>
  </si>
  <si>
    <t>Modello</t>
  </si>
  <si>
    <t>Sollevamento massimo</t>
  </si>
  <si>
    <t>Larghezza</t>
  </si>
  <si>
    <t>Interasse Forche</t>
  </si>
  <si>
    <t>Raggio di Sterzata</t>
  </si>
  <si>
    <t>Portata Massima [kg]</t>
  </si>
  <si>
    <t>Dimensione Corridoio [mm]</t>
  </si>
  <si>
    <t>V Tralslazione Orizzontale a Vuoto [m/s]</t>
  </si>
  <si>
    <t>V Tralslazione Orizzontale a Carico [m/s]</t>
  </si>
  <si>
    <t>V Salita Forche  a Vuoto [m/s]</t>
  </si>
  <si>
    <t>V Salita Forche a Carico [m/s]</t>
  </si>
  <si>
    <t>V Discesa Forche a Vuoto [m/s]</t>
  </si>
  <si>
    <t>V Discesa Forche a Carico [m/s]</t>
  </si>
  <si>
    <t>T Accelerazione/Decelerazione [s]</t>
  </si>
  <si>
    <t>Toyota</t>
  </si>
  <si>
    <t>SSI160LN</t>
  </si>
  <si>
    <t>Tensione della batteria [V]</t>
  </si>
  <si>
    <t>Capacità nominale [Ah]</t>
  </si>
  <si>
    <t>Consumo energetico secondo EN16796 [kwh/h]</t>
  </si>
  <si>
    <t>Durata batteria [h]</t>
  </si>
  <si>
    <t>V Tralslazione Orizzontale [m/s]</t>
  </si>
  <si>
    <t>V Salita Forche [m/s]</t>
  </si>
  <si>
    <t>V Discesa Fortche [m/s]</t>
  </si>
  <si>
    <t>V Movimento forche [m/s]</t>
  </si>
  <si>
    <t>Linde</t>
  </si>
  <si>
    <t>VNA A</t>
  </si>
  <si>
    <t>470/640</t>
  </si>
  <si>
    <t>Still</t>
  </si>
  <si>
    <t>LTX50</t>
  </si>
  <si>
    <t>still</t>
  </si>
  <si>
    <t>LiftRunner B-Frame 1200 x 800 mm</t>
  </si>
  <si>
    <t>Tabella consegne MP</t>
  </si>
  <si>
    <t>Sovrapposizioni</t>
  </si>
  <si>
    <t>STAMP-SIC</t>
  </si>
  <si>
    <t>ELETT-STAMP</t>
  </si>
  <si>
    <t>SIC-ELETTR</t>
  </si>
  <si>
    <t>TOT SOVRAPP/MESE</t>
  </si>
  <si>
    <t>Tabella consegna PF</t>
  </si>
  <si>
    <t>Calcolo banchine</t>
  </si>
  <si>
    <t>Pz/lotto</t>
  </si>
  <si>
    <t>Pz/giorno</t>
  </si>
  <si>
    <t>T/lotto</t>
  </si>
  <si>
    <t>UDC/CAMION</t>
  </si>
  <si>
    <t>PESO MAX</t>
  </si>
  <si>
    <t xml:space="preserve">N°CAMION/LOTTO </t>
  </si>
  <si>
    <t>T_totale [h]</t>
  </si>
  <si>
    <t>N°banchine th</t>
  </si>
  <si>
    <t>N°banchine</t>
  </si>
  <si>
    <t>N°EFF BANCH</t>
  </si>
  <si>
    <t>PEZZI
FINITI</t>
  </si>
  <si>
    <t>Tempo smaltimento</t>
  </si>
  <si>
    <t>Peso massimo consentito</t>
  </si>
  <si>
    <t>ODETTE SICUREZZA</t>
  </si>
  <si>
    <t>\</t>
  </si>
  <si>
    <t>MATERIE
PRIME</t>
  </si>
  <si>
    <t>ODETTE ELETTRICA</t>
  </si>
  <si>
    <t>CORPI PLANCIA</t>
  </si>
  <si>
    <t>INSERTI PLANCIA</t>
  </si>
  <si>
    <t>CUPOLOTTI</t>
  </si>
  <si>
    <t>Massime udc/giorno</t>
  </si>
  <si>
    <t>Area di ricevimento materie prime</t>
  </si>
  <si>
    <t>TIPO</t>
  </si>
  <si>
    <t>a (UDC)</t>
  </si>
  <si>
    <t>b (UDC)</t>
  </si>
  <si>
    <t>a[m]</t>
  </si>
  <si>
    <t>b[m]</t>
  </si>
  <si>
    <r>
      <t>a</t>
    </r>
    <r>
      <rPr>
        <vertAlign val="subscript"/>
        <sz val="12"/>
        <color theme="1"/>
        <rFont val="Aptos Narrow"/>
        <family val="2"/>
        <scheme val="minor"/>
      </rPr>
      <t>eff</t>
    </r>
  </si>
  <si>
    <r>
      <t>b</t>
    </r>
    <r>
      <rPr>
        <vertAlign val="subscript"/>
        <sz val="12"/>
        <color theme="1"/>
        <rFont val="Aptos Narrow"/>
        <family val="2"/>
        <scheme val="minor"/>
      </rPr>
      <t>eff</t>
    </r>
  </si>
  <si>
    <r>
      <t>AREA DI 
CONTROLLO [m</t>
    </r>
    <r>
      <rPr>
        <vertAlign val="superscript"/>
        <sz val="12"/>
        <color theme="1"/>
        <rFont val="Aptos Narrow (Body)"/>
      </rPr>
      <t>2</t>
    </r>
    <r>
      <rPr>
        <sz val="12"/>
        <color theme="1"/>
        <rFont val="Aptos Narrow (Body)"/>
      </rPr>
      <t>]</t>
    </r>
  </si>
  <si>
    <t>Media x2</t>
  </si>
  <si>
    <t>Piccola x1</t>
  </si>
  <si>
    <t>Grande x3</t>
  </si>
  <si>
    <t>Codice prodotto</t>
  </si>
  <si>
    <t>Potenzialità di 
movimentazione [UDC/h]</t>
  </si>
  <si>
    <t>EST_STAMP_001</t>
  </si>
  <si>
    <t>MAGAZZINO MATERIE PRIME</t>
  </si>
  <si>
    <t>EST_STAMP_002</t>
  </si>
  <si>
    <t>EST_STAMP_003</t>
  </si>
  <si>
    <t>EST_STAMP_004</t>
  </si>
  <si>
    <t>EST_STAMP_009</t>
  </si>
  <si>
    <t>EST_SICUR_001</t>
  </si>
  <si>
    <t>EST_SICUR_002</t>
  </si>
  <si>
    <t>EST_ELETTR_001</t>
  </si>
  <si>
    <t>EST_ELETTR_003</t>
  </si>
  <si>
    <t>EST_ELETTR_005</t>
  </si>
  <si>
    <t>INT_ASS_001</t>
  </si>
  <si>
    <t>PEZZI 
FINITI</t>
  </si>
  <si>
    <t>INT_ASS_002</t>
  </si>
  <si>
    <t>INT_SAL_001</t>
  </si>
  <si>
    <t>BUFFER</t>
  </si>
  <si>
    <t>INT_SAL_002</t>
  </si>
  <si>
    <t>NUMERO KIT</t>
  </si>
  <si>
    <t>lung</t>
  </si>
  <si>
    <t>larg</t>
  </si>
  <si>
    <t>Spazio totale</t>
  </si>
  <si>
    <t>lunghezza area</t>
  </si>
  <si>
    <t>lunghezza area pallet</t>
  </si>
  <si>
    <t>Tot kit</t>
  </si>
  <si>
    <t>Pallet =</t>
  </si>
  <si>
    <t>Ttot</t>
  </si>
  <si>
    <t>takt time</t>
  </si>
  <si>
    <t>Kit tot</t>
  </si>
  <si>
    <t>kit :</t>
  </si>
  <si>
    <t>odette</t>
  </si>
  <si>
    <t xml:space="preserve"> odette/udc</t>
  </si>
  <si>
    <t>pezzi</t>
  </si>
  <si>
    <t>num pallet</t>
  </si>
  <si>
    <t>corpo airbag</t>
  </si>
  <si>
    <t>X2</t>
  </si>
  <si>
    <t>cornice airbag</t>
  </si>
  <si>
    <t>X1</t>
  </si>
  <si>
    <t>centralina A1</t>
  </si>
  <si>
    <t>centralina B</t>
  </si>
  <si>
    <t>cavo</t>
  </si>
  <si>
    <t>X3</t>
  </si>
  <si>
    <t>bulloneria</t>
  </si>
  <si>
    <t>centralina A2</t>
  </si>
  <si>
    <t>centralina D</t>
  </si>
  <si>
    <t>TOT</t>
  </si>
  <si>
    <t>PRODUZIONE</t>
  </si>
  <si>
    <t>A1,A2</t>
  </si>
  <si>
    <t>B,D</t>
  </si>
  <si>
    <t>sequenza</t>
  </si>
  <si>
    <t>(min)</t>
  </si>
  <si>
    <t>Tempi di prod KIT</t>
  </si>
  <si>
    <t>Vel. Carrello =</t>
  </si>
  <si>
    <t>Tempo Tragitto (s)</t>
  </si>
  <si>
    <t>Tempo s. Post</t>
  </si>
  <si>
    <t>Tempo sosta (s)</t>
  </si>
  <si>
    <t>Ttot (h)</t>
  </si>
  <si>
    <t>Kit/viaggio</t>
  </si>
  <si>
    <t>Tsat (min)</t>
  </si>
  <si>
    <t>Tprod (TOT)</t>
  </si>
  <si>
    <t>Tprod(kit)</t>
  </si>
  <si>
    <t>Persone</t>
  </si>
  <si>
    <t>Tprop(persona)</t>
  </si>
  <si>
    <t>TA1 =</t>
  </si>
  <si>
    <t>strada trenino 1 =</t>
  </si>
  <si>
    <t>TA2 =</t>
  </si>
  <si>
    <t>strada trenino 2 =</t>
  </si>
  <si>
    <t>TB =</t>
  </si>
  <si>
    <t>strada trenino B,D =</t>
  </si>
  <si>
    <t>TD =</t>
  </si>
  <si>
    <t>X4</t>
  </si>
  <si>
    <t>CICLI DI RICARICA PALLET</t>
  </si>
  <si>
    <t>RESTART</t>
  </si>
  <si>
    <t>Viaggio 1</t>
  </si>
  <si>
    <t>Prod 1</t>
  </si>
  <si>
    <t>TOT 1</t>
  </si>
  <si>
    <t>Reload</t>
  </si>
  <si>
    <t>Viaggio 2</t>
  </si>
  <si>
    <t>Prod 2</t>
  </si>
  <si>
    <t>TOT 2</t>
  </si>
  <si>
    <t>Viaggio 3</t>
  </si>
  <si>
    <t>Prod 3</t>
  </si>
  <si>
    <t>TOT 3</t>
  </si>
  <si>
    <t>Viaggio 4</t>
  </si>
  <si>
    <t>Prod 4</t>
  </si>
  <si>
    <t>TOT 4</t>
  </si>
  <si>
    <t>Viaggio 5</t>
  </si>
  <si>
    <t>Prod 5</t>
  </si>
  <si>
    <t>TOT 5</t>
  </si>
  <si>
    <t>Viaggio 6</t>
  </si>
  <si>
    <t>Prod 6</t>
  </si>
  <si>
    <t>TOT 6</t>
  </si>
  <si>
    <t>Viaggio 7</t>
  </si>
  <si>
    <t>Prod 7</t>
  </si>
  <si>
    <t>TOT 7</t>
  </si>
  <si>
    <t>Viaggio 8</t>
  </si>
  <si>
    <t>Prod 8</t>
  </si>
  <si>
    <t>TOT 8</t>
  </si>
  <si>
    <t>TOT PROD</t>
  </si>
  <si>
    <t>Tempo (h)</t>
  </si>
  <si>
    <t>Dist. Media =</t>
  </si>
  <si>
    <t>Kit A1 =</t>
  </si>
  <si>
    <t>Kit A2 =</t>
  </si>
  <si>
    <t>Viaggi  (8)=</t>
  </si>
  <si>
    <t>Kit B =</t>
  </si>
  <si>
    <t>Viaggi (16) =</t>
  </si>
  <si>
    <t>Kit D =</t>
  </si>
  <si>
    <t>Num. Oper =</t>
  </si>
  <si>
    <t>MOVIMENTI MENSILI [UDC pieni]</t>
  </si>
  <si>
    <t>Tdisp</t>
  </si>
  <si>
    <t xml:space="preserve">DA / A </t>
  </si>
  <si>
    <t>MAG. MP</t>
  </si>
  <si>
    <t>MAG. PF</t>
  </si>
  <si>
    <t>ASS_FIN</t>
  </si>
  <si>
    <t>BUFF_SALD</t>
  </si>
  <si>
    <t>SALD</t>
  </si>
  <si>
    <t>DISTANZE [m]</t>
  </si>
  <si>
    <t>TEMPI SPOSTAMENTO ti A/R [sec]</t>
  </si>
  <si>
    <t># MEZZI DI MOVIMENTAZIONE</t>
  </si>
  <si>
    <t>TEMPI TOTALI MENSILI [sec]</t>
  </si>
  <si>
    <t>Controllo di produzione</t>
  </si>
  <si>
    <t>FORNITORE</t>
  </si>
  <si>
    <t>CLIENTE</t>
  </si>
  <si>
    <t>Freq. Consegne:3-5gg</t>
  </si>
  <si>
    <t>Freq. Consegne: 4gg</t>
  </si>
  <si>
    <t>180115 pz/mese</t>
  </si>
  <si>
    <t>25582 pz/mese</t>
  </si>
  <si>
    <t>102326 pz/mese</t>
  </si>
  <si>
    <t>23562 pz/mese</t>
  </si>
  <si>
    <t>1163 pz/giorno</t>
  </si>
  <si>
    <t>1071 pz/giorno</t>
  </si>
  <si>
    <t>Production supervisor</t>
  </si>
  <si>
    <t>Contenitore: 4 pz</t>
  </si>
  <si>
    <t>Turni: 2</t>
  </si>
  <si>
    <t>Saldatura</t>
  </si>
  <si>
    <t>Assemblaggio</t>
  </si>
  <si>
    <t>CT</t>
  </si>
  <si>
    <t>2 min</t>
  </si>
  <si>
    <t>2,5 min</t>
  </si>
  <si>
    <t>C/O</t>
  </si>
  <si>
    <t>45 min</t>
  </si>
  <si>
    <t>0 min</t>
  </si>
  <si>
    <t>Lotto</t>
  </si>
  <si>
    <t>Disponib</t>
  </si>
  <si>
    <t>UE</t>
  </si>
  <si>
    <t>3,9 gg</t>
  </si>
  <si>
    <t>4,5 gg</t>
  </si>
  <si>
    <t>2,2 gg</t>
  </si>
  <si>
    <t>17054 pz/mese</t>
  </si>
  <si>
    <t>10098 pz/mese</t>
  </si>
  <si>
    <t>776 pz/giorno</t>
  </si>
  <si>
    <t>459 pz/giorno</t>
  </si>
  <si>
    <t>Contenitore: 3 pz</t>
  </si>
  <si>
    <t># carrelli</t>
  </si>
  <si>
    <t>Aree accessorie</t>
  </si>
  <si>
    <t>MAG_MP</t>
  </si>
  <si>
    <r>
      <t>Coeff</t>
    </r>
    <r>
      <rPr>
        <vertAlign val="subscript"/>
        <sz val="12"/>
        <color theme="1"/>
        <rFont val="Aptos Narrow"/>
        <family val="2"/>
        <scheme val="minor"/>
      </rPr>
      <t>durata batt</t>
    </r>
  </si>
  <si>
    <t>AREA</t>
  </si>
  <si>
    <t>Superficie [m^2]</t>
  </si>
  <si>
    <t>MAG_PF</t>
  </si>
  <si>
    <t>Attrezzeria + manutenzione</t>
  </si>
  <si>
    <t>MAG_BUFFER</t>
  </si>
  <si>
    <t>Isola tecnica</t>
  </si>
  <si>
    <t>INT</t>
  </si>
  <si>
    <t>Entrata</t>
  </si>
  <si>
    <t>TOT_eff</t>
  </si>
  <si>
    <t>Uffici</t>
  </si>
  <si>
    <t>min 150</t>
  </si>
  <si>
    <t>Spogliatoi</t>
  </si>
  <si>
    <t xml:space="preserve"># dipendenti </t>
  </si>
  <si>
    <t>Servizi igienici</t>
  </si>
  <si>
    <t>Mensa</t>
  </si>
  <si>
    <t>DIP_log</t>
  </si>
  <si>
    <t>Area ristoro</t>
  </si>
  <si>
    <t>DIP_prod</t>
  </si>
  <si>
    <t>Infermeria</t>
  </si>
  <si>
    <t>TOT_diretti</t>
  </si>
  <si>
    <t>Uffici supervisori</t>
  </si>
  <si>
    <t>TBD</t>
  </si>
  <si>
    <t>TOT_indiretti</t>
  </si>
  <si>
    <t>TOT_dip</t>
  </si>
  <si>
    <t>Area carrelli toyota</t>
  </si>
  <si>
    <t>Area carrelli linde</t>
  </si>
  <si>
    <t>Area trenini</t>
  </si>
  <si>
    <t>Area trenini senza carrelli</t>
  </si>
  <si>
    <t>Area eff senza corridoi</t>
  </si>
  <si>
    <t>Area eff con corridoi</t>
  </si>
  <si>
    <t>N. corridoi</t>
  </si>
  <si>
    <t>[m^2]</t>
  </si>
  <si>
    <t>Area tot</t>
  </si>
  <si>
    <t>Trenini</t>
  </si>
  <si>
    <t>tot</t>
  </si>
  <si>
    <t>DISPOSIZIONE A PETTINE</t>
  </si>
  <si>
    <t>via accesso unidir [m]</t>
  </si>
  <si>
    <t>n° parcheggi auto</t>
  </si>
  <si>
    <t>via accesso bidir. [m]</t>
  </si>
  <si>
    <t>n° parcheggi moto/bici</t>
  </si>
  <si>
    <t>area parcheggio [m^2]</t>
  </si>
  <si>
    <t>marciapiede perimetrale [m]</t>
  </si>
  <si>
    <t>larghezza [m]</t>
  </si>
  <si>
    <t>profondità [m]</t>
  </si>
  <si>
    <t>n° parcheggi dis</t>
  </si>
  <si>
    <t>largh. posto dis [m]</t>
  </si>
  <si>
    <t>AREA CAMION</t>
  </si>
  <si>
    <t>lunghezza [m]</t>
  </si>
  <si>
    <t>pendenza prima metà</t>
  </si>
  <si>
    <t>pendenza seconda metà</t>
  </si>
  <si>
    <t>TRITURATORE PER SCARTI</t>
  </si>
  <si>
    <t>DIMENSIONI TRAMOGGIA</t>
  </si>
  <si>
    <t>TRITURATORE BIALBERO</t>
  </si>
  <si>
    <t>MODELLO</t>
  </si>
  <si>
    <t>SUPERFICIE MACINAZIONE  [mm]</t>
  </si>
  <si>
    <t>L [mm]</t>
  </si>
  <si>
    <t>P [mm]</t>
  </si>
  <si>
    <t>H [mm]</t>
  </si>
  <si>
    <t>VOLUME [m^3]</t>
  </si>
  <si>
    <t>WRS SH100</t>
  </si>
  <si>
    <t>965x1900</t>
  </si>
  <si>
    <t>Carico specifico d'incendio</t>
  </si>
  <si>
    <t xml:space="preserve">Investimento </t>
  </si>
  <si>
    <t>MAG MP</t>
  </si>
  <si>
    <t>Item</t>
  </si>
  <si>
    <t>UN.</t>
  </si>
  <si>
    <t>Importo</t>
  </si>
  <si>
    <t>#/dimensione</t>
  </si>
  <si>
    <r>
      <t>g</t>
    </r>
    <r>
      <rPr>
        <vertAlign val="subscript"/>
        <sz val="12"/>
        <color theme="1"/>
        <rFont val="Aptos Narrow"/>
        <family val="2"/>
        <scheme val="minor"/>
      </rPr>
      <t>i</t>
    </r>
  </si>
  <si>
    <t>kg</t>
  </si>
  <si>
    <t>Box saldatura</t>
  </si>
  <si>
    <t>€/cad</t>
  </si>
  <si>
    <r>
      <t>H</t>
    </r>
    <r>
      <rPr>
        <vertAlign val="subscript"/>
        <sz val="12"/>
        <color theme="1"/>
        <rFont val="Aptos Narrow"/>
        <family val="2"/>
        <scheme val="minor"/>
      </rPr>
      <t>u, i</t>
    </r>
  </si>
  <si>
    <t>MJ/kg</t>
  </si>
  <si>
    <t>Linea di montaggio</t>
  </si>
  <si>
    <t>€/m</t>
  </si>
  <si>
    <r>
      <t>m</t>
    </r>
    <r>
      <rPr>
        <vertAlign val="subscript"/>
        <sz val="12"/>
        <color theme="1"/>
        <rFont val="Aptos Narrow"/>
        <family val="2"/>
        <scheme val="minor"/>
      </rPr>
      <t>i</t>
    </r>
  </si>
  <si>
    <t>Edificio industriale</t>
  </si>
  <si>
    <r>
      <t>€/m</t>
    </r>
    <r>
      <rPr>
        <vertAlign val="superscript"/>
        <sz val="12"/>
        <color theme="1"/>
        <rFont val="Aptos Narrow"/>
        <family val="2"/>
        <scheme val="minor"/>
      </rPr>
      <t>2</t>
    </r>
  </si>
  <si>
    <r>
      <t>Ψ</t>
    </r>
    <r>
      <rPr>
        <vertAlign val="subscript"/>
        <sz val="12"/>
        <color theme="1"/>
        <rFont val="Aptos Narrow"/>
        <family val="2"/>
      </rPr>
      <t>i</t>
    </r>
  </si>
  <si>
    <t>Impianti generali</t>
  </si>
  <si>
    <r>
      <t>A</t>
    </r>
    <r>
      <rPr>
        <vertAlign val="subscript"/>
        <sz val="12"/>
        <color theme="1"/>
        <rFont val="Aptos Narrow"/>
        <family val="2"/>
      </rPr>
      <t>f</t>
    </r>
  </si>
  <si>
    <t>Scaffalature tradizionali</t>
  </si>
  <si>
    <r>
      <t>q</t>
    </r>
    <r>
      <rPr>
        <vertAlign val="subscript"/>
        <sz val="12"/>
        <color theme="1"/>
        <rFont val="Aptos Narrow"/>
        <family val="2"/>
      </rPr>
      <t>f</t>
    </r>
  </si>
  <si>
    <t>MJ/m^2</t>
  </si>
  <si>
    <t>REI CORRISPONDENTE</t>
  </si>
  <si>
    <t>Scaffalature drive-through</t>
  </si>
  <si>
    <t>MAG BUFFER</t>
  </si>
  <si>
    <t>Carrelli elevatori</t>
  </si>
  <si>
    <t>Trasportatori a rulli folli</t>
  </si>
  <si>
    <t>Trasportatori a rulli motorizzati</t>
  </si>
  <si>
    <t>Portoni</t>
  </si>
  <si>
    <t>Bocche di carico</t>
  </si>
  <si>
    <t>Trituratore</t>
  </si>
  <si>
    <t>MAG PF</t>
  </si>
  <si>
    <t>Porte di sicurezza</t>
  </si>
  <si>
    <t>SALDATURA</t>
  </si>
  <si>
    <t>Numero</t>
  </si>
  <si>
    <t>Consumo di aria libera [m^3/h]</t>
  </si>
  <si>
    <t>FT(base)%</t>
  </si>
  <si>
    <t>FT(reale)%</t>
  </si>
  <si>
    <t>FL %</t>
  </si>
  <si>
    <t>Pressione (bar)</t>
  </si>
  <si>
    <t>B(Fattore di carico)</t>
  </si>
  <si>
    <t>Molatrice</t>
  </si>
  <si>
    <t>Perforatrice</t>
  </si>
  <si>
    <t>ARIA COMPRESSA NECESSARIA</t>
  </si>
  <si>
    <t>Ramo</t>
  </si>
  <si>
    <t>Strumenti</t>
  </si>
  <si>
    <t>utilizzatori</t>
  </si>
  <si>
    <t>FAD(m^3/min)</t>
  </si>
  <si>
    <t>TC(min)</t>
  </si>
  <si>
    <t>WF</t>
  </si>
  <si>
    <t>TF</t>
  </si>
  <si>
    <t>B(fattore di carico)</t>
  </si>
  <si>
    <t>AC(m^3/min)</t>
  </si>
  <si>
    <t>AC(m^3/s)</t>
  </si>
  <si>
    <t>2,5</t>
  </si>
  <si>
    <t>SF</t>
  </si>
  <si>
    <t>DIAMETRI CONDOTTI</t>
  </si>
  <si>
    <t>compression ratio</t>
  </si>
  <si>
    <t>PIPE SIZING</t>
  </si>
  <si>
    <t>part</t>
  </si>
  <si>
    <t>FR [m^3/s]</t>
  </si>
  <si>
    <t>velocità aria [m/s]</t>
  </si>
  <si>
    <t>A(m^2)</t>
  </si>
  <si>
    <t>calcolato</t>
  </si>
  <si>
    <t>D[mm]</t>
  </si>
  <si>
    <t>DN [mm]</t>
  </si>
  <si>
    <t>Int [mm]</t>
  </si>
  <si>
    <t>Aeff (m^2)</t>
  </si>
  <si>
    <t>velocità aria effettiva [m/s]</t>
  </si>
  <si>
    <t>gen-ring</t>
  </si>
  <si>
    <t>loop ring</t>
  </si>
  <si>
    <t>ramo 1</t>
  </si>
  <si>
    <t>ramo 2</t>
  </si>
  <si>
    <t>ramo 3</t>
  </si>
  <si>
    <t>ramo 4</t>
  </si>
  <si>
    <t>ramo 5</t>
  </si>
  <si>
    <t>PERDITE DI CARICO</t>
  </si>
  <si>
    <t>VALVOLE</t>
  </si>
  <si>
    <t>GOMITI</t>
  </si>
  <si>
    <t>GIUNTI DRITTI</t>
  </si>
  <si>
    <t>GIUNTI A T (D=)</t>
  </si>
  <si>
    <t>GIUNTI A T (RID)</t>
  </si>
  <si>
    <t>TUBO FLESSIBILE [m]</t>
  </si>
  <si>
    <t>Perdita</t>
  </si>
  <si>
    <t>Leq [m]</t>
  </si>
  <si>
    <t>PD [bar]</t>
  </si>
  <si>
    <t>Branch PD [bar]</t>
  </si>
  <si>
    <t>massimo</t>
  </si>
  <si>
    <t>PRESSIONE =</t>
  </si>
  <si>
    <t>bar</t>
  </si>
  <si>
    <t>Avvitatore</t>
  </si>
  <si>
    <t>Rivettatrice</t>
  </si>
  <si>
    <t>ramo 6</t>
  </si>
  <si>
    <t>SISTEMA COMPLESSIVO</t>
  </si>
  <si>
    <t>COMPRESSORE</t>
  </si>
  <si>
    <t>le misure vanno messe in metri non in mm</t>
  </si>
  <si>
    <t>VALVE</t>
  </si>
  <si>
    <t>GIUNTI A T diametro fisso</t>
  </si>
  <si>
    <t>GIUNTI A T riduttori</t>
  </si>
  <si>
    <t>ELBOW</t>
  </si>
  <si>
    <t>tubi flessibili</t>
  </si>
  <si>
    <t>REDUCER</t>
  </si>
  <si>
    <t>Q.TA' PF (L=1500 + L=1750) [pz/mese]</t>
  </si>
  <si>
    <t>Ore Lavoro/mese</t>
  </si>
  <si>
    <t xml:space="preserve">LOTTO
[pz]
</t>
  </si>
  <si>
    <t xml:space="preserve">SET_UP
[min]
</t>
  </si>
  <si>
    <t xml:space="preserve">TC 
[min/pz]
</t>
  </si>
  <si>
    <t>T_POT
[min]</t>
  </si>
  <si>
    <t>T_DISP
[min]</t>
  </si>
  <si>
    <t>T_setup
[min]</t>
  </si>
  <si>
    <t>T_DISP_NETTO
[min]</t>
  </si>
  <si>
    <t>T_PROD
[min]</t>
  </si>
  <si>
    <t>TAKT
TIME
[min/pz]</t>
  </si>
  <si>
    <t>NUM
POST (LINEE)
TEORICO</t>
  </si>
  <si>
    <t>NUM
POST (LINEE)
EFFETTIVO</t>
  </si>
  <si>
    <t>Q.TA' PF L=1500 [pz/mese]</t>
  </si>
  <si>
    <t>GG Lavoro/mese</t>
  </si>
  <si>
    <t>Q.TA' PF L=1750 [pz/mese]</t>
  </si>
  <si>
    <t>Ore/ giorno</t>
  </si>
  <si>
    <t>LAVORAZIONE</t>
  </si>
  <si>
    <t>A1/A2</t>
  </si>
  <si>
    <t>B/D</t>
  </si>
  <si>
    <t>ASSEMBLAGGIO FINALE</t>
  </si>
  <si>
    <t>TOT_SALD</t>
  </si>
  <si>
    <t>TOT_ASS_4X</t>
  </si>
  <si>
    <t>TOT_ASS_9X</t>
  </si>
  <si>
    <t>N. POST
TEORICO</t>
  </si>
  <si>
    <t>N. LINEE
EFFETTIVO</t>
  </si>
  <si>
    <t>N. POST/LINEA
EFFETTIVO</t>
  </si>
  <si>
    <t>T_POT linea</t>
  </si>
  <si>
    <t>T_netto linea</t>
  </si>
  <si>
    <t>A_linea</t>
  </si>
  <si>
    <t>P</t>
  </si>
  <si>
    <t>SATURAZ%
linea</t>
  </si>
  <si>
    <t>P_linea</t>
  </si>
  <si>
    <t>Q</t>
  </si>
  <si>
    <t xml:space="preserve">OEE
linea
</t>
  </si>
  <si>
    <t>Con 15h</t>
  </si>
  <si>
    <t>Δ OEE</t>
  </si>
  <si>
    <t>REPARTO</t>
  </si>
  <si>
    <t>N. POST
EFFETTIVO</t>
  </si>
  <si>
    <t>T_POT Reparto</t>
  </si>
  <si>
    <t>T_netto reparto</t>
  </si>
  <si>
    <t>A_rep</t>
  </si>
  <si>
    <t>SATURAZ%</t>
  </si>
  <si>
    <t>P_rep</t>
  </si>
  <si>
    <t>OEE</t>
  </si>
  <si>
    <t>COD.</t>
  </si>
  <si>
    <t>DESCRIZIONE CENTRI DI LAVORO</t>
  </si>
  <si>
    <t>DISP
(A*)</t>
  </si>
  <si>
    <t>PERF
(P*)</t>
  </si>
  <si>
    <t>QUAL
(Q)</t>
  </si>
  <si>
    <t>SAL</t>
  </si>
  <si>
    <t>Calcolo EPEI &amp; Lotto EPEI</t>
  </si>
  <si>
    <t>NUM
POST (LINEE)
EFFETIVO</t>
  </si>
  <si>
    <t>Domanda
mensile</t>
  </si>
  <si>
    <t># lotti</t>
  </si>
  <si>
    <t>Tc [min]</t>
  </si>
  <si>
    <t>T_run
[min]</t>
  </si>
  <si>
    <t>T_setup
[ore]</t>
  </si>
  <si>
    <t>T_totale
[ore]</t>
  </si>
  <si>
    <t>Domanda
giornaliera</t>
  </si>
  <si>
    <t>EPEI</t>
  </si>
  <si>
    <t>Lotto
EPEI</t>
  </si>
  <si>
    <t>TOT [min]</t>
  </si>
  <si>
    <t>TOT [ore]</t>
  </si>
  <si>
    <t>T_prod</t>
  </si>
  <si>
    <t>(CORPO + INSERTO) PLANCIA SEGMENTO A1</t>
  </si>
  <si>
    <t>(CORPO + INSERTO) PLANCIA SEGMENTO B</t>
  </si>
  <si>
    <t>Configurazione attuale [saldatura]</t>
  </si>
  <si>
    <t>Configurazione con lotto EPEI [saldatura]</t>
  </si>
  <si>
    <t>Durata campagna</t>
  </si>
  <si>
    <t>giorni</t>
  </si>
  <si>
    <t># campagne teoriche</t>
  </si>
  <si>
    <t>campagne</t>
  </si>
  <si>
    <t># lotti al mese richiesti per macchina per prodotto</t>
  </si>
  <si>
    <t>lotti/prodotto</t>
  </si>
  <si>
    <t>Δ tempo mensile</t>
  </si>
  <si>
    <t>Δ prodotti mensili</t>
  </si>
  <si>
    <t>prodotti</t>
  </si>
  <si>
    <t># UdC max per prodotto per macchina</t>
  </si>
  <si>
    <t># UdC per macchina</t>
  </si>
  <si>
    <t># UdC totali</t>
  </si>
  <si>
    <t>Configurazione con lotto EPEI [A1-A2]</t>
  </si>
  <si>
    <t>Configurazione con lotto EPEI [B-D]</t>
  </si>
  <si>
    <t>SALDATURA - Dati Generali</t>
  </si>
  <si>
    <t>CP</t>
  </si>
  <si>
    <t>E</t>
  </si>
  <si>
    <t>F</t>
  </si>
  <si>
    <t>Fmax</t>
  </si>
  <si>
    <t>Durata</t>
  </si>
  <si>
    <t>FFmax</t>
  </si>
  <si>
    <t>Peso effettivo</t>
  </si>
  <si>
    <t>SCARSA</t>
  </si>
  <si>
    <t>CORPO+PLANCIA A1</t>
  </si>
  <si>
    <t>CORPO+PLANCIA B</t>
  </si>
  <si>
    <t>SALDATURA - Fattori</t>
  </si>
  <si>
    <t>FA</t>
  </si>
  <si>
    <t>FB</t>
  </si>
  <si>
    <t>FC</t>
  </si>
  <si>
    <t>FD</t>
  </si>
  <si>
    <t>FE</t>
  </si>
  <si>
    <t>FF</t>
  </si>
  <si>
    <t>PR</t>
  </si>
  <si>
    <t>IS</t>
  </si>
  <si>
    <t>Prmax</t>
  </si>
  <si>
    <t>ISmax</t>
  </si>
  <si>
    <t>FT</t>
  </si>
  <si>
    <t>Atti/min A1</t>
  </si>
  <si>
    <t>Atti/min B</t>
  </si>
  <si>
    <t>Δk</t>
  </si>
  <si>
    <t>ISCS</t>
  </si>
  <si>
    <t>PICKING - Dati Generali</t>
  </si>
  <si>
    <t>Piani odette</t>
  </si>
  <si>
    <t>Peso KIT</t>
  </si>
  <si>
    <t>Corpo airbag</t>
  </si>
  <si>
    <t>Piano 1</t>
  </si>
  <si>
    <t>Cornice airbag</t>
  </si>
  <si>
    <t>Piano 2</t>
  </si>
  <si>
    <t>Centralina A1</t>
  </si>
  <si>
    <t>Piano 3</t>
  </si>
  <si>
    <t>Cavo</t>
  </si>
  <si>
    <t>Piano 4</t>
  </si>
  <si>
    <t>Bulloneria</t>
  </si>
  <si>
    <t>Peso TOT</t>
  </si>
  <si>
    <t>PICKING - Fattori</t>
  </si>
  <si>
    <t>T_ricarica</t>
  </si>
  <si>
    <t>Tot trenini</t>
  </si>
  <si>
    <t>Terreno</t>
  </si>
  <si>
    <t>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</si>
</sst>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-* #,##0.00\ &quot;€&quot;_-;\-* #,##0.00\ &quot;€&quot;_-;_-* &quot;-&quot;??\ &quot;€&quot;_-;_-@_-"/>
    <numFmt numFmtId="165" formatCode="0.0%"/>
    <numFmt numFmtId="166" formatCode="0.0"/>
    <numFmt numFmtId="167" formatCode="##\ &quot;h&quot;"/>
    <numFmt numFmtId="168" formatCode="##.00\ &quot;h&quot;"/>
    <numFmt numFmtId="169" formatCode="#####\ &quot;kg&quot;"/>
    <numFmt numFmtId="170" formatCode="####\ &quot;kg&quot;"/>
    <numFmt numFmtId="171" formatCode="0.000"/>
    <numFmt numFmtId="172" formatCode="0.000000"/>
    <numFmt numFmtId="173" formatCode="#,##0.00\ &quot;€&quot;"/>
    <numFmt numFmtId="174" formatCode="_-* #,##0.00\ [$€-410]_-;\-* #,##0.00\ [$€-410]_-;_-* &quot;-&quot;??\ [$€-410]_-;_-@_-"/>
    <numFmt numFmtId="175" formatCode="_-* #,##0\ [$€-410]_-;\-* #,##0\ [$€-410]_-;_-* &quot;-&quot;??\ [$€-410]_-;_-@_-"/>
    <numFmt numFmtId="176" formatCode="0.00\ &quot;m^2&quot;"/>
    <numFmt numFmtId="177" formatCode="0.0000"/>
    <numFmt numFmtId="178" formatCode="_([$€-2]\ * #,##0.00_);_([$€-2]\ * \(#,##0.00\);_([$€-2]\ * &quot;-&quot;??_);_(@_)"/>
    <numFmt numFmtId="179" formatCode="#,##0.000"/>
    <numFmt numFmtId="180" formatCode="0.00000"/>
    <numFmt numFmtId="181" formatCode="0.00\ &quot;min&quot;"/>
  </numFmts>
  <fonts count="6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b/>
      <u/>
      <sz val="12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name val="Aptos Narrow"/>
      <family val="2"/>
      <scheme val="minor"/>
    </font>
    <font>
      <sz val="10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color rgb="FF000000"/>
      <name val="Tahoma"/>
      <family val="2"/>
    </font>
    <font>
      <vertAlign val="superscript"/>
      <sz val="12"/>
      <color theme="1"/>
      <name val="Aptos Narrow (Body)"/>
    </font>
    <font>
      <sz val="12"/>
      <color theme="1"/>
      <name val="Aptos Narrow (Body)"/>
    </font>
    <font>
      <vertAlign val="subscript"/>
      <sz val="12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24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"/>
      <name val="Aptos Narrow"/>
      <family val="2"/>
    </font>
    <font>
      <vertAlign val="superscript"/>
      <sz val="12"/>
      <color theme="1"/>
      <name val="Aptos Narrow"/>
      <family val="2"/>
      <scheme val="minor"/>
    </font>
    <font>
      <b/>
      <vertAlign val="subscript"/>
      <sz val="12"/>
      <color theme="1"/>
      <name val="Aptos Narrow"/>
      <family val="2"/>
      <scheme val="minor"/>
    </font>
    <font>
      <b/>
      <vertAlign val="superscript"/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36"/>
      <color theme="1"/>
      <name val="Aptos Narrow"/>
      <family val="2"/>
      <scheme val="minor"/>
    </font>
    <font>
      <sz val="8"/>
      <color rgb="FF00000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8"/>
      <color rgb="FF000000"/>
      <name val="Aptos Narrow"/>
      <family val="2"/>
    </font>
    <font>
      <sz val="12"/>
      <color rgb="FF000000"/>
      <name val="Aptos Narrow"/>
      <family val="2"/>
    </font>
    <font>
      <b/>
      <sz val="12"/>
      <color rgb="FFFF000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sz val="12"/>
      <color theme="5" tint="0.39997558519241921"/>
      <name val="Aptos Narrow"/>
      <family val="2"/>
      <scheme val="minor"/>
    </font>
    <font>
      <sz val="10"/>
      <color rgb="FFFF0000"/>
      <name val="Arial"/>
      <family val="2"/>
    </font>
    <font>
      <sz val="10"/>
      <color theme="0"/>
      <name val="Arial"/>
      <family val="2"/>
    </font>
    <font>
      <sz val="12"/>
      <color rgb="FF000000"/>
      <name val="Aptos Narrow"/>
      <scheme val="minor"/>
    </font>
    <font>
      <sz val="8"/>
      <color rgb="FF000000"/>
      <name val="Aptos Narrow"/>
      <scheme val="minor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b/>
      <sz val="20"/>
      <color theme="1"/>
      <name val="Aptos Narrow"/>
      <scheme val="minor"/>
    </font>
    <font>
      <sz val="20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vertAlign val="subscript"/>
      <sz val="12"/>
      <color theme="1"/>
      <name val="Aptos Narrow"/>
      <family val="2"/>
    </font>
    <font>
      <b/>
      <sz val="12"/>
      <color theme="1"/>
      <name val="Aptos Narrow"/>
      <family val="2"/>
    </font>
    <font>
      <b/>
      <sz val="20"/>
      <color indexed="81"/>
      <name val="Tahoma"/>
      <family val="2"/>
    </font>
    <font>
      <b/>
      <sz val="22"/>
      <color theme="1"/>
      <name val="Aptos Narrow"/>
      <family val="2"/>
      <scheme val="minor"/>
    </font>
    <font>
      <sz val="12"/>
      <color theme="1"/>
      <name val="Aptos Display"/>
      <family val="2"/>
      <scheme val="major"/>
    </font>
    <font>
      <b/>
      <sz val="14"/>
      <color theme="1"/>
      <name val="Aptos Display"/>
      <family val="2"/>
      <scheme val="major"/>
    </font>
    <font>
      <sz val="11"/>
      <color theme="1"/>
      <name val="Aptos Display"/>
      <family val="2"/>
      <scheme val="major"/>
    </font>
    <font>
      <b/>
      <sz val="14"/>
      <color rgb="FF000000"/>
      <name val="Aptos Display"/>
      <family val="2"/>
      <scheme val="major"/>
    </font>
    <font>
      <b/>
      <sz val="12"/>
      <color rgb="FF000000"/>
      <name val="Aptos Narrow"/>
      <family val="2"/>
      <scheme val="minor"/>
    </font>
    <font>
      <b/>
      <sz val="12"/>
      <color theme="1"/>
      <name val="Aptos Display"/>
      <family val="2"/>
      <scheme val="major"/>
    </font>
    <font>
      <b/>
      <sz val="12"/>
      <color theme="1"/>
      <name val="Aptos Narrow"/>
      <scheme val="minor"/>
    </font>
    <font>
      <b/>
      <sz val="12"/>
      <color rgb="FFEE5F26"/>
      <name val="Aptos Narrow"/>
      <family val="2"/>
      <scheme val="minor"/>
    </font>
    <font>
      <sz val="22"/>
      <color theme="1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C973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499923703726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6" tint="0.79998168889431442"/>
        <bgColor indexed="64"/>
      </patternFill>
    </fill>
  </fills>
  <borders count="1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thin">
        <color rgb="FF505050"/>
      </top>
      <bottom/>
      <diagonal/>
    </border>
    <border>
      <left/>
      <right style="thin">
        <color rgb="FF505050"/>
      </right>
      <top/>
      <bottom/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indexed="64"/>
      </top>
      <bottom style="thin">
        <color rgb="FF505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/>
      <right/>
      <top/>
      <bottom/>
      <diagonal style="thick">
        <color auto="1"/>
      </diagonal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7" fillId="0" borderId="0" applyFont="0" applyFill="0" applyBorder="0" applyAlignment="0" applyProtection="0"/>
    <xf numFmtId="0" fontId="36" fillId="0" borderId="69" applyNumberFormat="0" applyFill="0" applyAlignment="0" applyProtection="0"/>
    <xf numFmtId="0" fontId="7" fillId="7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15" borderId="0" applyNumberFormat="0" applyBorder="0" applyAlignment="0" applyProtection="0"/>
    <xf numFmtId="164" fontId="7" fillId="0" borderId="0" applyFont="0" applyFill="0" applyBorder="0" applyAlignment="0" applyProtection="0"/>
  </cellStyleXfs>
  <cellXfs count="76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5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3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3" fontId="0" fillId="2" borderId="1" xfId="0" applyNumberFormat="1" applyFill="1" applyBorder="1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/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3" fontId="0" fillId="0" borderId="0" xfId="0" applyNumberFormat="1" applyAlignment="1">
      <alignment vertical="center"/>
    </xf>
    <xf numFmtId="0" fontId="2" fillId="0" borderId="0" xfId="0" applyFont="1" applyAlignment="1">
      <alignment wrapText="1"/>
    </xf>
    <xf numFmtId="165" fontId="2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1" fontId="0" fillId="0" borderId="0" xfId="0" applyNumberFormat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21" xfId="0" applyBorder="1"/>
    <xf numFmtId="0" fontId="1" fillId="0" borderId="0" xfId="0" applyFont="1" applyAlignment="1">
      <alignment vertical="center" wrapText="1"/>
    </xf>
    <xf numFmtId="0" fontId="0" fillId="0" borderId="18" xfId="0" applyBorder="1"/>
    <xf numFmtId="3" fontId="0" fillId="0" borderId="0" xfId="0" applyNumberFormat="1" applyAlignment="1">
      <alignment horizontal="right"/>
    </xf>
    <xf numFmtId="0" fontId="4" fillId="0" borderId="0" xfId="0" applyFont="1" applyAlignment="1">
      <alignment horizontal="center"/>
    </xf>
    <xf numFmtId="0" fontId="0" fillId="0" borderId="19" xfId="0" applyBorder="1"/>
    <xf numFmtId="1" fontId="0" fillId="0" borderId="19" xfId="0" applyNumberForma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/>
    <xf numFmtId="0" fontId="0" fillId="0" borderId="22" xfId="0" applyBorder="1"/>
    <xf numFmtId="167" fontId="0" fillId="0" borderId="0" xfId="0" applyNumberFormat="1"/>
    <xf numFmtId="0" fontId="6" fillId="0" borderId="0" xfId="0" applyFont="1" applyAlignment="1">
      <alignment horizontal="center" vertical="center" wrapText="1"/>
    </xf>
    <xf numFmtId="0" fontId="9" fillId="3" borderId="2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vertical="center"/>
    </xf>
    <xf numFmtId="3" fontId="1" fillId="0" borderId="0" xfId="0" applyNumberFormat="1" applyFont="1" applyAlignment="1">
      <alignment vertical="center" textRotation="90" wrapText="1"/>
    </xf>
    <xf numFmtId="3" fontId="1" fillId="0" borderId="0" xfId="0" applyNumberFormat="1" applyFont="1" applyAlignment="1">
      <alignment vertical="center" textRotation="90"/>
    </xf>
    <xf numFmtId="3" fontId="1" fillId="0" borderId="0" xfId="0" applyNumberFormat="1" applyFont="1"/>
    <xf numFmtId="3" fontId="0" fillId="0" borderId="0" xfId="0" applyNumberFormat="1" applyAlignment="1">
      <alignment vertical="center" textRotation="90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2" fontId="0" fillId="0" borderId="0" xfId="0" applyNumberFormat="1"/>
    <xf numFmtId="10" fontId="0" fillId="0" borderId="0" xfId="0" applyNumberFormat="1"/>
    <xf numFmtId="168" fontId="0" fillId="0" borderId="0" xfId="0" applyNumberFormat="1"/>
    <xf numFmtId="3" fontId="11" fillId="2" borderId="1" xfId="0" applyNumberFormat="1" applyFont="1" applyFill="1" applyBorder="1" applyAlignment="1">
      <alignment horizontal="center"/>
    </xf>
    <xf numFmtId="0" fontId="11" fillId="0" borderId="21" xfId="0" applyFont="1" applyBorder="1" applyAlignment="1">
      <alignment horizontal="center"/>
    </xf>
    <xf numFmtId="169" fontId="0" fillId="0" borderId="0" xfId="0" applyNumberFormat="1"/>
    <xf numFmtId="170" fontId="0" fillId="0" borderId="21" xfId="0" applyNumberFormat="1" applyBorder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0" fillId="0" borderId="5" xfId="0" applyBorder="1" applyAlignment="1">
      <alignment horizontal="center"/>
    </xf>
    <xf numFmtId="165" fontId="2" fillId="0" borderId="4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 wrapText="1"/>
    </xf>
    <xf numFmtId="0" fontId="0" fillId="0" borderId="29" xfId="0" applyBorder="1"/>
    <xf numFmtId="0" fontId="0" fillId="0" borderId="30" xfId="0" applyBorder="1" applyAlignment="1">
      <alignment horizontal="center"/>
    </xf>
    <xf numFmtId="0" fontId="0" fillId="0" borderId="45" xfId="0" applyBorder="1"/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171" fontId="0" fillId="0" borderId="0" xfId="0" applyNumberFormat="1"/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22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2" fontId="0" fillId="0" borderId="0" xfId="0" applyNumberFormat="1" applyAlignment="1">
      <alignment horizontal="right"/>
    </xf>
    <xf numFmtId="9" fontId="0" fillId="0" borderId="0" xfId="0" applyNumberFormat="1"/>
    <xf numFmtId="0" fontId="0" fillId="0" borderId="0" xfId="0" applyAlignment="1">
      <alignment wrapText="1"/>
    </xf>
    <xf numFmtId="172" fontId="0" fillId="0" borderId="0" xfId="0" applyNumberFormat="1"/>
    <xf numFmtId="1" fontId="0" fillId="0" borderId="0" xfId="0" applyNumberFormat="1"/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4" borderId="1" xfId="0" applyFill="1" applyBorder="1" applyAlignment="1">
      <alignment horizontal="center"/>
    </xf>
    <xf numFmtId="173" fontId="0" fillId="0" borderId="0" xfId="0" applyNumberFormat="1"/>
    <xf numFmtId="0" fontId="0" fillId="5" borderId="0" xfId="0" applyFill="1"/>
    <xf numFmtId="0" fontId="0" fillId="5" borderId="0" xfId="0" applyFill="1" applyAlignment="1">
      <alignment wrapText="1"/>
    </xf>
    <xf numFmtId="0" fontId="1" fillId="4" borderId="0" xfId="0" applyFont="1" applyFill="1"/>
    <xf numFmtId="0" fontId="24" fillId="0" borderId="0" xfId="0" applyFont="1"/>
    <xf numFmtId="0" fontId="24" fillId="0" borderId="0" xfId="0" applyFont="1" applyAlignment="1">
      <alignment horizontal="center"/>
    </xf>
    <xf numFmtId="0" fontId="1" fillId="2" borderId="46" xfId="0" applyFont="1" applyFill="1" applyBorder="1" applyAlignment="1">
      <alignment horizontal="center"/>
    </xf>
    <xf numFmtId="176" fontId="1" fillId="2" borderId="46" xfId="0" applyNumberFormat="1" applyFont="1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4" borderId="16" xfId="0" applyFill="1" applyBorder="1" applyAlignment="1">
      <alignment horizontal="center"/>
    </xf>
    <xf numFmtId="0" fontId="0" fillId="0" borderId="17" xfId="0" applyBorder="1"/>
    <xf numFmtId="166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5" fontId="0" fillId="0" borderId="21" xfId="0" applyNumberFormat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21" xfId="0" applyFont="1" applyBorder="1"/>
    <xf numFmtId="173" fontId="0" fillId="0" borderId="19" xfId="0" applyNumberFormat="1" applyBorder="1"/>
    <xf numFmtId="2" fontId="0" fillId="0" borderId="19" xfId="0" applyNumberFormat="1" applyBorder="1"/>
    <xf numFmtId="2" fontId="0" fillId="0" borderId="19" xfId="0" applyNumberFormat="1" applyBorder="1" applyAlignment="1">
      <alignment horizontal="center"/>
    </xf>
    <xf numFmtId="0" fontId="0" fillId="4" borderId="0" xfId="0" applyFill="1" applyAlignment="1">
      <alignment horizontal="center"/>
    </xf>
    <xf numFmtId="0" fontId="24" fillId="0" borderId="0" xfId="0" applyFont="1" applyAlignment="1">
      <alignment horizontal="centerContinuous"/>
    </xf>
    <xf numFmtId="0" fontId="24" fillId="0" borderId="19" xfId="0" applyFont="1" applyBorder="1" applyAlignment="1">
      <alignment horizontal="center"/>
    </xf>
    <xf numFmtId="0" fontId="25" fillId="0" borderId="0" xfId="0" applyFont="1"/>
    <xf numFmtId="174" fontId="0" fillId="0" borderId="0" xfId="0" applyNumberFormat="1"/>
    <xf numFmtId="0" fontId="25" fillId="0" borderId="21" xfId="0" applyFont="1" applyBorder="1"/>
    <xf numFmtId="10" fontId="0" fillId="0" borderId="21" xfId="1" applyNumberFormat="1" applyFont="1" applyBorder="1"/>
    <xf numFmtId="0" fontId="0" fillId="0" borderId="21" xfId="0" applyBorder="1" applyAlignment="1">
      <alignment horizontal="left"/>
    </xf>
    <xf numFmtId="0" fontId="1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/>
    <xf numFmtId="0" fontId="12" fillId="0" borderId="16" xfId="0" applyFont="1" applyBorder="1" applyAlignment="1">
      <alignment horizontal="center"/>
    </xf>
    <xf numFmtId="1" fontId="11" fillId="0" borderId="0" xfId="0" applyNumberFormat="1" applyFont="1" applyAlignment="1">
      <alignment horizontal="center" vertical="center" wrapText="1"/>
    </xf>
    <xf numFmtId="170" fontId="0" fillId="0" borderId="0" xfId="0" applyNumberFormat="1" applyAlignment="1">
      <alignment horizontal="center"/>
    </xf>
    <xf numFmtId="0" fontId="0" fillId="0" borderId="34" xfId="0" applyBorder="1" applyAlignment="1">
      <alignment horizontal="center" vertical="center"/>
    </xf>
    <xf numFmtId="10" fontId="29" fillId="0" borderId="0" xfId="0" applyNumberFormat="1" applyFont="1"/>
    <xf numFmtId="166" fontId="0" fillId="0" borderId="0" xfId="0" applyNumberFormat="1"/>
    <xf numFmtId="0" fontId="0" fillId="0" borderId="46" xfId="0" applyBorder="1"/>
    <xf numFmtId="0" fontId="0" fillId="0" borderId="36" xfId="0" applyBorder="1" applyAlignment="1">
      <alignment wrapText="1"/>
    </xf>
    <xf numFmtId="0" fontId="0" fillId="0" borderId="38" xfId="0" applyBorder="1"/>
    <xf numFmtId="171" fontId="0" fillId="0" borderId="20" xfId="0" applyNumberFormat="1" applyBorder="1"/>
    <xf numFmtId="171" fontId="0" fillId="0" borderId="36" xfId="0" applyNumberFormat="1" applyBorder="1"/>
    <xf numFmtId="171" fontId="0" fillId="0" borderId="39" xfId="0" applyNumberFormat="1" applyBorder="1"/>
    <xf numFmtId="0" fontId="32" fillId="0" borderId="0" xfId="0" applyFont="1"/>
    <xf numFmtId="0" fontId="34" fillId="0" borderId="0" xfId="0" applyFont="1"/>
    <xf numFmtId="0" fontId="35" fillId="0" borderId="0" xfId="0" applyFont="1"/>
    <xf numFmtId="0" fontId="10" fillId="0" borderId="46" xfId="0" applyFont="1" applyBorder="1"/>
    <xf numFmtId="171" fontId="10" fillId="0" borderId="36" xfId="0" applyNumberFormat="1" applyFont="1" applyBorder="1"/>
    <xf numFmtId="0" fontId="10" fillId="0" borderId="38" xfId="0" applyFont="1" applyBorder="1"/>
    <xf numFmtId="171" fontId="10" fillId="0" borderId="20" xfId="0" applyNumberFormat="1" applyFont="1" applyBorder="1"/>
    <xf numFmtId="0" fontId="10" fillId="0" borderId="22" xfId="0" applyFont="1" applyBorder="1"/>
    <xf numFmtId="0" fontId="36" fillId="0" borderId="69" xfId="2"/>
    <xf numFmtId="0" fontId="29" fillId="0" borderId="0" xfId="0" applyFont="1"/>
    <xf numFmtId="0" fontId="0" fillId="4" borderId="0" xfId="0" applyFill="1"/>
    <xf numFmtId="177" fontId="0" fillId="0" borderId="0" xfId="0" applyNumberFormat="1"/>
    <xf numFmtId="0" fontId="0" fillId="0" borderId="0" xfId="0" applyAlignment="1">
      <alignment horizontal="center" vertical="center" textRotation="90"/>
    </xf>
    <xf numFmtId="0" fontId="0" fillId="7" borderId="0" xfId="3" applyFont="1"/>
    <xf numFmtId="0" fontId="24" fillId="7" borderId="0" xfId="3" applyFont="1" applyAlignment="1">
      <alignment horizontal="center"/>
    </xf>
    <xf numFmtId="0" fontId="0" fillId="0" borderId="71" xfId="0" applyBorder="1"/>
    <xf numFmtId="0" fontId="10" fillId="0" borderId="70" xfId="0" applyFont="1" applyBorder="1" applyAlignment="1">
      <alignment horizontal="center"/>
    </xf>
    <xf numFmtId="0" fontId="0" fillId="0" borderId="70" xfId="0" applyBorder="1"/>
    <xf numFmtId="0" fontId="0" fillId="4" borderId="70" xfId="0" applyFill="1" applyBorder="1" applyAlignment="1">
      <alignment horizontal="center"/>
    </xf>
    <xf numFmtId="0" fontId="0" fillId="0" borderId="73" xfId="0" applyBorder="1"/>
    <xf numFmtId="0" fontId="0" fillId="0" borderId="72" xfId="0" applyBorder="1"/>
    <xf numFmtId="0" fontId="0" fillId="0" borderId="76" xfId="0" applyBorder="1"/>
    <xf numFmtId="0" fontId="0" fillId="0" borderId="77" xfId="0" applyBorder="1" applyAlignment="1">
      <alignment horizontal="center"/>
    </xf>
    <xf numFmtId="0" fontId="0" fillId="0" borderId="78" xfId="0" applyBorder="1"/>
    <xf numFmtId="0" fontId="0" fillId="0" borderId="79" xfId="0" applyBorder="1" applyAlignment="1">
      <alignment horizontal="center"/>
    </xf>
    <xf numFmtId="2" fontId="0" fillId="0" borderId="79" xfId="0" applyNumberFormat="1" applyBorder="1" applyAlignment="1">
      <alignment horizontal="center"/>
    </xf>
    <xf numFmtId="0" fontId="0" fillId="0" borderId="80" xfId="0" applyBorder="1"/>
    <xf numFmtId="0" fontId="0" fillId="0" borderId="81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82" xfId="0" applyBorder="1"/>
    <xf numFmtId="2" fontId="0" fillId="5" borderId="81" xfId="0" applyNumberFormat="1" applyFill="1" applyBorder="1" applyAlignment="1">
      <alignment horizontal="center"/>
    </xf>
    <xf numFmtId="0" fontId="29" fillId="0" borderId="78" xfId="0" applyFont="1" applyBorder="1"/>
    <xf numFmtId="178" fontId="0" fillId="0" borderId="0" xfId="0" applyNumberFormat="1"/>
    <xf numFmtId="2" fontId="0" fillId="0" borderId="1" xfId="0" applyNumberFormat="1" applyBorder="1" applyAlignment="1">
      <alignment horizontal="center"/>
    </xf>
    <xf numFmtId="0" fontId="38" fillId="0" borderId="0" xfId="0" applyFont="1"/>
    <xf numFmtId="178" fontId="38" fillId="0" borderId="0" xfId="0" applyNumberFormat="1" applyFont="1"/>
    <xf numFmtId="0" fontId="0" fillId="8" borderId="0" xfId="0" applyFill="1"/>
    <xf numFmtId="178" fontId="0" fillId="8" borderId="0" xfId="0" applyNumberFormat="1" applyFill="1"/>
    <xf numFmtId="0" fontId="0" fillId="9" borderId="0" xfId="0" applyFill="1"/>
    <xf numFmtId="0" fontId="0" fillId="10" borderId="0" xfId="0" applyFill="1"/>
    <xf numFmtId="0" fontId="0" fillId="0" borderId="20" xfId="0" applyBorder="1" applyAlignment="1">
      <alignment vertical="center"/>
    </xf>
    <xf numFmtId="175" fontId="0" fillId="0" borderId="0" xfId="0" applyNumberFormat="1"/>
    <xf numFmtId="1" fontId="1" fillId="2" borderId="46" xfId="0" applyNumberFormat="1" applyFont="1" applyFill="1" applyBorder="1" applyAlignment="1">
      <alignment horizontal="center"/>
    </xf>
    <xf numFmtId="2" fontId="0" fillId="2" borderId="22" xfId="0" applyNumberFormat="1" applyFill="1" applyBorder="1"/>
    <xf numFmtId="0" fontId="9" fillId="0" borderId="0" xfId="0" applyFont="1"/>
    <xf numFmtId="0" fontId="1" fillId="0" borderId="84" xfId="0" applyFont="1" applyBorder="1" applyAlignment="1">
      <alignment horizontal="center"/>
    </xf>
    <xf numFmtId="0" fontId="1" fillId="0" borderId="87" xfId="0" applyFont="1" applyBorder="1" applyAlignment="1">
      <alignment horizontal="center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9" fillId="15" borderId="69" xfId="5" applyFont="1" applyBorder="1"/>
    <xf numFmtId="0" fontId="9" fillId="15" borderId="0" xfId="5" applyFont="1"/>
    <xf numFmtId="0" fontId="0" fillId="7" borderId="0" xfId="3" applyFont="1" applyAlignment="1">
      <alignment horizontal="center"/>
    </xf>
    <xf numFmtId="166" fontId="0" fillId="7" borderId="0" xfId="3" applyNumberFormat="1" applyFont="1"/>
    <xf numFmtId="1" fontId="0" fillId="7" borderId="0" xfId="3" applyNumberFormat="1" applyFont="1"/>
    <xf numFmtId="2" fontId="0" fillId="7" borderId="0" xfId="3" applyNumberFormat="1" applyFont="1"/>
    <xf numFmtId="0" fontId="10" fillId="7" borderId="0" xfId="4" applyFont="1" applyFill="1"/>
    <xf numFmtId="0" fontId="1" fillId="5" borderId="0" xfId="0" applyFont="1" applyFill="1"/>
    <xf numFmtId="0" fontId="0" fillId="0" borderId="0" xfId="0" applyAlignment="1">
      <alignment vertical="center" textRotation="90"/>
    </xf>
    <xf numFmtId="0" fontId="0" fillId="0" borderId="88" xfId="0" applyBorder="1"/>
    <xf numFmtId="0" fontId="0" fillId="0" borderId="89" xfId="0" applyBorder="1"/>
    <xf numFmtId="0" fontId="0" fillId="0" borderId="90" xfId="0" applyBorder="1"/>
    <xf numFmtId="0" fontId="0" fillId="0" borderId="79" xfId="0" applyBorder="1"/>
    <xf numFmtId="0" fontId="0" fillId="0" borderId="81" xfId="0" applyBorder="1"/>
    <xf numFmtId="0" fontId="41" fillId="0" borderId="78" xfId="0" applyFont="1" applyBorder="1"/>
    <xf numFmtId="0" fontId="41" fillId="0" borderId="80" xfId="0" applyFont="1" applyBorder="1"/>
    <xf numFmtId="0" fontId="0" fillId="0" borderId="90" xfId="0" applyBorder="1" applyAlignment="1">
      <alignment horizontal="center"/>
    </xf>
    <xf numFmtId="0" fontId="46" fillId="0" borderId="0" xfId="0" applyFont="1" applyAlignment="1">
      <alignment vertical="center"/>
    </xf>
    <xf numFmtId="0" fontId="1" fillId="2" borderId="91" xfId="0" applyFont="1" applyFill="1" applyBorder="1" applyAlignment="1">
      <alignment horizontal="center"/>
    </xf>
    <xf numFmtId="0" fontId="0" fillId="0" borderId="91" xfId="0" applyBorder="1"/>
    <xf numFmtId="0" fontId="0" fillId="0" borderId="91" xfId="0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29" fillId="23" borderId="88" xfId="0" applyFont="1" applyFill="1" applyBorder="1"/>
    <xf numFmtId="0" fontId="29" fillId="0" borderId="80" xfId="0" applyFont="1" applyBorder="1"/>
    <xf numFmtId="0" fontId="0" fillId="0" borderId="85" xfId="0" applyBorder="1" applyAlignment="1">
      <alignment horizontal="center"/>
    </xf>
    <xf numFmtId="0" fontId="0" fillId="20" borderId="0" xfId="0" applyFill="1"/>
    <xf numFmtId="0" fontId="0" fillId="0" borderId="92" xfId="0" applyBorder="1" applyAlignment="1">
      <alignment horizontal="center"/>
    </xf>
    <xf numFmtId="0" fontId="43" fillId="0" borderId="0" xfId="0" applyFont="1"/>
    <xf numFmtId="0" fontId="48" fillId="0" borderId="0" xfId="0" applyFont="1"/>
    <xf numFmtId="0" fontId="0" fillId="0" borderId="0" xfId="0" applyAlignment="1">
      <alignment vertical="center"/>
    </xf>
    <xf numFmtId="10" fontId="0" fillId="0" borderId="0" xfId="0" applyNumberFormat="1" applyAlignment="1">
      <alignment horizontal="center"/>
    </xf>
    <xf numFmtId="0" fontId="29" fillId="23" borderId="89" xfId="0" applyFont="1" applyFill="1" applyBorder="1"/>
    <xf numFmtId="10" fontId="0" fillId="14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0" fillId="0" borderId="12" xfId="0" applyBorder="1"/>
    <xf numFmtId="180" fontId="0" fillId="0" borderId="32" xfId="0" applyNumberFormat="1" applyBorder="1"/>
    <xf numFmtId="0" fontId="0" fillId="0" borderId="32" xfId="0" applyBorder="1" applyAlignment="1">
      <alignment horizontal="center" vertical="center"/>
    </xf>
    <xf numFmtId="180" fontId="0" fillId="0" borderId="32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2" xfId="0" applyBorder="1"/>
    <xf numFmtId="0" fontId="0" fillId="13" borderId="13" xfId="0" applyFill="1" applyBorder="1"/>
    <xf numFmtId="0" fontId="0" fillId="0" borderId="2" xfId="0" applyBorder="1"/>
    <xf numFmtId="180" fontId="0" fillId="0" borderId="0" xfId="0" applyNumberFormat="1"/>
    <xf numFmtId="180" fontId="0" fillId="0" borderId="0" xfId="0" applyNumberFormat="1" applyAlignment="1">
      <alignment horizontal="center"/>
    </xf>
    <xf numFmtId="0" fontId="0" fillId="13" borderId="10" xfId="0" applyFill="1" applyBorder="1"/>
    <xf numFmtId="0" fontId="49" fillId="4" borderId="0" xfId="0" applyFont="1" applyFill="1"/>
    <xf numFmtId="3" fontId="0" fillId="0" borderId="2" xfId="0" applyNumberFormat="1" applyBorder="1"/>
    <xf numFmtId="0" fontId="29" fillId="23" borderId="93" xfId="0" applyFont="1" applyFill="1" applyBorder="1"/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94" xfId="0" applyBorder="1"/>
    <xf numFmtId="0" fontId="29" fillId="23" borderId="15" xfId="0" applyFont="1" applyFill="1" applyBorder="1"/>
    <xf numFmtId="0" fontId="29" fillId="23" borderId="16" xfId="0" applyFont="1" applyFill="1" applyBorder="1"/>
    <xf numFmtId="0" fontId="25" fillId="0" borderId="18" xfId="0" applyFont="1" applyBorder="1"/>
    <xf numFmtId="0" fontId="25" fillId="0" borderId="20" xfId="0" applyFont="1" applyBorder="1"/>
    <xf numFmtId="175" fontId="0" fillId="0" borderId="19" xfId="6" applyNumberFormat="1" applyFont="1" applyBorder="1"/>
    <xf numFmtId="0" fontId="0" fillId="0" borderId="95" xfId="0" applyBorder="1" applyAlignment="1">
      <alignment horizontal="center"/>
    </xf>
    <xf numFmtId="0" fontId="0" fillId="24" borderId="0" xfId="0" applyFill="1"/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5" borderId="36" xfId="0" applyFill="1" applyBorder="1"/>
    <xf numFmtId="0" fontId="0" fillId="5" borderId="38" xfId="0" applyFill="1" applyBorder="1" applyAlignment="1">
      <alignment horizontal="right"/>
    </xf>
    <xf numFmtId="1" fontId="0" fillId="5" borderId="38" xfId="0" applyNumberFormat="1" applyFill="1" applyBorder="1"/>
    <xf numFmtId="0" fontId="0" fillId="5" borderId="38" xfId="0" applyFill="1" applyBorder="1"/>
    <xf numFmtId="9" fontId="0" fillId="5" borderId="38" xfId="0" applyNumberFormat="1" applyFill="1" applyBorder="1"/>
    <xf numFmtId="0" fontId="0" fillId="5" borderId="0" xfId="0" applyFill="1" applyAlignment="1">
      <alignment horizontal="center"/>
    </xf>
    <xf numFmtId="3" fontId="0" fillId="22" borderId="1" xfId="0" applyNumberFormat="1" applyFill="1" applyBorder="1"/>
    <xf numFmtId="177" fontId="54" fillId="0" borderId="0" xfId="0" applyNumberFormat="1" applyFont="1" applyAlignment="1">
      <alignment horizontal="center" vertical="center"/>
    </xf>
    <xf numFmtId="2" fontId="54" fillId="0" borderId="0" xfId="0" applyNumberFormat="1" applyFont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2" fontId="55" fillId="0" borderId="0" xfId="0" applyNumberFormat="1" applyFont="1" applyAlignment="1">
      <alignment vertical="center"/>
    </xf>
    <xf numFmtId="177" fontId="56" fillId="0" borderId="0" xfId="0" applyNumberFormat="1" applyFont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2" fontId="57" fillId="0" borderId="0" xfId="0" applyNumberFormat="1" applyFont="1" applyAlignment="1">
      <alignment vertical="center"/>
    </xf>
    <xf numFmtId="0" fontId="0" fillId="0" borderId="99" xfId="0" applyBorder="1" applyAlignment="1">
      <alignment horizontal="center"/>
    </xf>
    <xf numFmtId="3" fontId="54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0" fontId="0" fillId="0" borderId="107" xfId="0" applyBorder="1" applyAlignment="1">
      <alignment horizontal="center"/>
    </xf>
    <xf numFmtId="3" fontId="0" fillId="18" borderId="1" xfId="0" applyNumberFormat="1" applyFill="1" applyBorder="1"/>
    <xf numFmtId="3" fontId="0" fillId="18" borderId="105" xfId="0" applyNumberFormat="1" applyFill="1" applyBorder="1" applyAlignment="1">
      <alignment horizontal="center" vertical="center"/>
    </xf>
    <xf numFmtId="0" fontId="0" fillId="18" borderId="108" xfId="0" applyFill="1" applyBorder="1" applyAlignment="1">
      <alignment horizontal="center" vertical="center"/>
    </xf>
    <xf numFmtId="2" fontId="0" fillId="18" borderId="108" xfId="0" applyNumberFormat="1" applyFill="1" applyBorder="1" applyAlignment="1">
      <alignment horizontal="center" vertical="center"/>
    </xf>
    <xf numFmtId="3" fontId="0" fillId="18" borderId="108" xfId="0" applyNumberFormat="1" applyFill="1" applyBorder="1" applyAlignment="1">
      <alignment horizontal="center"/>
    </xf>
    <xf numFmtId="4" fontId="0" fillId="18" borderId="108" xfId="0" applyNumberFormat="1" applyFill="1" applyBorder="1" applyAlignment="1">
      <alignment horizontal="center"/>
    </xf>
    <xf numFmtId="179" fontId="0" fillId="18" borderId="108" xfId="0" applyNumberFormat="1" applyFill="1" applyBorder="1" applyAlignment="1">
      <alignment horizontal="center"/>
    </xf>
    <xf numFmtId="0" fontId="29" fillId="0" borderId="107" xfId="0" applyFont="1" applyBorder="1" applyAlignment="1">
      <alignment horizontal="center"/>
    </xf>
    <xf numFmtId="3" fontId="0" fillId="28" borderId="1" xfId="0" applyNumberFormat="1" applyFill="1" applyBorder="1"/>
    <xf numFmtId="3" fontId="0" fillId="18" borderId="107" xfId="0" applyNumberFormat="1" applyFill="1" applyBorder="1" applyAlignment="1">
      <alignment horizontal="center" vertical="center"/>
    </xf>
    <xf numFmtId="0" fontId="0" fillId="18" borderId="99" xfId="0" applyFill="1" applyBorder="1" applyAlignment="1">
      <alignment horizontal="center" vertical="center"/>
    </xf>
    <xf numFmtId="2" fontId="0" fillId="28" borderId="99" xfId="0" applyNumberFormat="1" applyFill="1" applyBorder="1" applyAlignment="1">
      <alignment horizontal="center" vertical="center"/>
    </xf>
    <xf numFmtId="3" fontId="0" fillId="18" borderId="99" xfId="0" applyNumberFormat="1" applyFill="1" applyBorder="1" applyAlignment="1">
      <alignment horizontal="center"/>
    </xf>
    <xf numFmtId="3" fontId="0" fillId="28" borderId="99" xfId="0" applyNumberFormat="1" applyFill="1" applyBorder="1" applyAlignment="1">
      <alignment horizontal="center"/>
    </xf>
    <xf numFmtId="4" fontId="0" fillId="18" borderId="99" xfId="0" applyNumberFormat="1" applyFill="1" applyBorder="1" applyAlignment="1">
      <alignment horizontal="center"/>
    </xf>
    <xf numFmtId="179" fontId="0" fillId="18" borderId="99" xfId="0" applyNumberFormat="1" applyFill="1" applyBorder="1" applyAlignment="1">
      <alignment horizontal="center"/>
    </xf>
    <xf numFmtId="2" fontId="0" fillId="18" borderId="99" xfId="0" applyNumberFormat="1" applyFill="1" applyBorder="1" applyAlignment="1">
      <alignment horizontal="center" vertical="center"/>
    </xf>
    <xf numFmtId="0" fontId="29" fillId="0" borderId="99" xfId="0" applyFont="1" applyBorder="1" applyAlignment="1">
      <alignment horizontal="center"/>
    </xf>
    <xf numFmtId="3" fontId="0" fillId="22" borderId="1" xfId="0" applyNumberForma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2" fontId="0" fillId="22" borderId="1" xfId="0" applyNumberFormat="1" applyFill="1" applyBorder="1" applyAlignment="1">
      <alignment horizontal="center" vertical="center"/>
    </xf>
    <xf numFmtId="3" fontId="0" fillId="22" borderId="1" xfId="0" applyNumberFormat="1" applyFill="1" applyBorder="1" applyAlignment="1">
      <alignment horizontal="center"/>
    </xf>
    <xf numFmtId="177" fontId="0" fillId="22" borderId="1" xfId="0" applyNumberFormat="1" applyFill="1" applyBorder="1" applyAlignment="1">
      <alignment horizontal="center" vertical="center"/>
    </xf>
    <xf numFmtId="179" fontId="0" fillId="22" borderId="1" xfId="0" applyNumberFormat="1" applyFill="1" applyBorder="1" applyAlignment="1">
      <alignment horizontal="center" vertical="center"/>
    </xf>
    <xf numFmtId="1" fontId="0" fillId="22" borderId="1" xfId="0" applyNumberFormat="1" applyFill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3" fontId="0" fillId="25" borderId="1" xfId="0" applyNumberFormat="1" applyFill="1" applyBorder="1"/>
    <xf numFmtId="3" fontId="0" fillId="25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2" fontId="0" fillId="25" borderId="1" xfId="0" applyNumberFormat="1" applyFill="1" applyBorder="1" applyAlignment="1">
      <alignment horizontal="center" vertical="center"/>
    </xf>
    <xf numFmtId="3" fontId="0" fillId="25" borderId="1" xfId="0" applyNumberFormat="1" applyFill="1" applyBorder="1" applyAlignment="1">
      <alignment horizontal="center"/>
    </xf>
    <xf numFmtId="177" fontId="0" fillId="25" borderId="1" xfId="0" applyNumberForma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0" fillId="22" borderId="1" xfId="0" applyFill="1" applyBorder="1" applyAlignment="1">
      <alignment horizontal="center"/>
    </xf>
    <xf numFmtId="1" fontId="11" fillId="22" borderId="1" xfId="1" applyNumberFormat="1" applyFont="1" applyFill="1" applyBorder="1" applyAlignment="1">
      <alignment vertical="center"/>
    </xf>
    <xf numFmtId="10" fontId="11" fillId="22" borderId="1" xfId="0" applyNumberFormat="1" applyFont="1" applyFill="1" applyBorder="1" applyAlignment="1">
      <alignment vertical="center"/>
    </xf>
    <xf numFmtId="10" fontId="11" fillId="22" borderId="1" xfId="1" applyNumberFormat="1" applyFont="1" applyFill="1" applyBorder="1" applyAlignment="1">
      <alignment horizontal="center" vertical="center"/>
    </xf>
    <xf numFmtId="0" fontId="29" fillId="0" borderId="1" xfId="0" applyFont="1" applyBorder="1"/>
    <xf numFmtId="0" fontId="29" fillId="25" borderId="1" xfId="0" applyFont="1" applyFill="1" applyBorder="1" applyAlignment="1">
      <alignment horizontal="center"/>
    </xf>
    <xf numFmtId="1" fontId="0" fillId="25" borderId="1" xfId="0" applyNumberFormat="1" applyFill="1" applyBorder="1" applyAlignment="1">
      <alignment vertical="center"/>
    </xf>
    <xf numFmtId="1" fontId="11" fillId="25" borderId="1" xfId="1" applyNumberFormat="1" applyFont="1" applyFill="1" applyBorder="1" applyAlignment="1">
      <alignment vertical="center"/>
    </xf>
    <xf numFmtId="10" fontId="11" fillId="25" borderId="1" xfId="0" applyNumberFormat="1" applyFont="1" applyFill="1" applyBorder="1" applyAlignment="1">
      <alignment vertical="center"/>
    </xf>
    <xf numFmtId="10" fontId="11" fillId="25" borderId="1" xfId="1" applyNumberFormat="1" applyFont="1" applyFill="1" applyBorder="1" applyAlignment="1">
      <alignment horizontal="center" vertical="center"/>
    </xf>
    <xf numFmtId="2" fontId="59" fillId="18" borderId="1" xfId="0" applyNumberFormat="1" applyFont="1" applyFill="1" applyBorder="1" applyAlignment="1">
      <alignment horizontal="center" vertical="center" wrapText="1"/>
    </xf>
    <xf numFmtId="3" fontId="0" fillId="18" borderId="1" xfId="0" applyNumberFormat="1" applyFill="1" applyBorder="1" applyAlignment="1">
      <alignment horizontal="center"/>
    </xf>
    <xf numFmtId="3" fontId="0" fillId="28" borderId="1" xfId="0" applyNumberFormat="1" applyFill="1" applyBorder="1" applyAlignment="1">
      <alignment horizontal="center"/>
    </xf>
    <xf numFmtId="0" fontId="58" fillId="0" borderId="0" xfId="0" applyFont="1" applyAlignment="1">
      <alignment vertical="center" wrapText="1"/>
    </xf>
    <xf numFmtId="0" fontId="29" fillId="0" borderId="0" xfId="0" applyFont="1" applyAlignment="1">
      <alignment horizontal="center"/>
    </xf>
    <xf numFmtId="2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3" fontId="0" fillId="27" borderId="1" xfId="0" applyNumberFormat="1" applyFill="1" applyBorder="1"/>
    <xf numFmtId="177" fontId="0" fillId="27" borderId="1" xfId="0" applyNumberFormat="1" applyFill="1" applyBorder="1" applyAlignment="1">
      <alignment horizontal="center" vertical="center"/>
    </xf>
    <xf numFmtId="171" fontId="0" fillId="22" borderId="1" xfId="0" applyNumberForma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2" fontId="58" fillId="0" borderId="0" xfId="0" applyNumberFormat="1" applyFont="1" applyAlignment="1">
      <alignment horizontal="center" vertical="center"/>
    </xf>
    <xf numFmtId="9" fontId="11" fillId="22" borderId="1" xfId="0" applyNumberFormat="1" applyFont="1" applyFill="1" applyBorder="1" applyAlignment="1">
      <alignment horizontal="center" vertical="center"/>
    </xf>
    <xf numFmtId="3" fontId="29" fillId="25" borderId="1" xfId="0" applyNumberFormat="1" applyFont="1" applyFill="1" applyBorder="1" applyAlignment="1">
      <alignment horizontal="center"/>
    </xf>
    <xf numFmtId="9" fontId="11" fillId="25" borderId="1" xfId="0" applyNumberFormat="1" applyFont="1" applyFill="1" applyBorder="1" applyAlignment="1">
      <alignment horizontal="center" vertical="center"/>
    </xf>
    <xf numFmtId="2" fontId="1" fillId="22" borderId="1" xfId="0" applyNumberFormat="1" applyFont="1" applyFill="1" applyBorder="1" applyAlignment="1">
      <alignment vertical="center"/>
    </xf>
    <xf numFmtId="2" fontId="58" fillId="25" borderId="1" xfId="0" applyNumberFormat="1" applyFont="1" applyFill="1" applyBorder="1" applyAlignment="1">
      <alignment vertical="center"/>
    </xf>
    <xf numFmtId="1" fontId="1" fillId="22" borderId="1" xfId="0" applyNumberFormat="1" applyFont="1" applyFill="1" applyBorder="1" applyAlignment="1">
      <alignment horizontal="center" vertical="center"/>
    </xf>
    <xf numFmtId="1" fontId="58" fillId="25" borderId="1" xfId="0" applyNumberFormat="1" applyFont="1" applyFill="1" applyBorder="1" applyAlignment="1">
      <alignment horizontal="center" vertical="center"/>
    </xf>
    <xf numFmtId="10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vertical="center"/>
    </xf>
    <xf numFmtId="2" fontId="0" fillId="26" borderId="0" xfId="0" applyNumberFormat="1" applyFill="1" applyAlignment="1">
      <alignment vertical="center"/>
    </xf>
    <xf numFmtId="3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0" fontId="25" fillId="0" borderId="19" xfId="0" applyFont="1" applyBorder="1"/>
    <xf numFmtId="10" fontId="0" fillId="0" borderId="19" xfId="0" applyNumberFormat="1" applyBorder="1"/>
    <xf numFmtId="0" fontId="58" fillId="0" borderId="18" xfId="0" applyFont="1" applyBorder="1" applyAlignment="1">
      <alignment vertical="center" wrapText="1"/>
    </xf>
    <xf numFmtId="0" fontId="0" fillId="0" borderId="96" xfId="0" applyBorder="1" applyAlignment="1">
      <alignment horizontal="center"/>
    </xf>
    <xf numFmtId="0" fontId="0" fillId="0" borderId="6" xfId="0" applyBorder="1"/>
    <xf numFmtId="0" fontId="0" fillId="0" borderId="112" xfId="0" applyBorder="1"/>
    <xf numFmtId="2" fontId="0" fillId="0" borderId="112" xfId="0" applyNumberFormat="1" applyBorder="1" applyAlignment="1">
      <alignment horizontal="center"/>
    </xf>
    <xf numFmtId="171" fontId="61" fillId="0" borderId="0" xfId="0" applyNumberFormat="1" applyFont="1" applyAlignment="1">
      <alignment vertical="center"/>
    </xf>
    <xf numFmtId="171" fontId="35" fillId="0" borderId="0" xfId="0" applyNumberFormat="1" applyFont="1" applyAlignment="1">
      <alignment vertical="center"/>
    </xf>
    <xf numFmtId="0" fontId="0" fillId="0" borderId="9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4" xfId="0" applyBorder="1" applyAlignment="1">
      <alignment horizontal="center"/>
    </xf>
    <xf numFmtId="177" fontId="0" fillId="29" borderId="0" xfId="0" applyNumberFormat="1" applyFill="1"/>
    <xf numFmtId="0" fontId="62" fillId="0" borderId="0" xfId="0" applyFont="1"/>
    <xf numFmtId="3" fontId="0" fillId="22" borderId="5" xfId="0" applyNumberFormat="1" applyFill="1" applyBorder="1" applyAlignment="1">
      <alignment horizontal="center" vertical="center"/>
    </xf>
    <xf numFmtId="2" fontId="0" fillId="22" borderId="5" xfId="0" applyNumberFormat="1" applyFill="1" applyBorder="1" applyAlignment="1">
      <alignment horizontal="center" vertical="center"/>
    </xf>
    <xf numFmtId="177" fontId="0" fillId="22" borderId="5" xfId="0" applyNumberFormat="1" applyFill="1" applyBorder="1" applyAlignment="1">
      <alignment horizontal="center" vertical="center"/>
    </xf>
    <xf numFmtId="3" fontId="0" fillId="18" borderId="1" xfId="0" applyNumberForma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2" fontId="0" fillId="18" borderId="1" xfId="0" applyNumberFormat="1" applyFill="1" applyBorder="1" applyAlignment="1">
      <alignment horizontal="center" vertical="center"/>
    </xf>
    <xf numFmtId="4" fontId="0" fillId="18" borderId="1" xfId="0" applyNumberFormat="1" applyFill="1" applyBorder="1" applyAlignment="1">
      <alignment horizontal="center"/>
    </xf>
    <xf numFmtId="179" fontId="0" fillId="18" borderId="1" xfId="0" applyNumberFormat="1" applyFill="1" applyBorder="1" applyAlignment="1">
      <alignment horizontal="center"/>
    </xf>
    <xf numFmtId="2" fontId="0" fillId="28" borderId="1" xfId="0" applyNumberFormat="1" applyFill="1" applyBorder="1" applyAlignment="1">
      <alignment horizontal="center" vertical="center"/>
    </xf>
    <xf numFmtId="0" fontId="0" fillId="5" borderId="12" xfId="0" applyFill="1" applyBorder="1"/>
    <xf numFmtId="171" fontId="10" fillId="0" borderId="0" xfId="0" applyNumberFormat="1" applyFont="1"/>
    <xf numFmtId="175" fontId="0" fillId="8" borderId="49" xfId="0" applyNumberFormat="1" applyFill="1" applyBorder="1"/>
    <xf numFmtId="175" fontId="0" fillId="0" borderId="22" xfId="6" applyNumberFormat="1" applyFont="1" applyBorder="1"/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1" fillId="5" borderId="0" xfId="0" applyFont="1" applyFill="1"/>
    <xf numFmtId="0" fontId="1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165" fontId="2" fillId="0" borderId="6" xfId="0" applyNumberFormat="1" applyFont="1" applyBorder="1" applyAlignment="1">
      <alignment horizontal="center" vertical="center"/>
    </xf>
    <xf numFmtId="165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0" xfId="0" applyAlignment="1">
      <alignment horizontal="right" vertical="center"/>
    </xf>
    <xf numFmtId="165" fontId="2" fillId="0" borderId="0" xfId="0" applyNumberFormat="1" applyFont="1" applyAlignment="1">
      <alignment horizontal="center" vertical="center"/>
    </xf>
    <xf numFmtId="3" fontId="0" fillId="0" borderId="39" xfId="0" applyNumberFormat="1" applyBorder="1" applyAlignment="1">
      <alignment horizontal="center" vertical="center"/>
    </xf>
    <xf numFmtId="3" fontId="0" fillId="0" borderId="40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22" fillId="2" borderId="15" xfId="0" applyFont="1" applyFill="1" applyBorder="1" applyAlignment="1">
      <alignment horizontal="center" vertical="center"/>
    </xf>
    <xf numFmtId="0" fontId="22" fillId="2" borderId="16" xfId="0" applyFont="1" applyFill="1" applyBorder="1" applyAlignment="1">
      <alignment horizontal="center" vertical="center"/>
    </xf>
    <xf numFmtId="0" fontId="22" fillId="2" borderId="17" xfId="0" applyFont="1" applyFill="1" applyBorder="1" applyAlignment="1">
      <alignment horizontal="center" vertical="center"/>
    </xf>
    <xf numFmtId="0" fontId="22" fillId="2" borderId="20" xfId="0" applyFont="1" applyFill="1" applyBorder="1" applyAlignment="1">
      <alignment horizontal="center" vertical="center"/>
    </xf>
    <xf numFmtId="0" fontId="22" fillId="2" borderId="21" xfId="0" applyFont="1" applyFill="1" applyBorder="1" applyAlignment="1">
      <alignment horizontal="center" vertical="center"/>
    </xf>
    <xf numFmtId="0" fontId="22" fillId="2" borderId="22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1" fillId="0" borderId="38" xfId="0" applyFont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47" xfId="0" applyFont="1" applyBorder="1" applyAlignment="1">
      <alignment horizontal="center" vertical="center" textRotation="90"/>
    </xf>
    <xf numFmtId="0" fontId="4" fillId="0" borderId="48" xfId="0" applyFont="1" applyBorder="1" applyAlignment="1">
      <alignment horizontal="center" vertical="center" textRotation="90"/>
    </xf>
    <xf numFmtId="0" fontId="4" fillId="0" borderId="49" xfId="0" applyFont="1" applyBorder="1" applyAlignment="1">
      <alignment horizontal="center" vertical="center" textRotation="90"/>
    </xf>
    <xf numFmtId="0" fontId="4" fillId="0" borderId="36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74" xfId="0" applyFont="1" applyBorder="1" applyAlignment="1">
      <alignment horizontal="center"/>
    </xf>
    <xf numFmtId="0" fontId="1" fillId="0" borderId="75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85" xfId="0" applyFont="1" applyBorder="1" applyAlignment="1">
      <alignment horizontal="center"/>
    </xf>
    <xf numFmtId="0" fontId="1" fillId="0" borderId="86" xfId="0" applyFont="1" applyBorder="1" applyAlignment="1">
      <alignment horizontal="center"/>
    </xf>
    <xf numFmtId="0" fontId="0" fillId="0" borderId="78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0" xfId="0"/>
    <xf numFmtId="0" fontId="10" fillId="0" borderId="0" xfId="0" applyFont="1"/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0" fillId="6" borderId="50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9" xfId="0" applyBorder="1" applyAlignment="1">
      <alignment horizontal="center" vertical="center" textRotation="90"/>
    </xf>
    <xf numFmtId="0" fontId="0" fillId="6" borderId="15" xfId="0" applyFill="1" applyBorder="1"/>
    <xf numFmtId="0" fontId="0" fillId="6" borderId="16" xfId="0" applyFill="1" applyBorder="1"/>
    <xf numFmtId="0" fontId="0" fillId="6" borderId="18" xfId="0" applyFill="1" applyBorder="1"/>
    <xf numFmtId="0" fontId="0" fillId="6" borderId="0" xfId="0" applyFill="1"/>
    <xf numFmtId="0" fontId="0" fillId="6" borderId="20" xfId="0" applyFill="1" applyBorder="1"/>
    <xf numFmtId="0" fontId="0" fillId="6" borderId="21" xfId="0" applyFill="1" applyBorder="1"/>
    <xf numFmtId="0" fontId="0" fillId="0" borderId="5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0" xfId="0" applyAlignment="1">
      <alignment horizontal="right" wrapText="1"/>
    </xf>
    <xf numFmtId="166" fontId="0" fillId="0" borderId="0" xfId="0" applyNumberFormat="1" applyAlignment="1">
      <alignment horizontal="right"/>
    </xf>
    <xf numFmtId="0" fontId="0" fillId="6" borderId="61" xfId="0" applyFill="1" applyBorder="1" applyAlignment="1">
      <alignment horizontal="center"/>
    </xf>
    <xf numFmtId="0" fontId="0" fillId="6" borderId="6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65" xfId="0" applyFill="1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0" xfId="0" applyBorder="1" applyAlignment="1">
      <alignment horizontal="center"/>
    </xf>
    <xf numFmtId="0" fontId="30" fillId="6" borderId="15" xfId="0" applyFont="1" applyFill="1" applyBorder="1" applyAlignment="1">
      <alignment horizontal="center" vertical="center"/>
    </xf>
    <xf numFmtId="0" fontId="30" fillId="6" borderId="55" xfId="0" applyFont="1" applyFill="1" applyBorder="1" applyAlignment="1">
      <alignment horizontal="center" vertical="center"/>
    </xf>
    <xf numFmtId="0" fontId="30" fillId="6" borderId="18" xfId="0" applyFont="1" applyFill="1" applyBorder="1" applyAlignment="1">
      <alignment horizontal="center" vertical="center"/>
    </xf>
    <xf numFmtId="0" fontId="30" fillId="6" borderId="56" xfId="0" applyFont="1" applyFill="1" applyBorder="1" applyAlignment="1">
      <alignment horizontal="center" vertical="center"/>
    </xf>
    <xf numFmtId="0" fontId="30" fillId="6" borderId="20" xfId="0" applyFont="1" applyFill="1" applyBorder="1" applyAlignment="1">
      <alignment horizontal="center" vertical="center"/>
    </xf>
    <xf numFmtId="0" fontId="30" fillId="6" borderId="57" xfId="0" applyFont="1" applyFill="1" applyBorder="1" applyAlignment="1">
      <alignment horizontal="center" vertical="center"/>
    </xf>
    <xf numFmtId="0" fontId="30" fillId="6" borderId="52" xfId="0" applyFont="1" applyFill="1" applyBorder="1" applyAlignment="1">
      <alignment horizontal="center" vertical="center"/>
    </xf>
    <xf numFmtId="0" fontId="30" fillId="6" borderId="53" xfId="0" applyFont="1" applyFill="1" applyBorder="1" applyAlignment="1">
      <alignment horizontal="center" vertical="center"/>
    </xf>
    <xf numFmtId="0" fontId="30" fillId="6" borderId="54" xfId="0" applyFont="1" applyFill="1" applyBorder="1" applyAlignment="1">
      <alignment horizontal="center" vertical="center"/>
    </xf>
    <xf numFmtId="0" fontId="30" fillId="6" borderId="23" xfId="0" applyFont="1" applyFill="1" applyBorder="1" applyAlignment="1">
      <alignment horizontal="center" vertical="center"/>
    </xf>
    <xf numFmtId="0" fontId="30" fillId="6" borderId="10" xfId="0" applyFont="1" applyFill="1" applyBorder="1" applyAlignment="1">
      <alignment horizontal="center" vertical="center"/>
    </xf>
    <xf numFmtId="0" fontId="30" fillId="6" borderId="33" xfId="0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2" fillId="0" borderId="0" xfId="0" applyFont="1" applyAlignment="1">
      <alignment horizontal="center" vertical="center" textRotation="25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0" xfId="0" applyFont="1" applyAlignment="1">
      <alignment horizontal="center" vertical="center" textRotation="90"/>
    </xf>
    <xf numFmtId="0" fontId="1" fillId="0" borderId="0" xfId="0" applyFont="1" applyAlignment="1">
      <alignment horizontal="center" vertical="center" textRotation="90" wrapText="1"/>
    </xf>
    <xf numFmtId="0" fontId="0" fillId="0" borderId="0" xfId="0" applyAlignment="1">
      <alignment horizontal="center" vertical="center" textRotation="90"/>
    </xf>
    <xf numFmtId="0" fontId="11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3" fontId="1" fillId="0" borderId="19" xfId="0" applyNumberFormat="1" applyFont="1" applyBorder="1" applyAlignment="1">
      <alignment horizontal="center" vertical="center" textRotation="90" wrapText="1"/>
    </xf>
    <xf numFmtId="170" fontId="0" fillId="0" borderId="0" xfId="0" applyNumberFormat="1" applyAlignment="1">
      <alignment horizontal="center" vertical="center"/>
    </xf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3" fontId="1" fillId="0" borderId="18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5" fillId="0" borderId="21" xfId="0" applyFont="1" applyBorder="1" applyAlignment="1">
      <alignment horizontal="center" vertical="center"/>
    </xf>
    <xf numFmtId="3" fontId="1" fillId="0" borderId="20" xfId="0" applyNumberFormat="1" applyFont="1" applyBorder="1" applyAlignment="1">
      <alignment horizontal="center"/>
    </xf>
    <xf numFmtId="3" fontId="1" fillId="0" borderId="21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 vertical="center" textRotation="90" wrapText="1"/>
    </xf>
    <xf numFmtId="170" fontId="11" fillId="0" borderId="0" xfId="0" applyNumberFormat="1" applyFont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0" fontId="0" fillId="9" borderId="0" xfId="0" applyFill="1" applyAlignment="1">
      <alignment horizontal="center"/>
    </xf>
    <xf numFmtId="3" fontId="45" fillId="4" borderId="12" xfId="0" applyNumberFormat="1" applyFont="1" applyFill="1" applyBorder="1" applyAlignment="1">
      <alignment horizontal="center" vertical="center"/>
    </xf>
    <xf numFmtId="3" fontId="45" fillId="4" borderId="13" xfId="0" applyNumberFormat="1" applyFont="1" applyFill="1" applyBorder="1" applyAlignment="1">
      <alignment horizontal="center" vertical="center"/>
    </xf>
    <xf numFmtId="3" fontId="45" fillId="4" borderId="3" xfId="0" applyNumberFormat="1" applyFont="1" applyFill="1" applyBorder="1" applyAlignment="1">
      <alignment horizontal="center" vertical="center"/>
    </xf>
    <xf numFmtId="3" fontId="45" fillId="4" borderId="11" xfId="0" applyNumberFormat="1" applyFont="1" applyFill="1" applyBorder="1" applyAlignment="1">
      <alignment horizontal="center" vertical="center"/>
    </xf>
    <xf numFmtId="3" fontId="44" fillId="6" borderId="1" xfId="0" applyNumberFormat="1" applyFont="1" applyFill="1" applyBorder="1" applyAlignment="1">
      <alignment horizontal="center" vertical="center"/>
    </xf>
    <xf numFmtId="0" fontId="44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3" fontId="43" fillId="6" borderId="1" xfId="0" applyNumberFormat="1" applyFont="1" applyFill="1" applyBorder="1" applyAlignment="1">
      <alignment horizontal="center" vertical="center"/>
    </xf>
    <xf numFmtId="0" fontId="43" fillId="6" borderId="1" xfId="0" applyFont="1" applyFill="1" applyBorder="1" applyAlignment="1">
      <alignment horizontal="center" vertical="center"/>
    </xf>
    <xf numFmtId="3" fontId="44" fillId="4" borderId="1" xfId="0" applyNumberFormat="1" applyFont="1" applyFill="1" applyBorder="1" applyAlignment="1">
      <alignment horizontal="center" vertical="center"/>
    </xf>
    <xf numFmtId="0" fontId="44" fillId="4" borderId="1" xfId="0" applyFont="1" applyFill="1" applyBorder="1" applyAlignment="1">
      <alignment horizontal="center" vertical="center"/>
    </xf>
    <xf numFmtId="0" fontId="2" fillId="20" borderId="12" xfId="0" applyFont="1" applyFill="1" applyBorder="1" applyAlignment="1">
      <alignment horizontal="center" vertical="center" wrapText="1"/>
    </xf>
    <xf numFmtId="0" fontId="2" fillId="20" borderId="13" xfId="0" applyFont="1" applyFill="1" applyBorder="1" applyAlignment="1">
      <alignment horizontal="center" vertical="center" wrapText="1"/>
    </xf>
    <xf numFmtId="0" fontId="2" fillId="20" borderId="3" xfId="0" applyFont="1" applyFill="1" applyBorder="1" applyAlignment="1">
      <alignment horizontal="center" vertical="center" wrapText="1"/>
    </xf>
    <xf numFmtId="0" fontId="2" fillId="20" borderId="11" xfId="0" applyFont="1" applyFill="1" applyBorder="1" applyAlignment="1">
      <alignment horizontal="center" vertical="center" wrapText="1"/>
    </xf>
    <xf numFmtId="3" fontId="1" fillId="22" borderId="1" xfId="0" applyNumberFormat="1" applyFont="1" applyFill="1" applyBorder="1" applyAlignment="1">
      <alignment horizontal="center" vertical="center"/>
    </xf>
    <xf numFmtId="3" fontId="1" fillId="21" borderId="1" xfId="0" applyNumberFormat="1" applyFont="1" applyFill="1" applyBorder="1" applyAlignment="1">
      <alignment horizontal="center" vertical="center"/>
    </xf>
    <xf numFmtId="0" fontId="43" fillId="18" borderId="1" xfId="0" applyFont="1" applyFill="1" applyBorder="1" applyAlignment="1">
      <alignment horizontal="center" vertical="center"/>
    </xf>
    <xf numFmtId="0" fontId="43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 wrapText="1"/>
    </xf>
    <xf numFmtId="179" fontId="1" fillId="22" borderId="1" xfId="0" applyNumberFormat="1" applyFont="1" applyFill="1" applyBorder="1" applyAlignment="1">
      <alignment horizontal="center" vertical="center"/>
    </xf>
    <xf numFmtId="3" fontId="0" fillId="5" borderId="0" xfId="0" applyNumberFormat="1" applyFill="1" applyAlignment="1">
      <alignment horizontal="center"/>
    </xf>
    <xf numFmtId="181" fontId="0" fillId="5" borderId="16" xfId="0" applyNumberFormat="1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3" fontId="0" fillId="5" borderId="18" xfId="0" applyNumberFormat="1" applyFill="1" applyBorder="1" applyAlignment="1">
      <alignment horizontal="center"/>
    </xf>
    <xf numFmtId="3" fontId="0" fillId="5" borderId="19" xfId="0" applyNumberForma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3" fontId="0" fillId="5" borderId="21" xfId="0" applyNumberFormat="1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44" fillId="5" borderId="15" xfId="0" applyFont="1" applyFill="1" applyBorder="1" applyAlignment="1">
      <alignment horizontal="center" vertical="center"/>
    </xf>
    <xf numFmtId="0" fontId="44" fillId="5" borderId="16" xfId="0" applyFont="1" applyFill="1" applyBorder="1" applyAlignment="1">
      <alignment horizontal="center" vertical="center"/>
    </xf>
    <xf numFmtId="0" fontId="44" fillId="5" borderId="17" xfId="0" applyFont="1" applyFill="1" applyBorder="1" applyAlignment="1">
      <alignment horizontal="center" vertical="center"/>
    </xf>
    <xf numFmtId="0" fontId="44" fillId="5" borderId="20" xfId="0" applyFont="1" applyFill="1" applyBorder="1" applyAlignment="1">
      <alignment horizontal="center" vertical="center"/>
    </xf>
    <xf numFmtId="0" fontId="44" fillId="5" borderId="21" xfId="0" applyFont="1" applyFill="1" applyBorder="1" applyAlignment="1">
      <alignment horizontal="center" vertical="center"/>
    </xf>
    <xf numFmtId="0" fontId="44" fillId="5" borderId="22" xfId="0" applyFont="1" applyFill="1" applyBorder="1" applyAlignment="1">
      <alignment horizontal="center" vertical="center"/>
    </xf>
    <xf numFmtId="0" fontId="53" fillId="4" borderId="0" xfId="0" applyFont="1" applyFill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181" fontId="11" fillId="5" borderId="16" xfId="0" applyNumberFormat="1" applyFont="1" applyFill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7" fillId="4" borderId="88" xfId="0" applyFont="1" applyFill="1" applyBorder="1" applyAlignment="1">
      <alignment horizontal="center"/>
    </xf>
    <xf numFmtId="0" fontId="47" fillId="4" borderId="89" xfId="0" applyFont="1" applyFill="1" applyBorder="1" applyAlignment="1">
      <alignment horizontal="center"/>
    </xf>
    <xf numFmtId="0" fontId="47" fillId="4" borderId="90" xfId="0" applyFont="1" applyFill="1" applyBorder="1" applyAlignment="1">
      <alignment horizontal="center"/>
    </xf>
    <xf numFmtId="0" fontId="47" fillId="4" borderId="78" xfId="0" applyFont="1" applyFill="1" applyBorder="1" applyAlignment="1">
      <alignment horizontal="center"/>
    </xf>
    <xf numFmtId="0" fontId="47" fillId="4" borderId="0" xfId="0" applyFont="1" applyFill="1" applyAlignment="1">
      <alignment horizontal="center"/>
    </xf>
    <xf numFmtId="0" fontId="47" fillId="4" borderId="79" xfId="0" applyFont="1" applyFill="1" applyBorder="1" applyAlignment="1">
      <alignment horizontal="center"/>
    </xf>
    <xf numFmtId="0" fontId="29" fillId="23" borderId="16" xfId="0" applyFont="1" applyFill="1" applyBorder="1" applyAlignment="1">
      <alignment horizontal="center"/>
    </xf>
    <xf numFmtId="0" fontId="29" fillId="23" borderId="17" xfId="0" applyFont="1" applyFill="1" applyBorder="1" applyAlignment="1">
      <alignment horizontal="center"/>
    </xf>
    <xf numFmtId="0" fontId="29" fillId="23" borderId="15" xfId="0" applyFont="1" applyFill="1" applyBorder="1" applyAlignment="1">
      <alignment horizontal="center"/>
    </xf>
    <xf numFmtId="0" fontId="0" fillId="23" borderId="36" xfId="0" applyFill="1" applyBorder="1" applyAlignment="1">
      <alignment horizontal="center"/>
    </xf>
    <xf numFmtId="0" fontId="0" fillId="23" borderId="37" xfId="0" applyFill="1" applyBorder="1" applyAlignment="1">
      <alignment horizontal="center"/>
    </xf>
    <xf numFmtId="0" fontId="0" fillId="23" borderId="38" xfId="0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51" fillId="0" borderId="36" xfId="0" applyFont="1" applyBorder="1" applyAlignment="1">
      <alignment horizontal="center"/>
    </xf>
    <xf numFmtId="0" fontId="51" fillId="0" borderId="37" xfId="0" applyFont="1" applyBorder="1" applyAlignment="1">
      <alignment horizontal="center"/>
    </xf>
    <xf numFmtId="0" fontId="51" fillId="0" borderId="38" xfId="0" applyFont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4" borderId="38" xfId="0" applyFont="1" applyFill="1" applyBorder="1" applyAlignment="1">
      <alignment horizontal="center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7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4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" fontId="1" fillId="22" borderId="6" xfId="0" applyNumberFormat="1" applyFont="1" applyFill="1" applyBorder="1" applyAlignment="1">
      <alignment horizontal="center" vertical="center"/>
    </xf>
    <xf numFmtId="1" fontId="1" fillId="22" borderId="5" xfId="0" applyNumberFormat="1" applyFont="1" applyFill="1" applyBorder="1" applyAlignment="1">
      <alignment horizontal="center" vertical="center"/>
    </xf>
    <xf numFmtId="1" fontId="1" fillId="22" borderId="14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0" fontId="1" fillId="0" borderId="100" xfId="0" applyFont="1" applyBorder="1" applyAlignment="1">
      <alignment horizontal="center" vertical="center" wrapText="1"/>
    </xf>
    <xf numFmtId="0" fontId="1" fillId="0" borderId="101" xfId="0" applyFont="1" applyBorder="1" applyAlignment="1">
      <alignment horizontal="center" vertical="center" wrapText="1"/>
    </xf>
    <xf numFmtId="0" fontId="1" fillId="0" borderId="102" xfId="0" applyFont="1" applyBorder="1" applyAlignment="1">
      <alignment horizontal="center" vertical="center" wrapText="1"/>
    </xf>
    <xf numFmtId="0" fontId="1" fillId="0" borderId="103" xfId="0" applyFont="1" applyBorder="1" applyAlignment="1">
      <alignment horizontal="center" vertical="center" wrapText="1"/>
    </xf>
    <xf numFmtId="0" fontId="1" fillId="0" borderId="104" xfId="0" applyFont="1" applyBorder="1" applyAlignment="1">
      <alignment horizontal="center" vertical="center" wrapText="1"/>
    </xf>
    <xf numFmtId="0" fontId="1" fillId="0" borderId="105" xfId="0" applyFont="1" applyBorder="1" applyAlignment="1">
      <alignment horizontal="center" vertical="center" wrapText="1"/>
    </xf>
    <xf numFmtId="0" fontId="0" fillId="0" borderId="106" xfId="0" applyBorder="1" applyAlignment="1">
      <alignment horizontal="left"/>
    </xf>
    <xf numFmtId="0" fontId="0" fillId="0" borderId="109" xfId="0" applyBorder="1" applyAlignment="1">
      <alignment horizontal="left"/>
    </xf>
    <xf numFmtId="0" fontId="0" fillId="0" borderId="110" xfId="0" applyBorder="1" applyAlignment="1">
      <alignment horizontal="left"/>
    </xf>
    <xf numFmtId="1" fontId="1" fillId="22" borderId="1" xfId="0" applyNumberFormat="1" applyFont="1" applyFill="1" applyBorder="1" applyAlignment="1">
      <alignment horizontal="center" vertical="center"/>
    </xf>
    <xf numFmtId="0" fontId="48" fillId="0" borderId="0" xfId="0" applyFont="1" applyAlignment="1">
      <alignment horizontal="center"/>
    </xf>
    <xf numFmtId="171" fontId="0" fillId="18" borderId="6" xfId="0" applyNumberFormat="1" applyFill="1" applyBorder="1" applyAlignment="1">
      <alignment horizontal="center" vertical="center"/>
    </xf>
    <xf numFmtId="171" fontId="0" fillId="18" borderId="14" xfId="0" applyNumberFormat="1" applyFill="1" applyBorder="1" applyAlignment="1">
      <alignment horizontal="center" vertical="center"/>
    </xf>
    <xf numFmtId="171" fontId="0" fillId="18" borderId="5" xfId="0" applyNumberFormat="1" applyFill="1" applyBorder="1" applyAlignment="1">
      <alignment horizontal="center" vertical="center"/>
    </xf>
    <xf numFmtId="171" fontId="0" fillId="18" borderId="1" xfId="0" applyNumberFormat="1" applyFill="1" applyBorder="1" applyAlignment="1">
      <alignment horizontal="center" vertical="center"/>
    </xf>
    <xf numFmtId="0" fontId="0" fillId="0" borderId="99" xfId="0" applyBorder="1" applyAlignment="1">
      <alignment horizontal="left"/>
    </xf>
    <xf numFmtId="0" fontId="1" fillId="0" borderId="14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0" fontId="0" fillId="22" borderId="6" xfId="1" applyNumberFormat="1" applyFont="1" applyFill="1" applyBorder="1" applyAlignment="1">
      <alignment horizontal="center" vertical="center"/>
    </xf>
    <xf numFmtId="10" fontId="0" fillId="22" borderId="14" xfId="1" applyNumberFormat="1" applyFont="1" applyFill="1" applyBorder="1" applyAlignment="1">
      <alignment horizontal="center" vertical="center"/>
    </xf>
    <xf numFmtId="10" fontId="0" fillId="22" borderId="5" xfId="1" applyNumberFormat="1" applyFont="1" applyFill="1" applyBorder="1" applyAlignment="1">
      <alignment horizontal="center" vertical="center"/>
    </xf>
    <xf numFmtId="10" fontId="0" fillId="22" borderId="6" xfId="0" applyNumberFormat="1" applyFill="1" applyBorder="1" applyAlignment="1">
      <alignment horizontal="center" vertical="center"/>
    </xf>
    <xf numFmtId="10" fontId="0" fillId="22" borderId="14" xfId="0" applyNumberFormat="1" applyFill="1" applyBorder="1" applyAlignment="1">
      <alignment horizontal="center" vertical="center"/>
    </xf>
    <xf numFmtId="10" fontId="0" fillId="22" borderId="5" xfId="0" applyNumberFormat="1" applyFill="1" applyBorder="1" applyAlignment="1">
      <alignment horizontal="center" vertical="center"/>
    </xf>
    <xf numFmtId="9" fontId="11" fillId="22" borderId="6" xfId="0" applyNumberFormat="1" applyFont="1" applyFill="1" applyBorder="1" applyAlignment="1">
      <alignment horizontal="center" vertical="center"/>
    </xf>
    <xf numFmtId="9" fontId="11" fillId="22" borderId="14" xfId="0" applyNumberFormat="1" applyFont="1" applyFill="1" applyBorder="1" applyAlignment="1">
      <alignment horizontal="center" vertical="center"/>
    </xf>
    <xf numFmtId="9" fontId="11" fillId="22" borderId="5" xfId="0" applyNumberFormat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0" fillId="0" borderId="18" xfId="0" applyBorder="1" applyAlignment="1">
      <alignment horizontal="right"/>
    </xf>
    <xf numFmtId="3" fontId="0" fillId="0" borderId="0" xfId="0" applyNumberFormat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0" fontId="1" fillId="5" borderId="24" xfId="0" applyFont="1" applyFill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12" fillId="5" borderId="24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 wrapText="1"/>
    </xf>
    <xf numFmtId="0" fontId="2" fillId="0" borderId="45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58" fillId="0" borderId="29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1" fillId="0" borderId="11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34" xfId="0" applyNumberFormat="1" applyBorder="1" applyAlignment="1">
      <alignment horizontal="center" vertical="center"/>
    </xf>
    <xf numFmtId="9" fontId="0" fillId="0" borderId="30" xfId="0" applyNumberFormat="1" applyBorder="1" applyAlignment="1">
      <alignment horizontal="center" vertical="center"/>
    </xf>
    <xf numFmtId="9" fontId="0" fillId="0" borderId="35" xfId="0" applyNumberFormat="1" applyBorder="1" applyAlignment="1">
      <alignment horizontal="center" vertical="center"/>
    </xf>
    <xf numFmtId="2" fontId="0" fillId="22" borderId="12" xfId="0" applyNumberFormat="1" applyFill="1" applyBorder="1" applyAlignment="1">
      <alignment horizontal="center" vertical="center"/>
    </xf>
    <xf numFmtId="2" fontId="0" fillId="22" borderId="13" xfId="0" applyNumberFormat="1" applyFill="1" applyBorder="1" applyAlignment="1">
      <alignment horizontal="center" vertical="center"/>
    </xf>
    <xf numFmtId="2" fontId="0" fillId="22" borderId="2" xfId="0" applyNumberFormat="1" applyFill="1" applyBorder="1" applyAlignment="1">
      <alignment horizontal="center" vertical="center"/>
    </xf>
    <xf numFmtId="2" fontId="0" fillId="22" borderId="10" xfId="0" applyNumberFormat="1" applyFill="1" applyBorder="1" applyAlignment="1">
      <alignment horizontal="center" vertical="center"/>
    </xf>
    <xf numFmtId="2" fontId="0" fillId="22" borderId="3" xfId="0" applyNumberFormat="1" applyFill="1" applyBorder="1" applyAlignment="1">
      <alignment horizontal="center" vertical="center"/>
    </xf>
    <xf numFmtId="2" fontId="0" fillId="22" borderId="11" xfId="0" applyNumberFormat="1" applyFill="1" applyBorder="1" applyAlignment="1">
      <alignment horizontal="center" vertical="center"/>
    </xf>
    <xf numFmtId="1" fontId="0" fillId="22" borderId="6" xfId="1" applyNumberFormat="1" applyFont="1" applyFill="1" applyBorder="1" applyAlignment="1">
      <alignment horizontal="center" vertical="center"/>
    </xf>
    <xf numFmtId="1" fontId="0" fillId="22" borderId="14" xfId="1" applyNumberFormat="1" applyFont="1" applyFill="1" applyBorder="1" applyAlignment="1">
      <alignment horizontal="center" vertical="center"/>
    </xf>
    <xf numFmtId="1" fontId="0" fillId="22" borderId="5" xfId="1" applyNumberFormat="1" applyFont="1" applyFill="1" applyBorder="1" applyAlignment="1">
      <alignment horizontal="center" vertical="center"/>
    </xf>
    <xf numFmtId="1" fontId="0" fillId="22" borderId="6" xfId="0" applyNumberFormat="1" applyFill="1" applyBorder="1" applyAlignment="1">
      <alignment horizontal="center" vertical="center"/>
    </xf>
    <xf numFmtId="1" fontId="0" fillId="22" borderId="14" xfId="0" applyNumberFormat="1" applyFill="1" applyBorder="1" applyAlignment="1">
      <alignment horizontal="center" vertical="center"/>
    </xf>
    <xf numFmtId="1" fontId="0" fillId="22" borderId="5" xfId="0" applyNumberFormat="1" applyFill="1" applyBorder="1" applyAlignment="1">
      <alignment horizontal="center" vertical="center"/>
    </xf>
    <xf numFmtId="10" fontId="11" fillId="22" borderId="1" xfId="1" applyNumberFormat="1" applyFont="1" applyFill="1" applyBorder="1" applyAlignment="1">
      <alignment horizontal="center" vertical="center"/>
    </xf>
    <xf numFmtId="0" fontId="1" fillId="0" borderId="29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0" fontId="11" fillId="25" borderId="1" xfId="1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71" fontId="35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</cellXfs>
  <cellStyles count="7">
    <cellStyle name="20% - Accent1" xfId="3" builtinId="30"/>
    <cellStyle name="Accent1" xfId="5" builtinId="29"/>
    <cellStyle name="Currency" xfId="6" builtinId="4"/>
    <cellStyle name="Heading 1" xfId="2" builtinId="16"/>
    <cellStyle name="Normal" xfId="0" builtinId="0"/>
    <cellStyle name="Percent" xfId="1" builtinId="5"/>
    <cellStyle name="Warning Text" xfId="4" builtinId="11"/>
  </cellStyles>
  <dxfs count="0"/>
  <tableStyles count="0" defaultTableStyle="TableStyleMedium2" defaultPivotStyle="PivotStyleLight16"/>
  <colors>
    <mruColors>
      <color rgb="FFEE5F26"/>
      <color rgb="FFFF3300"/>
      <color rgb="FFFFFF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%Cumulata - Indice di rotazione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038187967676188E-2"/>
          <c:y val="0.12220157033225391"/>
          <c:w val="0.86589916790892429"/>
          <c:h val="0.70903812018968404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mag_completo!$BA$6:$BA$21</c:f>
              <c:strCache>
                <c:ptCount val="16"/>
                <c:pt idx="0">
                  <c:v>EST_ELETTR_002</c:v>
                </c:pt>
                <c:pt idx="1">
                  <c:v>EST_ELETTR_004</c:v>
                </c:pt>
                <c:pt idx="2">
                  <c:v>EST_ELETTR_005</c:v>
                </c:pt>
                <c:pt idx="3">
                  <c:v>EST_STAMP_009</c:v>
                </c:pt>
                <c:pt idx="4">
                  <c:v>EST_STAMP_005</c:v>
                </c:pt>
                <c:pt idx="5">
                  <c:v>EST_STAMP_006</c:v>
                </c:pt>
                <c:pt idx="6">
                  <c:v>EST_STAMP_007</c:v>
                </c:pt>
                <c:pt idx="7">
                  <c:v>EST_ELETTR_001</c:v>
                </c:pt>
                <c:pt idx="8">
                  <c:v>EST_STAMP_001</c:v>
                </c:pt>
                <c:pt idx="9">
                  <c:v>EST_STAMP_003</c:v>
                </c:pt>
                <c:pt idx="10">
                  <c:v>EST_ELETTR_003</c:v>
                </c:pt>
                <c:pt idx="11">
                  <c:v>EST_STAMP_002</c:v>
                </c:pt>
                <c:pt idx="12">
                  <c:v>EST_STAMP_004</c:v>
                </c:pt>
                <c:pt idx="13">
                  <c:v>EST_STAMP_008</c:v>
                </c:pt>
                <c:pt idx="14">
                  <c:v>EST_SICUR_001</c:v>
                </c:pt>
                <c:pt idx="15">
                  <c:v>EST_SICUR_002</c:v>
                </c:pt>
              </c:strCache>
            </c:strRef>
          </c:cat>
          <c:val>
            <c:numRef>
              <c:f>mag_completo!$AK$6:$AK$21</c:f>
              <c:numCache>
                <c:formatCode>0.00%</c:formatCode>
                <c:ptCount val="16"/>
                <c:pt idx="0">
                  <c:v>6.619415724419285E-2</c:v>
                </c:pt>
                <c:pt idx="1">
                  <c:v>0.1323883144883857</c:v>
                </c:pt>
                <c:pt idx="2">
                  <c:v>0.19858247173257854</c:v>
                </c:pt>
                <c:pt idx="3">
                  <c:v>0.2647709985461803</c:v>
                </c:pt>
                <c:pt idx="4">
                  <c:v>0.33095650409030203</c:v>
                </c:pt>
                <c:pt idx="5">
                  <c:v>0.39714200963442375</c:v>
                </c:pt>
                <c:pt idx="6">
                  <c:v>0.46332751517854548</c:v>
                </c:pt>
                <c:pt idx="7">
                  <c:v>0.52951028907669462</c:v>
                </c:pt>
                <c:pt idx="8">
                  <c:v>0.59568942113094736</c:v>
                </c:pt>
                <c:pt idx="9">
                  <c:v>0.6618685531852001</c:v>
                </c:pt>
                <c:pt idx="10">
                  <c:v>0.72802857213272243</c:v>
                </c:pt>
                <c:pt idx="11">
                  <c:v>0.79417426349366838</c:v>
                </c:pt>
                <c:pt idx="12">
                  <c:v>0.86031995485461432</c:v>
                </c:pt>
                <c:pt idx="13">
                  <c:v>0.9264530218582635</c:v>
                </c:pt>
                <c:pt idx="14">
                  <c:v>0.96322651092913181</c:v>
                </c:pt>
                <c:pt idx="15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8-4884-9533-8D3980E30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0624520"/>
        <c:axId val="893286919"/>
      </c:lineChart>
      <c:catAx>
        <c:axId val="970624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286919"/>
        <c:crosses val="autoZero"/>
        <c:auto val="1"/>
        <c:lblAlgn val="ctr"/>
        <c:lblOffset val="100"/>
        <c:tickMarkSkip val="1"/>
        <c:noMultiLvlLbl val="1"/>
      </c:catAx>
      <c:valAx>
        <c:axId val="893286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2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%Cumulata - Giacenza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mag_completo!$BL$6:$BL$21</c:f>
              <c:strCache>
                <c:ptCount val="16"/>
                <c:pt idx="0">
                  <c:v>EST_SICUR_001</c:v>
                </c:pt>
                <c:pt idx="1">
                  <c:v>EST_SICUR_002</c:v>
                </c:pt>
                <c:pt idx="2">
                  <c:v>EST_STAMP_009</c:v>
                </c:pt>
                <c:pt idx="3">
                  <c:v>EST_ELETTR_005</c:v>
                </c:pt>
                <c:pt idx="4">
                  <c:v>EST_STAMP_001</c:v>
                </c:pt>
                <c:pt idx="5">
                  <c:v>EST_STAMP_003</c:v>
                </c:pt>
                <c:pt idx="6">
                  <c:v>EST_ELETTR_001</c:v>
                </c:pt>
                <c:pt idx="7">
                  <c:v>EST_STAMP_005</c:v>
                </c:pt>
                <c:pt idx="8">
                  <c:v>EST_STAMP_007</c:v>
                </c:pt>
                <c:pt idx="9">
                  <c:v>EST_ELETTR_002</c:v>
                </c:pt>
                <c:pt idx="10">
                  <c:v>EST_STAMP_002</c:v>
                </c:pt>
                <c:pt idx="11">
                  <c:v>EST_STAMP_004</c:v>
                </c:pt>
                <c:pt idx="12">
                  <c:v>EST_ELETTR_003</c:v>
                </c:pt>
                <c:pt idx="13">
                  <c:v>EST_STAMP_006</c:v>
                </c:pt>
                <c:pt idx="14">
                  <c:v>EST_STAMP_008</c:v>
                </c:pt>
                <c:pt idx="15">
                  <c:v>EST_ELETTR_004</c:v>
                </c:pt>
              </c:strCache>
            </c:strRef>
          </c:cat>
          <c:val>
            <c:numRef>
              <c:f>mag_completo!$BH$6:$BH$21</c:f>
              <c:numCache>
                <c:formatCode>0.00%</c:formatCode>
                <c:ptCount val="16"/>
                <c:pt idx="0">
                  <c:v>0.23743828545780971</c:v>
                </c:pt>
                <c:pt idx="1">
                  <c:v>0.47487657091561941</c:v>
                </c:pt>
                <c:pt idx="2">
                  <c:v>0.60679421005385992</c:v>
                </c:pt>
                <c:pt idx="3">
                  <c:v>0.70407877019748644</c:v>
                </c:pt>
                <c:pt idx="4">
                  <c:v>0.73737096050269291</c:v>
                </c:pt>
                <c:pt idx="5">
                  <c:v>0.77066315080789938</c:v>
                </c:pt>
                <c:pt idx="6">
                  <c:v>0.80328770197486521</c:v>
                </c:pt>
                <c:pt idx="7">
                  <c:v>0.83394860861759412</c:v>
                </c:pt>
                <c:pt idx="8">
                  <c:v>0.86460951526032304</c:v>
                </c:pt>
                <c:pt idx="9">
                  <c:v>0.8946532764811489</c:v>
                </c:pt>
                <c:pt idx="10">
                  <c:v>0.91685929084380602</c:v>
                </c:pt>
                <c:pt idx="11">
                  <c:v>0.93906530520646314</c:v>
                </c:pt>
                <c:pt idx="12">
                  <c:v>0.9608224865350089</c:v>
                </c:pt>
                <c:pt idx="13">
                  <c:v>0.97397329443447034</c:v>
                </c:pt>
                <c:pt idx="14">
                  <c:v>0.98712410233393177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F-438F-AEF5-7F7395779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686728"/>
        <c:axId val="2108698632"/>
      </c:lineChart>
      <c:catAx>
        <c:axId val="192668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98632"/>
        <c:crosses val="autoZero"/>
        <c:auto val="1"/>
        <c:lblAlgn val="ctr"/>
        <c:lblOffset val="100"/>
        <c:noMultiLvlLbl val="1"/>
      </c:catAx>
      <c:valAx>
        <c:axId val="21086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68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ustomXml" Target="../ink/ink6.xml"/><Relationship Id="rId18" Type="http://schemas.openxmlformats.org/officeDocument/2006/relationships/image" Target="../media/image120.png"/><Relationship Id="rId26" Type="http://schemas.openxmlformats.org/officeDocument/2006/relationships/image" Target="../media/image124.png"/><Relationship Id="rId39" Type="http://schemas.openxmlformats.org/officeDocument/2006/relationships/customXml" Target="../ink/ink19.xml"/><Relationship Id="rId21" Type="http://schemas.openxmlformats.org/officeDocument/2006/relationships/customXml" Target="../ink/ink10.xml"/><Relationship Id="rId34" Type="http://schemas.openxmlformats.org/officeDocument/2006/relationships/image" Target="../media/image128.png"/><Relationship Id="rId42" Type="http://schemas.openxmlformats.org/officeDocument/2006/relationships/image" Target="../media/image132.png"/><Relationship Id="rId47" Type="http://schemas.openxmlformats.org/officeDocument/2006/relationships/customXml" Target="../ink/ink23.xml"/><Relationship Id="rId50" Type="http://schemas.openxmlformats.org/officeDocument/2006/relationships/image" Target="../media/image136.png"/><Relationship Id="rId55" Type="http://schemas.openxmlformats.org/officeDocument/2006/relationships/customXml" Target="../ink/ink27.xml"/><Relationship Id="rId63" Type="http://schemas.openxmlformats.org/officeDocument/2006/relationships/customXml" Target="../ink/ink31.xml"/><Relationship Id="rId7" Type="http://schemas.openxmlformats.org/officeDocument/2006/relationships/customXml" Target="../ink/ink3.xml"/><Relationship Id="rId2" Type="http://schemas.openxmlformats.org/officeDocument/2006/relationships/image" Target="../media/image20.png"/><Relationship Id="rId16" Type="http://schemas.openxmlformats.org/officeDocument/2006/relationships/image" Target="../media/image119.png"/><Relationship Id="rId29" Type="http://schemas.openxmlformats.org/officeDocument/2006/relationships/customXml" Target="../ink/ink14.xml"/><Relationship Id="rId11" Type="http://schemas.openxmlformats.org/officeDocument/2006/relationships/customXml" Target="../ink/ink5.xml"/><Relationship Id="rId24" Type="http://schemas.openxmlformats.org/officeDocument/2006/relationships/image" Target="../media/image123.png"/><Relationship Id="rId32" Type="http://schemas.openxmlformats.org/officeDocument/2006/relationships/image" Target="../media/image127.png"/><Relationship Id="rId37" Type="http://schemas.openxmlformats.org/officeDocument/2006/relationships/customXml" Target="../ink/ink18.xml"/><Relationship Id="rId40" Type="http://schemas.openxmlformats.org/officeDocument/2006/relationships/image" Target="../media/image131.png"/><Relationship Id="rId45" Type="http://schemas.openxmlformats.org/officeDocument/2006/relationships/customXml" Target="../ink/ink22.xml"/><Relationship Id="rId53" Type="http://schemas.openxmlformats.org/officeDocument/2006/relationships/customXml" Target="../ink/ink26.xml"/><Relationship Id="rId58" Type="http://schemas.openxmlformats.org/officeDocument/2006/relationships/image" Target="../media/image141.png"/><Relationship Id="rId5" Type="http://schemas.openxmlformats.org/officeDocument/2006/relationships/customXml" Target="../ink/ink2.xml"/><Relationship Id="rId61" Type="http://schemas.openxmlformats.org/officeDocument/2006/relationships/customXml" Target="../ink/ink30.xml"/><Relationship Id="rId19" Type="http://schemas.openxmlformats.org/officeDocument/2006/relationships/customXml" Target="../ink/ink9.xml"/><Relationship Id="rId14" Type="http://schemas.openxmlformats.org/officeDocument/2006/relationships/image" Target="../media/image118.png"/><Relationship Id="rId22" Type="http://schemas.openxmlformats.org/officeDocument/2006/relationships/image" Target="../media/image122.png"/><Relationship Id="rId27" Type="http://schemas.openxmlformats.org/officeDocument/2006/relationships/customXml" Target="../ink/ink13.xml"/><Relationship Id="rId30" Type="http://schemas.openxmlformats.org/officeDocument/2006/relationships/image" Target="../media/image126.png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135.png"/><Relationship Id="rId56" Type="http://schemas.openxmlformats.org/officeDocument/2006/relationships/image" Target="../media/image139.png"/><Relationship Id="rId64" Type="http://schemas.openxmlformats.org/officeDocument/2006/relationships/image" Target="../media/image144.png"/><Relationship Id="rId8" Type="http://schemas.openxmlformats.org/officeDocument/2006/relationships/image" Target="../media/image115.png"/><Relationship Id="rId51" Type="http://schemas.openxmlformats.org/officeDocument/2006/relationships/customXml" Target="../ink/ink25.xml"/><Relationship Id="rId3" Type="http://schemas.openxmlformats.org/officeDocument/2006/relationships/customXml" Target="../ink/ink1.xml"/><Relationship Id="rId12" Type="http://schemas.openxmlformats.org/officeDocument/2006/relationships/image" Target="../media/image117.png"/><Relationship Id="rId17" Type="http://schemas.openxmlformats.org/officeDocument/2006/relationships/customXml" Target="../ink/ink8.xml"/><Relationship Id="rId25" Type="http://schemas.openxmlformats.org/officeDocument/2006/relationships/customXml" Target="../ink/ink12.xml"/><Relationship Id="rId33" Type="http://schemas.openxmlformats.org/officeDocument/2006/relationships/customXml" Target="../ink/ink16.xml"/><Relationship Id="rId38" Type="http://schemas.openxmlformats.org/officeDocument/2006/relationships/image" Target="../media/image130.png"/><Relationship Id="rId46" Type="http://schemas.openxmlformats.org/officeDocument/2006/relationships/image" Target="../media/image134.png"/><Relationship Id="rId59" Type="http://schemas.openxmlformats.org/officeDocument/2006/relationships/customXml" Target="../ink/ink29.xml"/><Relationship Id="rId20" Type="http://schemas.openxmlformats.org/officeDocument/2006/relationships/image" Target="../media/image121.png"/><Relationship Id="rId41" Type="http://schemas.openxmlformats.org/officeDocument/2006/relationships/customXml" Target="../ink/ink20.xml"/><Relationship Id="rId54" Type="http://schemas.openxmlformats.org/officeDocument/2006/relationships/image" Target="../media/image138.png"/><Relationship Id="rId62" Type="http://schemas.openxmlformats.org/officeDocument/2006/relationships/image" Target="../media/image143.png"/><Relationship Id="rId1" Type="http://schemas.openxmlformats.org/officeDocument/2006/relationships/image" Target="../media/image19.png"/><Relationship Id="rId6" Type="http://schemas.openxmlformats.org/officeDocument/2006/relationships/image" Target="../media/image114.png"/><Relationship Id="rId15" Type="http://schemas.openxmlformats.org/officeDocument/2006/relationships/customXml" Target="../ink/ink7.xml"/><Relationship Id="rId23" Type="http://schemas.openxmlformats.org/officeDocument/2006/relationships/customXml" Target="../ink/ink11.xml"/><Relationship Id="rId28" Type="http://schemas.openxmlformats.org/officeDocument/2006/relationships/image" Target="../media/image125.png"/><Relationship Id="rId36" Type="http://schemas.openxmlformats.org/officeDocument/2006/relationships/image" Target="../media/image129.png"/><Relationship Id="rId49" Type="http://schemas.openxmlformats.org/officeDocument/2006/relationships/customXml" Target="../ink/ink24.xml"/><Relationship Id="rId57" Type="http://schemas.openxmlformats.org/officeDocument/2006/relationships/customXml" Target="../ink/ink28.xml"/><Relationship Id="rId10" Type="http://schemas.openxmlformats.org/officeDocument/2006/relationships/image" Target="../media/image116.png"/><Relationship Id="rId31" Type="http://schemas.openxmlformats.org/officeDocument/2006/relationships/customXml" Target="../ink/ink15.xml"/><Relationship Id="rId44" Type="http://schemas.openxmlformats.org/officeDocument/2006/relationships/image" Target="../media/image133.png"/><Relationship Id="rId52" Type="http://schemas.openxmlformats.org/officeDocument/2006/relationships/image" Target="../media/image137.png"/><Relationship Id="rId60" Type="http://schemas.openxmlformats.org/officeDocument/2006/relationships/image" Target="../media/image142.png"/><Relationship Id="rId4" Type="http://schemas.openxmlformats.org/officeDocument/2006/relationships/image" Target="../media/image113.png"/><Relationship Id="rId9" Type="http://schemas.openxmlformats.org/officeDocument/2006/relationships/customXml" Target="../ink/ink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123825</xdr:colOff>
      <xdr:row>3</xdr:row>
      <xdr:rowOff>19050</xdr:rowOff>
    </xdr:from>
    <xdr:to>
      <xdr:col>50</xdr:col>
      <xdr:colOff>27214</xdr:colOff>
      <xdr:row>25</xdr:row>
      <xdr:rowOff>181428</xdr:rowOff>
    </xdr:to>
    <xdr:graphicFrame macro="">
      <xdr:nvGraphicFramePr>
        <xdr:cNvPr id="11" name="Grafico 11">
          <a:extLst>
            <a:ext uri="{FF2B5EF4-FFF2-40B4-BE49-F238E27FC236}">
              <a16:creationId xmlns:a16="http://schemas.microsoft.com/office/drawing/2014/main" id="{DD837965-6332-DDD6-C215-1AD49F64CCBF}"/>
            </a:ext>
            <a:ext uri="{147F2762-F138-4A5C-976F-8EAC2B608ADB}">
              <a16:predDERef xmlns:a16="http://schemas.microsoft.com/office/drawing/2014/main" pred="{E0037CD9-748E-CD61-E6C8-AC5EFBA88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28575</xdr:colOff>
      <xdr:row>2</xdr:row>
      <xdr:rowOff>180975</xdr:rowOff>
    </xdr:from>
    <xdr:to>
      <xdr:col>72</xdr:col>
      <xdr:colOff>561975</xdr:colOff>
      <xdr:row>27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7A8C17E1-F51D-2A3C-DB53-993F96300602}"/>
            </a:ext>
            <a:ext uri="{147F2762-F138-4A5C-976F-8EAC2B608ADB}">
              <a16:predDERef xmlns:a16="http://schemas.microsoft.com/office/drawing/2014/main" pred="{DD837965-6332-DDD6-C215-1AD49F64C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437444</xdr:colOff>
      <xdr:row>11</xdr:row>
      <xdr:rowOff>56445</xdr:rowOff>
    </xdr:from>
    <xdr:to>
      <xdr:col>47</xdr:col>
      <xdr:colOff>465667</xdr:colOff>
      <xdr:row>22</xdr:row>
      <xdr:rowOff>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E781816A-6C0C-01F1-4129-2AE47C620865}"/>
            </a:ext>
          </a:extLst>
        </xdr:cNvPr>
        <xdr:cNvCxnSpPr/>
      </xdr:nvCxnSpPr>
      <xdr:spPr>
        <a:xfrm>
          <a:off x="45712944" y="2229556"/>
          <a:ext cx="28223" cy="211666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402167</xdr:colOff>
      <xdr:row>9</xdr:row>
      <xdr:rowOff>105833</xdr:rowOff>
    </xdr:from>
    <xdr:to>
      <xdr:col>48</xdr:col>
      <xdr:colOff>437445</xdr:colOff>
      <xdr:row>22</xdr:row>
      <xdr:rowOff>14111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2062810-08C1-E391-7944-8F29863B6C7E}"/>
            </a:ext>
          </a:extLst>
        </xdr:cNvPr>
        <xdr:cNvCxnSpPr/>
      </xdr:nvCxnSpPr>
      <xdr:spPr>
        <a:xfrm>
          <a:off x="46517278" y="1883833"/>
          <a:ext cx="35278" cy="2476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691446</xdr:colOff>
      <xdr:row>16</xdr:row>
      <xdr:rowOff>169334</xdr:rowOff>
    </xdr:from>
    <xdr:to>
      <xdr:col>46</xdr:col>
      <xdr:colOff>296334</xdr:colOff>
      <xdr:row>19</xdr:row>
      <xdr:rowOff>119944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9E7A293-258A-A4BE-FD9C-BE006BBB9A78}"/>
            </a:ext>
          </a:extLst>
        </xdr:cNvPr>
        <xdr:cNvSpPr txBox="1"/>
      </xdr:nvSpPr>
      <xdr:spPr>
        <a:xfrm>
          <a:off x="44287724" y="3330223"/>
          <a:ext cx="444499" cy="5432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3200"/>
            <a:t>A</a:t>
          </a:r>
        </a:p>
      </xdr:txBody>
    </xdr:sp>
    <xdr:clientData/>
  </xdr:twoCellAnchor>
  <xdr:twoCellAnchor>
    <xdr:from>
      <xdr:col>47</xdr:col>
      <xdr:colOff>704850</xdr:colOff>
      <xdr:row>16</xdr:row>
      <xdr:rowOff>123825</xdr:rowOff>
    </xdr:from>
    <xdr:to>
      <xdr:col>48</xdr:col>
      <xdr:colOff>295275</xdr:colOff>
      <xdr:row>19</xdr:row>
      <xdr:rowOff>28575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6C0AEB5C-2219-99BF-38C4-6A3F50CB5D55}"/>
            </a:ext>
            <a:ext uri="{147F2762-F138-4A5C-976F-8EAC2B608ADB}">
              <a16:predDERef xmlns:a16="http://schemas.microsoft.com/office/drawing/2014/main" pred="{29E7A293-258A-A4BE-FD9C-BE006BBB9A78}"/>
            </a:ext>
          </a:extLst>
        </xdr:cNvPr>
        <xdr:cNvSpPr txBox="1"/>
      </xdr:nvSpPr>
      <xdr:spPr>
        <a:xfrm>
          <a:off x="45939075" y="3324225"/>
          <a:ext cx="42862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6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B</a:t>
          </a:r>
        </a:p>
      </xdr:txBody>
    </xdr:sp>
    <xdr:clientData/>
  </xdr:twoCellAnchor>
  <xdr:twoCellAnchor>
    <xdr:from>
      <xdr:col>48</xdr:col>
      <xdr:colOff>809625</xdr:colOff>
      <xdr:row>16</xdr:row>
      <xdr:rowOff>76200</xdr:rowOff>
    </xdr:from>
    <xdr:to>
      <xdr:col>49</xdr:col>
      <xdr:colOff>400050</xdr:colOff>
      <xdr:row>18</xdr:row>
      <xdr:rowOff>180975</xdr:rowOff>
    </xdr:to>
    <xdr:sp macro="" textlink="">
      <xdr:nvSpPr>
        <xdr:cNvPr id="5" name="CasellaDiTesto 4">
          <a:extLst>
            <a:ext uri="{FF2B5EF4-FFF2-40B4-BE49-F238E27FC236}">
              <a16:creationId xmlns:a16="http://schemas.microsoft.com/office/drawing/2014/main" id="{63023DFE-907E-4D52-8901-C6F198F56F9D}"/>
            </a:ext>
            <a:ext uri="{147F2762-F138-4A5C-976F-8EAC2B608ADB}">
              <a16:predDERef xmlns:a16="http://schemas.microsoft.com/office/drawing/2014/main" pred="{6C0AEB5C-2219-99BF-38C4-6A3F50CB5D55}"/>
            </a:ext>
          </a:extLst>
        </xdr:cNvPr>
        <xdr:cNvSpPr txBox="1"/>
      </xdr:nvSpPr>
      <xdr:spPr>
        <a:xfrm>
          <a:off x="46882050" y="3276600"/>
          <a:ext cx="42862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C</a:t>
          </a:r>
        </a:p>
      </xdr:txBody>
    </xdr:sp>
    <xdr:clientData/>
  </xdr:twoCellAnchor>
  <xdr:twoCellAnchor>
    <xdr:from>
      <xdr:col>67</xdr:col>
      <xdr:colOff>542925</xdr:colOff>
      <xdr:row>15</xdr:row>
      <xdr:rowOff>123825</xdr:rowOff>
    </xdr:from>
    <xdr:to>
      <xdr:col>68</xdr:col>
      <xdr:colOff>147813</xdr:colOff>
      <xdr:row>18</xdr:row>
      <xdr:rowOff>74435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A35F35B6-80F5-4473-836C-CC0A7F4F66E2}"/>
            </a:ext>
            <a:ext uri="{147F2762-F138-4A5C-976F-8EAC2B608ADB}">
              <a16:predDERef xmlns:a16="http://schemas.microsoft.com/office/drawing/2014/main" pred="{63023DFE-907E-4D52-8901-C6F198F56F9D}"/>
            </a:ext>
          </a:extLst>
        </xdr:cNvPr>
        <xdr:cNvSpPr txBox="1"/>
      </xdr:nvSpPr>
      <xdr:spPr>
        <a:xfrm>
          <a:off x="65436750" y="3124200"/>
          <a:ext cx="443088" cy="550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it-IT" sz="3200"/>
            <a:t>A</a:t>
          </a:r>
        </a:p>
      </xdr:txBody>
    </xdr:sp>
    <xdr:clientData/>
  </xdr:twoCellAnchor>
  <xdr:twoCellAnchor>
    <xdr:from>
      <xdr:col>69</xdr:col>
      <xdr:colOff>381000</xdr:colOff>
      <xdr:row>15</xdr:row>
      <xdr:rowOff>152400</xdr:rowOff>
    </xdr:from>
    <xdr:to>
      <xdr:col>69</xdr:col>
      <xdr:colOff>809625</xdr:colOff>
      <xdr:row>18</xdr:row>
      <xdr:rowOff>57150</xdr:rowOff>
    </xdr:to>
    <xdr:sp macro="" textlink="">
      <xdr:nvSpPr>
        <xdr:cNvPr id="7" name="CasellaDiTesto 6">
          <a:extLst>
            <a:ext uri="{FF2B5EF4-FFF2-40B4-BE49-F238E27FC236}">
              <a16:creationId xmlns:a16="http://schemas.microsoft.com/office/drawing/2014/main" id="{60D8377C-0B90-42A0-8AFB-A498C33A2307}"/>
            </a:ext>
            <a:ext uri="{147F2762-F138-4A5C-976F-8EAC2B608ADB}">
              <a16:predDERef xmlns:a16="http://schemas.microsoft.com/office/drawing/2014/main" pred="{A35F35B6-80F5-4473-836C-CC0A7F4F66E2}"/>
            </a:ext>
          </a:extLst>
        </xdr:cNvPr>
        <xdr:cNvSpPr txBox="1"/>
      </xdr:nvSpPr>
      <xdr:spPr>
        <a:xfrm>
          <a:off x="66951225" y="3152775"/>
          <a:ext cx="42862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B</a:t>
          </a:r>
        </a:p>
      </xdr:txBody>
    </xdr:sp>
    <xdr:clientData/>
  </xdr:twoCellAnchor>
  <xdr:twoCellAnchor>
    <xdr:from>
      <xdr:col>71</xdr:col>
      <xdr:colOff>200025</xdr:colOff>
      <xdr:row>15</xdr:row>
      <xdr:rowOff>104775</xdr:rowOff>
    </xdr:from>
    <xdr:to>
      <xdr:col>71</xdr:col>
      <xdr:colOff>628650</xdr:colOff>
      <xdr:row>18</xdr:row>
      <xdr:rowOff>9525</xdr:rowOff>
    </xdr:to>
    <xdr:sp macro="" textlink="">
      <xdr:nvSpPr>
        <xdr:cNvPr id="9" name="CasellaDiTesto 8">
          <a:extLst>
            <a:ext uri="{FF2B5EF4-FFF2-40B4-BE49-F238E27FC236}">
              <a16:creationId xmlns:a16="http://schemas.microsoft.com/office/drawing/2014/main" id="{4ABB1CEF-97C1-4177-977E-047483BD67FF}"/>
            </a:ext>
            <a:ext uri="{147F2762-F138-4A5C-976F-8EAC2B608ADB}">
              <a16:predDERef xmlns:a16="http://schemas.microsoft.com/office/drawing/2014/main" pred="{60D8377C-0B90-42A0-8AFB-A498C33A2307}"/>
            </a:ext>
          </a:extLst>
        </xdr:cNvPr>
        <xdr:cNvSpPr txBox="1"/>
      </xdr:nvSpPr>
      <xdr:spPr>
        <a:xfrm>
          <a:off x="68446650" y="3105150"/>
          <a:ext cx="42862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C</a:t>
          </a:r>
        </a:p>
      </xdr:txBody>
    </xdr:sp>
    <xdr:clientData/>
  </xdr:twoCellAnchor>
  <xdr:twoCellAnchor>
    <xdr:from>
      <xdr:col>68</xdr:col>
      <xdr:colOff>590550</xdr:colOff>
      <xdr:row>11</xdr:row>
      <xdr:rowOff>9525</xdr:rowOff>
    </xdr:from>
    <xdr:to>
      <xdr:col>68</xdr:col>
      <xdr:colOff>619125</xdr:colOff>
      <xdr:row>23</xdr:row>
      <xdr:rowOff>0</xdr:rowOff>
    </xdr:to>
    <xdr:cxnSp macro="">
      <xdr:nvCxnSpPr>
        <xdr:cNvPr id="17" name="Connettore dritto 9">
          <a:extLst>
            <a:ext uri="{FF2B5EF4-FFF2-40B4-BE49-F238E27FC236}">
              <a16:creationId xmlns:a16="http://schemas.microsoft.com/office/drawing/2014/main" id="{A4B1D136-C24A-42FB-9D19-B326A7FF43ED}"/>
            </a:ext>
            <a:ext uri="{147F2762-F138-4A5C-976F-8EAC2B608ADB}">
              <a16:predDERef xmlns:a16="http://schemas.microsoft.com/office/drawing/2014/main" pred="{4ABB1CEF-97C1-4177-977E-047483BD67FF}"/>
            </a:ext>
          </a:extLst>
        </xdr:cNvPr>
        <xdr:cNvCxnSpPr>
          <a:cxnSpLocks/>
        </xdr:cNvCxnSpPr>
      </xdr:nvCxnSpPr>
      <xdr:spPr>
        <a:xfrm>
          <a:off x="66322575" y="2209800"/>
          <a:ext cx="28575" cy="23907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685800</xdr:colOff>
      <xdr:row>9</xdr:row>
      <xdr:rowOff>19050</xdr:rowOff>
    </xdr:from>
    <xdr:to>
      <xdr:col>70</xdr:col>
      <xdr:colOff>685800</xdr:colOff>
      <xdr:row>23</xdr:row>
      <xdr:rowOff>9525</xdr:rowOff>
    </xdr:to>
    <xdr:cxnSp macro="">
      <xdr:nvCxnSpPr>
        <xdr:cNvPr id="19" name="Connettore dritto 10">
          <a:extLst>
            <a:ext uri="{FF2B5EF4-FFF2-40B4-BE49-F238E27FC236}">
              <a16:creationId xmlns:a16="http://schemas.microsoft.com/office/drawing/2014/main" id="{26724D02-615C-4DCD-8701-766C865A7A08}"/>
            </a:ext>
            <a:ext uri="{147F2762-F138-4A5C-976F-8EAC2B608ADB}">
              <a16:predDERef xmlns:a16="http://schemas.microsoft.com/office/drawing/2014/main" pred="{A4B1D136-C24A-42FB-9D19-B326A7FF43ED}"/>
            </a:ext>
          </a:extLst>
        </xdr:cNvPr>
        <xdr:cNvCxnSpPr>
          <a:cxnSpLocks/>
        </xdr:cNvCxnSpPr>
      </xdr:nvCxnSpPr>
      <xdr:spPr>
        <a:xfrm>
          <a:off x="68094225" y="1819275"/>
          <a:ext cx="0" cy="27908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31755</xdr:colOff>
      <xdr:row>6</xdr:row>
      <xdr:rowOff>232833</xdr:rowOff>
    </xdr:from>
    <xdr:to>
      <xdr:col>20</xdr:col>
      <xdr:colOff>1143005</xdr:colOff>
      <xdr:row>18</xdr:row>
      <xdr:rowOff>10583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9C3C8B3-F551-A1B7-2DE0-24AE83970030}"/>
            </a:ext>
          </a:extLst>
        </xdr:cNvPr>
        <xdr:cNvSpPr/>
      </xdr:nvSpPr>
      <xdr:spPr>
        <a:xfrm>
          <a:off x="20425838" y="1587500"/>
          <a:ext cx="2021417" cy="23283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21172</xdr:colOff>
      <xdr:row>11</xdr:row>
      <xdr:rowOff>148167</xdr:rowOff>
    </xdr:from>
    <xdr:to>
      <xdr:col>19</xdr:col>
      <xdr:colOff>867839</xdr:colOff>
      <xdr:row>13</xdr:row>
      <xdr:rowOff>169333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782635-64B6-5B98-3973-0EC58B84D4A9}"/>
            </a:ext>
          </a:extLst>
        </xdr:cNvPr>
        <xdr:cNvSpPr txBox="1"/>
      </xdr:nvSpPr>
      <xdr:spPr>
        <a:xfrm>
          <a:off x="20415255" y="2592917"/>
          <a:ext cx="846667" cy="423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>
              <a:solidFill>
                <a:schemeClr val="bg1"/>
              </a:solidFill>
            </a:rPr>
            <a:t>dim righe</a:t>
          </a:r>
        </a:p>
      </xdr:txBody>
    </xdr:sp>
    <xdr:clientData/>
  </xdr:twoCellAnchor>
  <xdr:twoCellAnchor>
    <xdr:from>
      <xdr:col>19</xdr:col>
      <xdr:colOff>698505</xdr:colOff>
      <xdr:row>16</xdr:row>
      <xdr:rowOff>211666</xdr:rowOff>
    </xdr:from>
    <xdr:to>
      <xdr:col>20</xdr:col>
      <xdr:colOff>635004</xdr:colOff>
      <xdr:row>18</xdr:row>
      <xdr:rowOff>179916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5D8FEBC-535A-4E38-AEB2-BA5F4D0FA8FB}"/>
            </a:ext>
          </a:extLst>
        </xdr:cNvPr>
        <xdr:cNvSpPr txBox="1"/>
      </xdr:nvSpPr>
      <xdr:spPr>
        <a:xfrm>
          <a:off x="21092588" y="3661833"/>
          <a:ext cx="846666" cy="423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>
              <a:solidFill>
                <a:schemeClr val="bg1"/>
              </a:solidFill>
            </a:rPr>
            <a:t>Righe</a:t>
          </a:r>
          <a:r>
            <a:rPr lang="it-IT" sz="1100" baseline="0">
              <a:solidFill>
                <a:schemeClr val="bg1"/>
              </a:solidFill>
            </a:rPr>
            <a:t> TOT</a:t>
          </a:r>
          <a:endParaRPr lang="it-IT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24</xdr:col>
      <xdr:colOff>62875</xdr:colOff>
      <xdr:row>4</xdr:row>
      <xdr:rowOff>50185</xdr:rowOff>
    </xdr:from>
    <xdr:to>
      <xdr:col>29</xdr:col>
      <xdr:colOff>784580</xdr:colOff>
      <xdr:row>25</xdr:row>
      <xdr:rowOff>78209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9C2D2966-00CC-4F23-0181-422B106A38EE}"/>
            </a:ext>
            <a:ext uri="{147F2762-F138-4A5C-976F-8EAC2B608ADB}">
              <a16:predDERef xmlns:a16="http://schemas.microsoft.com/office/drawing/2014/main" pred="{05D8FEBC-535A-4E38-AEB2-BA5F4D0F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0839" y="934649"/>
          <a:ext cx="5515954" cy="4504774"/>
        </a:xfrm>
        <a:prstGeom prst="rect">
          <a:avLst/>
        </a:prstGeom>
      </xdr:spPr>
    </xdr:pic>
    <xdr:clientData/>
  </xdr:twoCellAnchor>
  <xdr:twoCellAnchor>
    <xdr:from>
      <xdr:col>11</xdr:col>
      <xdr:colOff>931333</xdr:colOff>
      <xdr:row>20</xdr:row>
      <xdr:rowOff>10583</xdr:rowOff>
    </xdr:from>
    <xdr:to>
      <xdr:col>18</xdr:col>
      <xdr:colOff>0</xdr:colOff>
      <xdr:row>28</xdr:row>
      <xdr:rowOff>211667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C6968AA-D9D4-1DE7-B58B-92E451A76626}"/>
            </a:ext>
          </a:extLst>
        </xdr:cNvPr>
        <xdr:cNvCxnSpPr/>
      </xdr:nvCxnSpPr>
      <xdr:spPr>
        <a:xfrm>
          <a:off x="14033500" y="4349750"/>
          <a:ext cx="5492750" cy="1926167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876300</xdr:colOff>
      <xdr:row>54</xdr:row>
      <xdr:rowOff>152400</xdr:rowOff>
    </xdr:from>
    <xdr:to>
      <xdr:col>9</xdr:col>
      <xdr:colOff>114300</xdr:colOff>
      <xdr:row>76</xdr:row>
      <xdr:rowOff>133350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1A60D93-9FD1-74F8-61A1-EC0E55D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4875" y="10572750"/>
          <a:ext cx="5972175" cy="426720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80</xdr:row>
      <xdr:rowOff>47625</xdr:rowOff>
    </xdr:from>
    <xdr:to>
      <xdr:col>8</xdr:col>
      <xdr:colOff>536575</xdr:colOff>
      <xdr:row>103</xdr:row>
      <xdr:rowOff>79375</xdr:rowOff>
    </xdr:to>
    <xdr:pic>
      <xdr:nvPicPr>
        <xdr:cNvPr id="13" name="Immagine 3">
          <a:extLst>
            <a:ext uri="{FF2B5EF4-FFF2-40B4-BE49-F238E27FC236}">
              <a16:creationId xmlns:a16="http://schemas.microsoft.com/office/drawing/2014/main" id="{3DBD56FB-F32C-AC0C-E47D-35F247329104}"/>
            </a:ext>
            <a:ext uri="{147F2762-F138-4A5C-976F-8EAC2B608ADB}">
              <a16:predDERef xmlns:a16="http://schemas.microsoft.com/office/drawing/2014/main" pred="{01A60D93-9FD1-74F8-61A1-EC0E55D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6306800"/>
          <a:ext cx="4038600" cy="4705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18826</xdr:colOff>
      <xdr:row>73</xdr:row>
      <xdr:rowOff>142144</xdr:rowOff>
    </xdr:from>
    <xdr:to>
      <xdr:col>9</xdr:col>
      <xdr:colOff>93810</xdr:colOff>
      <xdr:row>90</xdr:row>
      <xdr:rowOff>25400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31600585-0EDD-3F4D-8055-EF7C6611A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9382" y="4657700"/>
          <a:ext cx="3503984" cy="3413856"/>
        </a:xfrm>
        <a:prstGeom prst="rect">
          <a:avLst/>
        </a:prstGeom>
      </xdr:spPr>
    </xdr:pic>
    <xdr:clientData/>
  </xdr:twoCellAnchor>
  <xdr:twoCellAnchor editAs="oneCell">
    <xdr:from>
      <xdr:col>5</xdr:col>
      <xdr:colOff>84666</xdr:colOff>
      <xdr:row>53</xdr:row>
      <xdr:rowOff>28223</xdr:rowOff>
    </xdr:from>
    <xdr:to>
      <xdr:col>15</xdr:col>
      <xdr:colOff>627651</xdr:colOff>
      <xdr:row>71</xdr:row>
      <xdr:rowOff>20696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A2E0505E-E54F-8448-B5EF-D55140BC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5222" y="719667"/>
          <a:ext cx="9001185" cy="3713573"/>
        </a:xfrm>
        <a:prstGeom prst="rect">
          <a:avLst/>
        </a:prstGeom>
      </xdr:spPr>
    </xdr:pic>
    <xdr:clientData/>
  </xdr:twoCellAnchor>
  <xdr:twoCellAnchor editAs="oneCell">
    <xdr:from>
      <xdr:col>10</xdr:col>
      <xdr:colOff>573969</xdr:colOff>
      <xdr:row>95</xdr:row>
      <xdr:rowOff>127707</xdr:rowOff>
    </xdr:from>
    <xdr:to>
      <xdr:col>19</xdr:col>
      <xdr:colOff>793044</xdr:colOff>
      <xdr:row>112</xdr:row>
      <xdr:rowOff>62076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931BC3B9-E26F-8B2E-6165-E110E540D732}"/>
            </a:ext>
            <a:ext uri="{147F2762-F138-4A5C-976F-8EAC2B608ADB}">
              <a16:predDERef xmlns:a16="http://schemas.microsoft.com/office/drawing/2014/main" pred="{A2E0505E-E54F-8448-B5EF-D55140BC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94369" y="8938332"/>
          <a:ext cx="7772400" cy="3334795"/>
        </a:xfrm>
        <a:prstGeom prst="rect">
          <a:avLst/>
        </a:prstGeom>
      </xdr:spPr>
    </xdr:pic>
    <xdr:clientData/>
  </xdr:twoCellAnchor>
  <xdr:twoCellAnchor editAs="oneCell">
    <xdr:from>
      <xdr:col>10</xdr:col>
      <xdr:colOff>649111</xdr:colOff>
      <xdr:row>113</xdr:row>
      <xdr:rowOff>70555</xdr:rowOff>
    </xdr:from>
    <xdr:to>
      <xdr:col>19</xdr:col>
      <xdr:colOff>857955</xdr:colOff>
      <xdr:row>119</xdr:row>
      <xdr:rowOff>19784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24570B10-6B2E-EDFC-484E-797F29ACD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44111" y="23269222"/>
          <a:ext cx="7715955" cy="11345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476250</xdr:colOff>
      <xdr:row>82</xdr:row>
      <xdr:rowOff>38100</xdr:rowOff>
    </xdr:from>
    <xdr:to>
      <xdr:col>40</xdr:col>
      <xdr:colOff>419100</xdr:colOff>
      <xdr:row>104</xdr:row>
      <xdr:rowOff>95250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D386A60-3BDE-27DA-4855-435CEA2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2125" y="16516350"/>
          <a:ext cx="17830800" cy="4457700"/>
        </a:xfrm>
        <a:prstGeom prst="rect">
          <a:avLst/>
        </a:prstGeom>
      </xdr:spPr>
    </xdr:pic>
    <xdr:clientData/>
  </xdr:twoCellAnchor>
  <xdr:twoCellAnchor editAs="oneCell">
    <xdr:from>
      <xdr:col>28</xdr:col>
      <xdr:colOff>180975</xdr:colOff>
      <xdr:row>8</xdr:row>
      <xdr:rowOff>161925</xdr:rowOff>
    </xdr:from>
    <xdr:to>
      <xdr:col>41</xdr:col>
      <xdr:colOff>73025</xdr:colOff>
      <xdr:row>39</xdr:row>
      <xdr:rowOff>123825</xdr:rowOff>
    </xdr:to>
    <xdr:pic>
      <xdr:nvPicPr>
        <xdr:cNvPr id="6" name="Immagine 2">
          <a:extLst>
            <a:ext uri="{FF2B5EF4-FFF2-40B4-BE49-F238E27FC236}">
              <a16:creationId xmlns:a16="http://schemas.microsoft.com/office/drawing/2014/main" id="{4D6B33D8-6473-F055-1067-F03104E2120E}"/>
            </a:ext>
            <a:ext uri="{147F2762-F138-4A5C-976F-8EAC2B608ADB}">
              <a16:predDERef xmlns:a16="http://schemas.microsoft.com/office/drawing/2014/main" pred="{0D386A60-3BDE-27DA-4855-435CEA2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22150" y="1695450"/>
          <a:ext cx="10306050" cy="6238875"/>
        </a:xfrm>
        <a:prstGeom prst="rect">
          <a:avLst/>
        </a:prstGeom>
      </xdr:spPr>
    </xdr:pic>
    <xdr:clientData/>
  </xdr:twoCellAnchor>
  <xdr:twoCellAnchor editAs="oneCell">
    <xdr:from>
      <xdr:col>44</xdr:col>
      <xdr:colOff>200025</xdr:colOff>
      <xdr:row>8</xdr:row>
      <xdr:rowOff>133350</xdr:rowOff>
    </xdr:from>
    <xdr:to>
      <xdr:col>59</xdr:col>
      <xdr:colOff>457200</xdr:colOff>
      <xdr:row>40</xdr:row>
      <xdr:rowOff>66675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1DDB41F-1C84-3F84-12B0-2744B4B1802D}"/>
            </a:ext>
            <a:ext uri="{147F2762-F138-4A5C-976F-8EAC2B608ADB}">
              <a16:predDERef xmlns:a16="http://schemas.microsoft.com/office/drawing/2014/main" pred="{4D6B33D8-6473-F055-1067-F03104E2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0" y="1666875"/>
          <a:ext cx="10401300" cy="6286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1026313</xdr:colOff>
      <xdr:row>33</xdr:row>
      <xdr:rowOff>119803</xdr:rowOff>
    </xdr:from>
    <xdr:to>
      <xdr:col>8</xdr:col>
      <xdr:colOff>1768929</xdr:colOff>
      <xdr:row>60</xdr:row>
      <xdr:rowOff>1945</xdr:rowOff>
    </xdr:to>
    <xdr:pic>
      <xdr:nvPicPr>
        <xdr:cNvPr id="10" name="Immagine 2">
          <a:extLst>
            <a:ext uri="{FF2B5EF4-FFF2-40B4-BE49-F238E27FC236}">
              <a16:creationId xmlns:a16="http://schemas.microsoft.com/office/drawing/2014/main" id="{78FF2584-B999-37DD-6697-1A8F9C3E6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9527" y="6605874"/>
          <a:ext cx="4008330" cy="5438392"/>
        </a:xfrm>
        <a:prstGeom prst="rect">
          <a:avLst/>
        </a:prstGeom>
      </xdr:spPr>
    </xdr:pic>
    <xdr:clientData/>
  </xdr:twoCellAnchor>
  <xdr:twoCellAnchor editAs="oneCell">
    <xdr:from>
      <xdr:col>1</xdr:col>
      <xdr:colOff>82493</xdr:colOff>
      <xdr:row>33</xdr:row>
      <xdr:rowOff>83791</xdr:rowOff>
    </xdr:from>
    <xdr:to>
      <xdr:col>4</xdr:col>
      <xdr:colOff>922263</xdr:colOff>
      <xdr:row>47</xdr:row>
      <xdr:rowOff>134929</xdr:rowOff>
    </xdr:to>
    <xdr:pic>
      <xdr:nvPicPr>
        <xdr:cNvPr id="11" name="Immagine 4">
          <a:extLst>
            <a:ext uri="{FF2B5EF4-FFF2-40B4-BE49-F238E27FC236}">
              <a16:creationId xmlns:a16="http://schemas.microsoft.com/office/drawing/2014/main" id="{0E26F437-EE67-B0C4-1493-68B7821B6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850" y="6569862"/>
          <a:ext cx="4347389" cy="294220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804616</xdr:colOff>
      <xdr:row>6</xdr:row>
      <xdr:rowOff>32516</xdr:rowOff>
    </xdr:from>
    <xdr:to>
      <xdr:col>8</xdr:col>
      <xdr:colOff>1406072</xdr:colOff>
      <xdr:row>29</xdr:row>
      <xdr:rowOff>33009</xdr:rowOff>
    </xdr:to>
    <xdr:pic>
      <xdr:nvPicPr>
        <xdr:cNvPr id="31" name="Immagine 6">
          <a:extLst>
            <a:ext uri="{FF2B5EF4-FFF2-40B4-BE49-F238E27FC236}">
              <a16:creationId xmlns:a16="http://schemas.microsoft.com/office/drawing/2014/main" id="{A76B6B03-9596-F919-F05E-981D998A5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30" y="1211802"/>
          <a:ext cx="3867170" cy="4746211"/>
        </a:xfrm>
        <a:prstGeom prst="rect">
          <a:avLst/>
        </a:prstGeom>
      </xdr:spPr>
    </xdr:pic>
    <xdr:clientData/>
  </xdr:twoCellAnchor>
  <xdr:twoCellAnchor editAs="oneCell">
    <xdr:from>
      <xdr:col>1</xdr:col>
      <xdr:colOff>50154</xdr:colOff>
      <xdr:row>6</xdr:row>
      <xdr:rowOff>39100</xdr:rowOff>
    </xdr:from>
    <xdr:to>
      <xdr:col>5</xdr:col>
      <xdr:colOff>1663</xdr:colOff>
      <xdr:row>16</xdr:row>
      <xdr:rowOff>2115</xdr:rowOff>
    </xdr:to>
    <xdr:pic>
      <xdr:nvPicPr>
        <xdr:cNvPr id="32" name="Immagine 8">
          <a:extLst>
            <a:ext uri="{FF2B5EF4-FFF2-40B4-BE49-F238E27FC236}">
              <a16:creationId xmlns:a16="http://schemas.microsoft.com/office/drawing/2014/main" id="{1244A679-7EC2-278A-35BF-2F74E2CEA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11" y="1218386"/>
          <a:ext cx="4440203" cy="20210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43</xdr:row>
      <xdr:rowOff>0</xdr:rowOff>
    </xdr:from>
    <xdr:to>
      <xdr:col>15</xdr:col>
      <xdr:colOff>19050</xdr:colOff>
      <xdr:row>48</xdr:row>
      <xdr:rowOff>190500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23BB14D-71BE-C5FF-276E-3F77B2953760}"/>
            </a:ext>
          </a:extLst>
        </xdr:cNvPr>
        <xdr:cNvSpPr/>
      </xdr:nvSpPr>
      <xdr:spPr>
        <a:xfrm>
          <a:off x="11249025" y="8658225"/>
          <a:ext cx="3343275" cy="1628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12</xdr:col>
      <xdr:colOff>304800</xdr:colOff>
      <xdr:row>43</xdr:row>
      <xdr:rowOff>19050</xdr:rowOff>
    </xdr:from>
    <xdr:to>
      <xdr:col>13</xdr:col>
      <xdr:colOff>533400</xdr:colOff>
      <xdr:row>43</xdr:row>
      <xdr:rowOff>276225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9838BA-10EF-7BB6-AF96-0F24F7EB4A6B}"/>
            </a:ext>
          </a:extLst>
        </xdr:cNvPr>
        <xdr:cNvSpPr txBox="1"/>
      </xdr:nvSpPr>
      <xdr:spPr>
        <a:xfrm>
          <a:off x="12363450" y="8677275"/>
          <a:ext cx="10668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>
              <a:solidFill>
                <a:schemeClr val="bg1"/>
              </a:solidFill>
            </a:rPr>
            <a:t>b</a:t>
          </a:r>
          <a:r>
            <a:rPr lang="it-IT" sz="1100" baseline="-25000">
              <a:solidFill>
                <a:schemeClr val="bg1"/>
              </a:solidFill>
            </a:rPr>
            <a:t>eff</a:t>
          </a:r>
        </a:p>
        <a:p>
          <a:pPr algn="ctr"/>
          <a:endParaRPr lang="it-IT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504825</xdr:colOff>
      <xdr:row>44</xdr:row>
      <xdr:rowOff>28575</xdr:rowOff>
    </xdr:from>
    <xdr:to>
      <xdr:col>11</xdr:col>
      <xdr:colOff>733425</xdr:colOff>
      <xdr:row>45</xdr:row>
      <xdr:rowOff>85725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2C81D1-7D78-4591-80DE-077C0343B34F}"/>
            </a:ext>
          </a:extLst>
        </xdr:cNvPr>
        <xdr:cNvSpPr txBox="1"/>
      </xdr:nvSpPr>
      <xdr:spPr>
        <a:xfrm>
          <a:off x="10887075" y="9324975"/>
          <a:ext cx="10668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 baseline="0">
              <a:solidFill>
                <a:schemeClr val="bg1"/>
              </a:solidFill>
            </a:rPr>
            <a:t>a</a:t>
          </a:r>
          <a:r>
            <a:rPr lang="it-IT" sz="1100" baseline="-25000">
              <a:solidFill>
                <a:schemeClr val="bg1"/>
              </a:solidFill>
            </a:rPr>
            <a:t>eff</a:t>
          </a:r>
        </a:p>
        <a:p>
          <a:pPr algn="ctr"/>
          <a:endParaRPr lang="it-IT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824458</xdr:colOff>
      <xdr:row>49</xdr:row>
      <xdr:rowOff>540279</xdr:rowOff>
    </xdr:from>
    <xdr:to>
      <xdr:col>17</xdr:col>
      <xdr:colOff>162393</xdr:colOff>
      <xdr:row>70</xdr:row>
      <xdr:rowOff>90667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83EB8FA-51DD-DABC-1799-A718FAF5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5868" y="10571197"/>
          <a:ext cx="6551951" cy="41411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22411</xdr:colOff>
      <xdr:row>61</xdr:row>
      <xdr:rowOff>29883</xdr:rowOff>
    </xdr:from>
    <xdr:to>
      <xdr:col>6</xdr:col>
      <xdr:colOff>878161</xdr:colOff>
      <xdr:row>75</xdr:row>
      <xdr:rowOff>52294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9C40092D-2B59-4544-9C22-05BEFA0F8F69}"/>
            </a:ext>
            <a:ext uri="{147F2762-F138-4A5C-976F-8EAC2B608ADB}">
              <a16:predDERef xmlns:a16="http://schemas.microsoft.com/office/drawing/2014/main" pred="{05D8FEBC-535A-4E38-AEB2-BA5F4D0F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12333942"/>
          <a:ext cx="3545161" cy="2846293"/>
        </a:xfrm>
        <a:prstGeom prst="rect">
          <a:avLst/>
        </a:prstGeom>
      </xdr:spPr>
    </xdr:pic>
    <xdr:clientData/>
  </xdr:twoCellAnchor>
  <xdr:twoCellAnchor editAs="oneCell">
    <xdr:from>
      <xdr:col>23</xdr:col>
      <xdr:colOff>539750</xdr:colOff>
      <xdr:row>18</xdr:row>
      <xdr:rowOff>95250</xdr:rowOff>
    </xdr:from>
    <xdr:to>
      <xdr:col>28</xdr:col>
      <xdr:colOff>326484</xdr:colOff>
      <xdr:row>31</xdr:row>
      <xdr:rowOff>111124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95C24C-44D4-AB12-135A-D32A8525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00" y="3810000"/>
          <a:ext cx="4184109" cy="26987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418367</xdr:colOff>
      <xdr:row>17</xdr:row>
      <xdr:rowOff>109903</xdr:rowOff>
    </xdr:from>
    <xdr:to>
      <xdr:col>3</xdr:col>
      <xdr:colOff>275492</xdr:colOff>
      <xdr:row>19</xdr:row>
      <xdr:rowOff>183905</xdr:rowOff>
    </xdr:to>
    <xdr:sp macro="" textlink="">
      <xdr:nvSpPr>
        <xdr:cNvPr id="44" name="Isosceles Triangle 1">
          <a:extLst>
            <a:ext uri="{FF2B5EF4-FFF2-40B4-BE49-F238E27FC236}">
              <a16:creationId xmlns:a16="http://schemas.microsoft.com/office/drawing/2014/main" id="{0412DEB4-520B-68C3-054F-5478339ACD72}"/>
            </a:ext>
          </a:extLst>
        </xdr:cNvPr>
        <xdr:cNvSpPr/>
      </xdr:nvSpPr>
      <xdr:spPr>
        <a:xfrm>
          <a:off x="1795829" y="2285999"/>
          <a:ext cx="545855" cy="469656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564173</xdr:colOff>
      <xdr:row>18</xdr:row>
      <xdr:rowOff>65942</xdr:rowOff>
    </xdr:from>
    <xdr:ext cx="265522" cy="311496"/>
    <xdr:sp macro="" textlink="">
      <xdr:nvSpPr>
        <xdr:cNvPr id="45" name="TextBox 2">
          <a:extLst>
            <a:ext uri="{FF2B5EF4-FFF2-40B4-BE49-F238E27FC236}">
              <a16:creationId xmlns:a16="http://schemas.microsoft.com/office/drawing/2014/main" id="{286E03A6-258F-DC5A-3335-4B15891BAD26}"/>
            </a:ext>
          </a:extLst>
        </xdr:cNvPr>
        <xdr:cNvSpPr txBox="1"/>
      </xdr:nvSpPr>
      <xdr:spPr>
        <a:xfrm>
          <a:off x="1941635" y="2439865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3</xdr:col>
      <xdr:colOff>0</xdr:colOff>
      <xdr:row>11</xdr:row>
      <xdr:rowOff>0</xdr:rowOff>
    </xdr:from>
    <xdr:to>
      <xdr:col>3</xdr:col>
      <xdr:colOff>2565</xdr:colOff>
      <xdr:row>17</xdr:row>
      <xdr:rowOff>109903</xdr:rowOff>
    </xdr:to>
    <xdr:cxnSp macro="">
      <xdr:nvCxnSpPr>
        <xdr:cNvPr id="57" name="Straight Arrow Connector 4">
          <a:extLst>
            <a:ext uri="{FF2B5EF4-FFF2-40B4-BE49-F238E27FC236}">
              <a16:creationId xmlns:a16="http://schemas.microsoft.com/office/drawing/2014/main" id="{597F5D94-950B-B51F-31F2-C49F5A8FD34C}"/>
            </a:ext>
          </a:extLst>
        </xdr:cNvPr>
        <xdr:cNvCxnSpPr>
          <a:endCxn id="44" idx="0"/>
        </xdr:cNvCxnSpPr>
      </xdr:nvCxnSpPr>
      <xdr:spPr>
        <a:xfrm>
          <a:off x="2066192" y="1018442"/>
          <a:ext cx="2565" cy="129686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7327</xdr:colOff>
      <xdr:row>23</xdr:row>
      <xdr:rowOff>95250</xdr:rowOff>
    </xdr:from>
    <xdr:to>
      <xdr:col>6</xdr:col>
      <xdr:colOff>14654</xdr:colOff>
      <xdr:row>23</xdr:row>
      <xdr:rowOff>102577</xdr:rowOff>
    </xdr:to>
    <xdr:cxnSp macro="">
      <xdr:nvCxnSpPr>
        <xdr:cNvPr id="40" name="Straight Arrow Connector 5">
          <a:extLst>
            <a:ext uri="{FF2B5EF4-FFF2-40B4-BE49-F238E27FC236}">
              <a16:creationId xmlns:a16="http://schemas.microsoft.com/office/drawing/2014/main" id="{77322936-3209-449C-8066-08D0EB34F88C}"/>
            </a:ext>
          </a:extLst>
        </xdr:cNvPr>
        <xdr:cNvCxnSpPr/>
      </xdr:nvCxnSpPr>
      <xdr:spPr>
        <a:xfrm flipV="1">
          <a:off x="2762250" y="3458308"/>
          <a:ext cx="1384789" cy="732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</xdr:colOff>
      <xdr:row>23</xdr:row>
      <xdr:rowOff>93784</xdr:rowOff>
    </xdr:from>
    <xdr:to>
      <xdr:col>10</xdr:col>
      <xdr:colOff>5443</xdr:colOff>
      <xdr:row>23</xdr:row>
      <xdr:rowOff>103415</xdr:rowOff>
    </xdr:to>
    <xdr:cxnSp macro="">
      <xdr:nvCxnSpPr>
        <xdr:cNvPr id="41" name="Straight Arrow Connector 8">
          <a:extLst>
            <a:ext uri="{FF2B5EF4-FFF2-40B4-BE49-F238E27FC236}">
              <a16:creationId xmlns:a16="http://schemas.microsoft.com/office/drawing/2014/main" id="{5608EAE5-833F-4FAC-B841-96D7E52D3DFE}"/>
            </a:ext>
          </a:extLst>
        </xdr:cNvPr>
        <xdr:cNvCxnSpPr/>
      </xdr:nvCxnSpPr>
      <xdr:spPr>
        <a:xfrm>
          <a:off x="5487865" y="3549998"/>
          <a:ext cx="1375578" cy="963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416902</xdr:colOff>
      <xdr:row>19</xdr:row>
      <xdr:rowOff>93784</xdr:rowOff>
    </xdr:from>
    <xdr:to>
      <xdr:col>5</xdr:col>
      <xdr:colOff>274026</xdr:colOff>
      <xdr:row>21</xdr:row>
      <xdr:rowOff>167786</xdr:rowOff>
    </xdr:to>
    <xdr:sp macro="" textlink="">
      <xdr:nvSpPr>
        <xdr:cNvPr id="50" name="Isosceles Triangle 9">
          <a:extLst>
            <a:ext uri="{FF2B5EF4-FFF2-40B4-BE49-F238E27FC236}">
              <a16:creationId xmlns:a16="http://schemas.microsoft.com/office/drawing/2014/main" id="{EBA5F305-472D-43D0-A5DB-B690AB5ACABE}"/>
            </a:ext>
          </a:extLst>
        </xdr:cNvPr>
        <xdr:cNvSpPr/>
      </xdr:nvSpPr>
      <xdr:spPr>
        <a:xfrm>
          <a:off x="3171825" y="2665534"/>
          <a:ext cx="545855" cy="469656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4</xdr:col>
      <xdr:colOff>562708</xdr:colOff>
      <xdr:row>20</xdr:row>
      <xdr:rowOff>49823</xdr:rowOff>
    </xdr:from>
    <xdr:ext cx="265522" cy="311496"/>
    <xdr:sp macro="" textlink="">
      <xdr:nvSpPr>
        <xdr:cNvPr id="51" name="TextBox 10">
          <a:extLst>
            <a:ext uri="{FF2B5EF4-FFF2-40B4-BE49-F238E27FC236}">
              <a16:creationId xmlns:a16="http://schemas.microsoft.com/office/drawing/2014/main" id="{90547C12-8835-43BA-9E38-56A442277370}"/>
            </a:ext>
          </a:extLst>
        </xdr:cNvPr>
        <xdr:cNvSpPr txBox="1"/>
      </xdr:nvSpPr>
      <xdr:spPr>
        <a:xfrm>
          <a:off x="3317631" y="2819400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10</xdr:col>
      <xdr:colOff>422763</xdr:colOff>
      <xdr:row>20</xdr:row>
      <xdr:rowOff>99646</xdr:rowOff>
    </xdr:from>
    <xdr:to>
      <xdr:col>11</xdr:col>
      <xdr:colOff>279888</xdr:colOff>
      <xdr:row>22</xdr:row>
      <xdr:rowOff>173648</xdr:rowOff>
    </xdr:to>
    <xdr:sp macro="" textlink="">
      <xdr:nvSpPr>
        <xdr:cNvPr id="52" name="Isosceles Triangle 11">
          <a:extLst>
            <a:ext uri="{FF2B5EF4-FFF2-40B4-BE49-F238E27FC236}">
              <a16:creationId xmlns:a16="http://schemas.microsoft.com/office/drawing/2014/main" id="{21DDE142-E7CA-4981-AC1A-98AE5DC3A7B1}"/>
            </a:ext>
          </a:extLst>
        </xdr:cNvPr>
        <xdr:cNvSpPr/>
      </xdr:nvSpPr>
      <xdr:spPr>
        <a:xfrm>
          <a:off x="7310071" y="2869223"/>
          <a:ext cx="545855" cy="469656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568569</xdr:colOff>
      <xdr:row>21</xdr:row>
      <xdr:rowOff>55685</xdr:rowOff>
    </xdr:from>
    <xdr:ext cx="265522" cy="311496"/>
    <xdr:sp macro="" textlink="">
      <xdr:nvSpPr>
        <xdr:cNvPr id="53" name="TextBox 12">
          <a:extLst>
            <a:ext uri="{FF2B5EF4-FFF2-40B4-BE49-F238E27FC236}">
              <a16:creationId xmlns:a16="http://schemas.microsoft.com/office/drawing/2014/main" id="{B3BFE2C7-DD5D-4686-AEAF-F16FF345267A}"/>
            </a:ext>
          </a:extLst>
        </xdr:cNvPr>
        <xdr:cNvSpPr txBox="1"/>
      </xdr:nvSpPr>
      <xdr:spPr>
        <a:xfrm>
          <a:off x="7455877" y="3023089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10</xdr:col>
      <xdr:colOff>688730</xdr:colOff>
      <xdr:row>11</xdr:row>
      <xdr:rowOff>7327</xdr:rowOff>
    </xdr:from>
    <xdr:to>
      <xdr:col>11</xdr:col>
      <xdr:colOff>6961</xdr:colOff>
      <xdr:row>20</xdr:row>
      <xdr:rowOff>99646</xdr:rowOff>
    </xdr:to>
    <xdr:cxnSp macro="">
      <xdr:nvCxnSpPr>
        <xdr:cNvPr id="56" name="Straight Arrow Connector 13">
          <a:extLst>
            <a:ext uri="{FF2B5EF4-FFF2-40B4-BE49-F238E27FC236}">
              <a16:creationId xmlns:a16="http://schemas.microsoft.com/office/drawing/2014/main" id="{2DF6AE74-6349-46C1-9F4F-3E63DC7143B7}"/>
            </a:ext>
          </a:extLst>
        </xdr:cNvPr>
        <xdr:cNvCxnSpPr>
          <a:stCxn id="52" idx="0"/>
        </xdr:cNvCxnSpPr>
      </xdr:nvCxnSpPr>
      <xdr:spPr>
        <a:xfrm flipH="1" flipV="1">
          <a:off x="7576038" y="996462"/>
          <a:ext cx="6961" cy="187276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31</xdr:row>
      <xdr:rowOff>57979</xdr:rowOff>
    </xdr:from>
    <xdr:to>
      <xdr:col>4</xdr:col>
      <xdr:colOff>8283</xdr:colOff>
      <xdr:row>31</xdr:row>
      <xdr:rowOff>57979</xdr:rowOff>
    </xdr:to>
    <xdr:cxnSp macro="">
      <xdr:nvCxnSpPr>
        <xdr:cNvPr id="99" name="Straight Connector 18">
          <a:extLst>
            <a:ext uri="{FF2B5EF4-FFF2-40B4-BE49-F238E27FC236}">
              <a16:creationId xmlns:a16="http://schemas.microsoft.com/office/drawing/2014/main" id="{F18B702D-4B6C-0AA6-211B-83FE5D27A783}"/>
            </a:ext>
          </a:extLst>
        </xdr:cNvPr>
        <xdr:cNvCxnSpPr/>
      </xdr:nvCxnSpPr>
      <xdr:spPr>
        <a:xfrm>
          <a:off x="1374913" y="5110370"/>
          <a:ext cx="1383196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8283</xdr:colOff>
      <xdr:row>30</xdr:row>
      <xdr:rowOff>86449</xdr:rowOff>
    </xdr:from>
    <xdr:to>
      <xdr:col>4</xdr:col>
      <xdr:colOff>8283</xdr:colOff>
      <xdr:row>31</xdr:row>
      <xdr:rowOff>61602</xdr:rowOff>
    </xdr:to>
    <xdr:cxnSp macro="">
      <xdr:nvCxnSpPr>
        <xdr:cNvPr id="98" name="Straight Connector 20">
          <a:extLst>
            <a:ext uri="{FF2B5EF4-FFF2-40B4-BE49-F238E27FC236}">
              <a16:creationId xmlns:a16="http://schemas.microsoft.com/office/drawing/2014/main" id="{9DEAB607-00A0-15EC-F07D-7CE26F77C0A3}"/>
            </a:ext>
          </a:extLst>
        </xdr:cNvPr>
        <xdr:cNvCxnSpPr/>
      </xdr:nvCxnSpPr>
      <xdr:spPr>
        <a:xfrm flipV="1">
          <a:off x="2746721" y="5003730"/>
          <a:ext cx="0" cy="17756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1813</xdr:colOff>
      <xdr:row>30</xdr:row>
      <xdr:rowOff>88261</xdr:rowOff>
    </xdr:from>
    <xdr:to>
      <xdr:col>6</xdr:col>
      <xdr:colOff>1813</xdr:colOff>
      <xdr:row>31</xdr:row>
      <xdr:rowOff>63414</xdr:rowOff>
    </xdr:to>
    <xdr:cxnSp macro="">
      <xdr:nvCxnSpPr>
        <xdr:cNvPr id="96" name="Straight Connector 21">
          <a:extLst>
            <a:ext uri="{FF2B5EF4-FFF2-40B4-BE49-F238E27FC236}">
              <a16:creationId xmlns:a16="http://schemas.microsoft.com/office/drawing/2014/main" id="{70CF11AF-8D62-4635-AD73-A4BFFBA924CF}"/>
            </a:ext>
          </a:extLst>
        </xdr:cNvPr>
        <xdr:cNvCxnSpPr/>
      </xdr:nvCxnSpPr>
      <xdr:spPr>
        <a:xfrm flipV="1">
          <a:off x="4109469" y="5005542"/>
          <a:ext cx="0" cy="17756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678398</xdr:colOff>
      <xdr:row>31</xdr:row>
      <xdr:rowOff>62119</xdr:rowOff>
    </xdr:from>
    <xdr:to>
      <xdr:col>8</xdr:col>
      <xdr:colOff>2072</xdr:colOff>
      <xdr:row>31</xdr:row>
      <xdr:rowOff>62119</xdr:rowOff>
    </xdr:to>
    <xdr:cxnSp macro="">
      <xdr:nvCxnSpPr>
        <xdr:cNvPr id="94" name="Straight Connector 22">
          <a:extLst>
            <a:ext uri="{FF2B5EF4-FFF2-40B4-BE49-F238E27FC236}">
              <a16:creationId xmlns:a16="http://schemas.microsoft.com/office/drawing/2014/main" id="{B0223AB2-13D2-495D-B8A4-8E2808518939}"/>
            </a:ext>
          </a:extLst>
        </xdr:cNvPr>
        <xdr:cNvCxnSpPr/>
      </xdr:nvCxnSpPr>
      <xdr:spPr>
        <a:xfrm>
          <a:off x="4101445" y="5181807"/>
          <a:ext cx="1377502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30</xdr:row>
      <xdr:rowOff>89298</xdr:rowOff>
    </xdr:from>
    <xdr:to>
      <xdr:col>6</xdr:col>
      <xdr:colOff>8284</xdr:colOff>
      <xdr:row>30</xdr:row>
      <xdr:rowOff>89298</xdr:rowOff>
    </xdr:to>
    <xdr:cxnSp macro="">
      <xdr:nvCxnSpPr>
        <xdr:cNvPr id="97" name="Straight Connector 23">
          <a:extLst>
            <a:ext uri="{FF2B5EF4-FFF2-40B4-BE49-F238E27FC236}">
              <a16:creationId xmlns:a16="http://schemas.microsoft.com/office/drawing/2014/main" id="{B81A1667-1229-4645-9405-FCCF7FD8ACD0}"/>
            </a:ext>
          </a:extLst>
        </xdr:cNvPr>
        <xdr:cNvCxnSpPr/>
      </xdr:nvCxnSpPr>
      <xdr:spPr>
        <a:xfrm>
          <a:off x="2738438" y="5006579"/>
          <a:ext cx="1377502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678088</xdr:colOff>
      <xdr:row>30</xdr:row>
      <xdr:rowOff>91833</xdr:rowOff>
    </xdr:from>
    <xdr:to>
      <xdr:col>7</xdr:col>
      <xdr:colOff>678088</xdr:colOff>
      <xdr:row>31</xdr:row>
      <xdr:rowOff>66986</xdr:rowOff>
    </xdr:to>
    <xdr:cxnSp macro="">
      <xdr:nvCxnSpPr>
        <xdr:cNvPr id="95" name="Straight Connector 24">
          <a:extLst>
            <a:ext uri="{FF2B5EF4-FFF2-40B4-BE49-F238E27FC236}">
              <a16:creationId xmlns:a16="http://schemas.microsoft.com/office/drawing/2014/main" id="{6BCDF070-6BCD-4203-B28D-BC93701A0B9A}"/>
            </a:ext>
          </a:extLst>
        </xdr:cNvPr>
        <xdr:cNvCxnSpPr/>
      </xdr:nvCxnSpPr>
      <xdr:spPr>
        <a:xfrm flipV="1">
          <a:off x="5470354" y="5009114"/>
          <a:ext cx="0" cy="17756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</xdr:colOff>
      <xdr:row>30</xdr:row>
      <xdr:rowOff>89297</xdr:rowOff>
    </xdr:from>
    <xdr:to>
      <xdr:col>2</xdr:col>
      <xdr:colOff>5953</xdr:colOff>
      <xdr:row>31</xdr:row>
      <xdr:rowOff>64450</xdr:rowOff>
    </xdr:to>
    <xdr:cxnSp macro="">
      <xdr:nvCxnSpPr>
        <xdr:cNvPr id="105" name="Straight Connector 25">
          <a:extLst>
            <a:ext uri="{FF2B5EF4-FFF2-40B4-BE49-F238E27FC236}">
              <a16:creationId xmlns:a16="http://schemas.microsoft.com/office/drawing/2014/main" id="{32A0F4B0-F847-4C4E-87C6-C73D8F5118B4}"/>
            </a:ext>
          </a:extLst>
        </xdr:cNvPr>
        <xdr:cNvCxnSpPr/>
      </xdr:nvCxnSpPr>
      <xdr:spPr>
        <a:xfrm flipV="1">
          <a:off x="1375172" y="5006578"/>
          <a:ext cx="0" cy="17756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10026</xdr:colOff>
      <xdr:row>30</xdr:row>
      <xdr:rowOff>89297</xdr:rowOff>
    </xdr:from>
    <xdr:to>
      <xdr:col>2</xdr:col>
      <xdr:colOff>10966</xdr:colOff>
      <xdr:row>30</xdr:row>
      <xdr:rowOff>90237</xdr:rowOff>
    </xdr:to>
    <xdr:cxnSp macro="">
      <xdr:nvCxnSpPr>
        <xdr:cNvPr id="104" name="Straight Connector 26">
          <a:extLst>
            <a:ext uri="{FF2B5EF4-FFF2-40B4-BE49-F238E27FC236}">
              <a16:creationId xmlns:a16="http://schemas.microsoft.com/office/drawing/2014/main" id="{6FE2960F-2025-4821-B6DC-39EF12F3DBF8}"/>
            </a:ext>
          </a:extLst>
        </xdr:cNvPr>
        <xdr:cNvCxnSpPr/>
      </xdr:nvCxnSpPr>
      <xdr:spPr>
        <a:xfrm flipV="1">
          <a:off x="696829" y="5002192"/>
          <a:ext cx="687742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671764</xdr:colOff>
      <xdr:row>30</xdr:row>
      <xdr:rowOff>100263</xdr:rowOff>
    </xdr:from>
    <xdr:to>
      <xdr:col>8</xdr:col>
      <xdr:colOff>672703</xdr:colOff>
      <xdr:row>30</xdr:row>
      <xdr:rowOff>101203</xdr:rowOff>
    </xdr:to>
    <xdr:cxnSp macro="">
      <xdr:nvCxnSpPr>
        <xdr:cNvPr id="93" name="Straight Connector 29">
          <a:extLst>
            <a:ext uri="{FF2B5EF4-FFF2-40B4-BE49-F238E27FC236}">
              <a16:creationId xmlns:a16="http://schemas.microsoft.com/office/drawing/2014/main" id="{946461E7-6598-41A6-A206-73AA1C01963B}"/>
            </a:ext>
          </a:extLst>
        </xdr:cNvPr>
        <xdr:cNvCxnSpPr/>
      </xdr:nvCxnSpPr>
      <xdr:spPr>
        <a:xfrm flipV="1">
          <a:off x="5479382" y="5013158"/>
          <a:ext cx="687742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5953</xdr:colOff>
      <xdr:row>30</xdr:row>
      <xdr:rowOff>89297</xdr:rowOff>
    </xdr:from>
    <xdr:to>
      <xdr:col>6</xdr:col>
      <xdr:colOff>5953</xdr:colOff>
      <xdr:row>31</xdr:row>
      <xdr:rowOff>64450</xdr:rowOff>
    </xdr:to>
    <xdr:cxnSp macro="">
      <xdr:nvCxnSpPr>
        <xdr:cNvPr id="102" name="Straight Connector 30">
          <a:extLst>
            <a:ext uri="{FF2B5EF4-FFF2-40B4-BE49-F238E27FC236}">
              <a16:creationId xmlns:a16="http://schemas.microsoft.com/office/drawing/2014/main" id="{A8D90645-47DB-4610-8E9B-BD04F6ACBE01}"/>
            </a:ext>
          </a:extLst>
        </xdr:cNvPr>
        <xdr:cNvCxnSpPr/>
      </xdr:nvCxnSpPr>
      <xdr:spPr>
        <a:xfrm flipV="1">
          <a:off x="1379558" y="5002192"/>
          <a:ext cx="0" cy="17567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10026</xdr:colOff>
      <xdr:row>30</xdr:row>
      <xdr:rowOff>89297</xdr:rowOff>
    </xdr:from>
    <xdr:to>
      <xdr:col>6</xdr:col>
      <xdr:colOff>10966</xdr:colOff>
      <xdr:row>30</xdr:row>
      <xdr:rowOff>90237</xdr:rowOff>
    </xdr:to>
    <xdr:cxnSp macro="">
      <xdr:nvCxnSpPr>
        <xdr:cNvPr id="103" name="Straight Connector 31">
          <a:extLst>
            <a:ext uri="{FF2B5EF4-FFF2-40B4-BE49-F238E27FC236}">
              <a16:creationId xmlns:a16="http://schemas.microsoft.com/office/drawing/2014/main" id="{2109E3F4-39C2-4CDF-91C6-6C8CCB4387E8}"/>
            </a:ext>
          </a:extLst>
        </xdr:cNvPr>
        <xdr:cNvCxnSpPr/>
      </xdr:nvCxnSpPr>
      <xdr:spPr>
        <a:xfrm flipV="1">
          <a:off x="696829" y="5002192"/>
          <a:ext cx="687742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525116</xdr:colOff>
      <xdr:row>22</xdr:row>
      <xdr:rowOff>141287</xdr:rowOff>
    </xdr:from>
    <xdr:to>
      <xdr:col>3</xdr:col>
      <xdr:colOff>132186</xdr:colOff>
      <xdr:row>24</xdr:row>
      <xdr:rowOff>28162</xdr:rowOff>
    </xdr:to>
    <xdr:sp macro="" textlink="">
      <xdr:nvSpPr>
        <xdr:cNvPr id="150" name="Flowchart: Connector 34">
          <a:extLst>
            <a:ext uri="{FF2B5EF4-FFF2-40B4-BE49-F238E27FC236}">
              <a16:creationId xmlns:a16="http://schemas.microsoft.com/office/drawing/2014/main" id="{3D644DD6-13DF-4D89-BD94-246772587E78}"/>
            </a:ext>
          </a:extLst>
        </xdr:cNvPr>
        <xdr:cNvSpPr/>
      </xdr:nvSpPr>
      <xdr:spPr>
        <a:xfrm>
          <a:off x="1900029" y="3354939"/>
          <a:ext cx="294527" cy="284440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425727</xdr:colOff>
      <xdr:row>22</xdr:row>
      <xdr:rowOff>1</xdr:rowOff>
    </xdr:from>
    <xdr:to>
      <xdr:col>3</xdr:col>
      <xdr:colOff>231913</xdr:colOff>
      <xdr:row>24</xdr:row>
      <xdr:rowOff>77857</xdr:rowOff>
    </xdr:to>
    <xdr:sp macro="" textlink="">
      <xdr:nvSpPr>
        <xdr:cNvPr id="149" name="Arc 35">
          <a:extLst>
            <a:ext uri="{FF2B5EF4-FFF2-40B4-BE49-F238E27FC236}">
              <a16:creationId xmlns:a16="http://schemas.microsoft.com/office/drawing/2014/main" id="{927E6923-7A7A-41B8-B40E-A6FD8672EC5B}"/>
            </a:ext>
          </a:extLst>
        </xdr:cNvPr>
        <xdr:cNvSpPr/>
      </xdr:nvSpPr>
      <xdr:spPr>
        <a:xfrm>
          <a:off x="1800640" y="3213653"/>
          <a:ext cx="493643" cy="475421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6</xdr:col>
      <xdr:colOff>538368</xdr:colOff>
      <xdr:row>22</xdr:row>
      <xdr:rowOff>124720</xdr:rowOff>
    </xdr:from>
    <xdr:to>
      <xdr:col>7</xdr:col>
      <xdr:colOff>145438</xdr:colOff>
      <xdr:row>24</xdr:row>
      <xdr:rowOff>11595</xdr:rowOff>
    </xdr:to>
    <xdr:sp macro="" textlink="">
      <xdr:nvSpPr>
        <xdr:cNvPr id="153" name="Flowchart: Connector 36">
          <a:extLst>
            <a:ext uri="{FF2B5EF4-FFF2-40B4-BE49-F238E27FC236}">
              <a16:creationId xmlns:a16="http://schemas.microsoft.com/office/drawing/2014/main" id="{F44B2E04-BD04-4098-BF5C-79D55B10ABB2}"/>
            </a:ext>
          </a:extLst>
        </xdr:cNvPr>
        <xdr:cNvSpPr/>
      </xdr:nvSpPr>
      <xdr:spPr>
        <a:xfrm>
          <a:off x="4663107" y="3338372"/>
          <a:ext cx="294527" cy="284440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6</xdr:col>
      <xdr:colOff>438979</xdr:colOff>
      <xdr:row>21</xdr:row>
      <xdr:rowOff>190499</xdr:rowOff>
    </xdr:from>
    <xdr:to>
      <xdr:col>7</xdr:col>
      <xdr:colOff>245165</xdr:colOff>
      <xdr:row>24</xdr:row>
      <xdr:rowOff>61290</xdr:rowOff>
    </xdr:to>
    <xdr:sp macro="" textlink="">
      <xdr:nvSpPr>
        <xdr:cNvPr id="154" name="Arc 37">
          <a:extLst>
            <a:ext uri="{FF2B5EF4-FFF2-40B4-BE49-F238E27FC236}">
              <a16:creationId xmlns:a16="http://schemas.microsoft.com/office/drawing/2014/main" id="{CE8CDDA9-7CBB-495F-B28D-53B41836ADDC}"/>
            </a:ext>
          </a:extLst>
        </xdr:cNvPr>
        <xdr:cNvSpPr/>
      </xdr:nvSpPr>
      <xdr:spPr>
        <a:xfrm>
          <a:off x="4563718" y="3197086"/>
          <a:ext cx="493643" cy="475421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273326</xdr:colOff>
      <xdr:row>22</xdr:row>
      <xdr:rowOff>115957</xdr:rowOff>
    </xdr:from>
    <xdr:to>
      <xdr:col>2</xdr:col>
      <xdr:colOff>637761</xdr:colOff>
      <xdr:row>24</xdr:row>
      <xdr:rowOff>132522</xdr:rowOff>
    </xdr:to>
    <xdr:sp macro="" textlink="">
      <xdr:nvSpPr>
        <xdr:cNvPr id="170" name="TextBox 38">
          <a:extLst>
            <a:ext uri="{FF2B5EF4-FFF2-40B4-BE49-F238E27FC236}">
              <a16:creationId xmlns:a16="http://schemas.microsoft.com/office/drawing/2014/main" id="{021C3470-71DD-5EA4-EBFC-1C4B9B2E3FDB}"/>
            </a:ext>
          </a:extLst>
        </xdr:cNvPr>
        <xdr:cNvSpPr txBox="1"/>
      </xdr:nvSpPr>
      <xdr:spPr>
        <a:xfrm>
          <a:off x="1648239" y="3329609"/>
          <a:ext cx="364435" cy="414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1</a:t>
          </a:r>
        </a:p>
      </xdr:txBody>
    </xdr:sp>
    <xdr:clientData/>
  </xdr:twoCellAnchor>
  <xdr:twoCellAnchor>
    <xdr:from>
      <xdr:col>6</xdr:col>
      <xdr:colOff>265044</xdr:colOff>
      <xdr:row>22</xdr:row>
      <xdr:rowOff>115957</xdr:rowOff>
    </xdr:from>
    <xdr:to>
      <xdr:col>6</xdr:col>
      <xdr:colOff>629479</xdr:colOff>
      <xdr:row>24</xdr:row>
      <xdr:rowOff>132522</xdr:rowOff>
    </xdr:to>
    <xdr:sp macro="" textlink="">
      <xdr:nvSpPr>
        <xdr:cNvPr id="173" name="TextBox 39">
          <a:extLst>
            <a:ext uri="{FF2B5EF4-FFF2-40B4-BE49-F238E27FC236}">
              <a16:creationId xmlns:a16="http://schemas.microsoft.com/office/drawing/2014/main" id="{683676E2-61D8-4A6E-A62C-885355C856A0}"/>
            </a:ext>
          </a:extLst>
        </xdr:cNvPr>
        <xdr:cNvSpPr txBox="1"/>
      </xdr:nvSpPr>
      <xdr:spPr>
        <a:xfrm>
          <a:off x="4389783" y="3329609"/>
          <a:ext cx="364435" cy="414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4</a:t>
          </a:r>
        </a:p>
      </xdr:txBody>
    </xdr:sp>
    <xdr:clientData/>
  </xdr:twoCellAnchor>
  <xdr:twoCellAnchor>
    <xdr:from>
      <xdr:col>4</xdr:col>
      <xdr:colOff>97972</xdr:colOff>
      <xdr:row>23</xdr:row>
      <xdr:rowOff>21772</xdr:rowOff>
    </xdr:from>
    <xdr:to>
      <xdr:col>4</xdr:col>
      <xdr:colOff>163286</xdr:colOff>
      <xdr:row>23</xdr:row>
      <xdr:rowOff>174172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104F29D-4242-1279-4C5B-D164752A6CAE}"/>
            </a:ext>
          </a:extLst>
        </xdr:cNvPr>
        <xdr:cNvSpPr/>
      </xdr:nvSpPr>
      <xdr:spPr>
        <a:xfrm>
          <a:off x="2841172" y="3477986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250371</xdr:colOff>
      <xdr:row>23</xdr:row>
      <xdr:rowOff>38100</xdr:rowOff>
    </xdr:from>
    <xdr:to>
      <xdr:col>4</xdr:col>
      <xdr:colOff>315685</xdr:colOff>
      <xdr:row>23</xdr:row>
      <xdr:rowOff>190500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8368FEB-02E6-4725-823F-3C0B465033B3}"/>
            </a:ext>
          </a:extLst>
        </xdr:cNvPr>
        <xdr:cNvSpPr/>
      </xdr:nvSpPr>
      <xdr:spPr>
        <a:xfrm>
          <a:off x="2993571" y="349431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408215</xdr:colOff>
      <xdr:row>23</xdr:row>
      <xdr:rowOff>38100</xdr:rowOff>
    </xdr:from>
    <xdr:to>
      <xdr:col>4</xdr:col>
      <xdr:colOff>473529</xdr:colOff>
      <xdr:row>23</xdr:row>
      <xdr:rowOff>190500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E17433-0BAC-40FC-8400-3D1AF187675A}"/>
            </a:ext>
          </a:extLst>
        </xdr:cNvPr>
        <xdr:cNvSpPr/>
      </xdr:nvSpPr>
      <xdr:spPr>
        <a:xfrm>
          <a:off x="3151415" y="349431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576943</xdr:colOff>
      <xdr:row>23</xdr:row>
      <xdr:rowOff>43543</xdr:rowOff>
    </xdr:from>
    <xdr:to>
      <xdr:col>4</xdr:col>
      <xdr:colOff>642257</xdr:colOff>
      <xdr:row>23</xdr:row>
      <xdr:rowOff>195943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F4EAABA-C0EE-4D4D-98AD-AB63B41AA6DE}"/>
            </a:ext>
          </a:extLst>
        </xdr:cNvPr>
        <xdr:cNvSpPr/>
      </xdr:nvSpPr>
      <xdr:spPr>
        <a:xfrm>
          <a:off x="3320143" y="3499757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38100</xdr:colOff>
      <xdr:row>23</xdr:row>
      <xdr:rowOff>38100</xdr:rowOff>
    </xdr:from>
    <xdr:to>
      <xdr:col>5</xdr:col>
      <xdr:colOff>103414</xdr:colOff>
      <xdr:row>23</xdr:row>
      <xdr:rowOff>190500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67406E1-0875-42A8-ACB3-7E1399FE40F2}"/>
            </a:ext>
          </a:extLst>
        </xdr:cNvPr>
        <xdr:cNvSpPr/>
      </xdr:nvSpPr>
      <xdr:spPr>
        <a:xfrm>
          <a:off x="3467100" y="349431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190500</xdr:colOff>
      <xdr:row>23</xdr:row>
      <xdr:rowOff>38100</xdr:rowOff>
    </xdr:from>
    <xdr:to>
      <xdr:col>5</xdr:col>
      <xdr:colOff>255814</xdr:colOff>
      <xdr:row>23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9DBA442-2A6F-4181-BEB5-BBC5550A2C52}"/>
            </a:ext>
          </a:extLst>
        </xdr:cNvPr>
        <xdr:cNvSpPr/>
      </xdr:nvSpPr>
      <xdr:spPr>
        <a:xfrm>
          <a:off x="3619500" y="349431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359228</xdr:colOff>
      <xdr:row>23</xdr:row>
      <xdr:rowOff>21771</xdr:rowOff>
    </xdr:from>
    <xdr:to>
      <xdr:col>5</xdr:col>
      <xdr:colOff>424542</xdr:colOff>
      <xdr:row>23</xdr:row>
      <xdr:rowOff>174171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9CC4AB2-0546-40A0-A8E1-0D85AA0DA3E5}"/>
            </a:ext>
          </a:extLst>
        </xdr:cNvPr>
        <xdr:cNvSpPr/>
      </xdr:nvSpPr>
      <xdr:spPr>
        <a:xfrm>
          <a:off x="3788228" y="347798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76200</xdr:colOff>
      <xdr:row>22</xdr:row>
      <xdr:rowOff>195943</xdr:rowOff>
    </xdr:from>
    <xdr:to>
      <xdr:col>8</xdr:col>
      <xdr:colOff>141514</xdr:colOff>
      <xdr:row>23</xdr:row>
      <xdr:rowOff>146958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566C003-10E4-49B0-83BF-90CF05A13F79}"/>
            </a:ext>
          </a:extLst>
        </xdr:cNvPr>
        <xdr:cNvSpPr/>
      </xdr:nvSpPr>
      <xdr:spPr>
        <a:xfrm>
          <a:off x="5562600" y="3450772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228599</xdr:colOff>
      <xdr:row>23</xdr:row>
      <xdr:rowOff>10886</xdr:rowOff>
    </xdr:from>
    <xdr:to>
      <xdr:col>8</xdr:col>
      <xdr:colOff>293913</xdr:colOff>
      <xdr:row>23</xdr:row>
      <xdr:rowOff>163286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928D9D6-1109-4111-A5EF-C785A2AF8D45}"/>
            </a:ext>
          </a:extLst>
        </xdr:cNvPr>
        <xdr:cNvSpPr/>
      </xdr:nvSpPr>
      <xdr:spPr>
        <a:xfrm>
          <a:off x="5714999" y="3467100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386443</xdr:colOff>
      <xdr:row>23</xdr:row>
      <xdr:rowOff>10886</xdr:rowOff>
    </xdr:from>
    <xdr:to>
      <xdr:col>8</xdr:col>
      <xdr:colOff>451757</xdr:colOff>
      <xdr:row>23</xdr:row>
      <xdr:rowOff>163286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30ECD65-C5AC-4404-9860-A217C8D28049}"/>
            </a:ext>
          </a:extLst>
        </xdr:cNvPr>
        <xdr:cNvSpPr/>
      </xdr:nvSpPr>
      <xdr:spPr>
        <a:xfrm>
          <a:off x="5872843" y="3467100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555171</xdr:colOff>
      <xdr:row>23</xdr:row>
      <xdr:rowOff>16329</xdr:rowOff>
    </xdr:from>
    <xdr:to>
      <xdr:col>8</xdr:col>
      <xdr:colOff>620485</xdr:colOff>
      <xdr:row>23</xdr:row>
      <xdr:rowOff>168729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7C198B3-5D7D-4187-B9F1-E46A9C091A0E}"/>
            </a:ext>
          </a:extLst>
        </xdr:cNvPr>
        <xdr:cNvSpPr/>
      </xdr:nvSpPr>
      <xdr:spPr>
        <a:xfrm>
          <a:off x="6041571" y="3472543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16328</xdr:colOff>
      <xdr:row>23</xdr:row>
      <xdr:rowOff>10886</xdr:rowOff>
    </xdr:from>
    <xdr:to>
      <xdr:col>9</xdr:col>
      <xdr:colOff>81642</xdr:colOff>
      <xdr:row>23</xdr:row>
      <xdr:rowOff>163286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3768892-9E30-461F-993A-DB7E2C74690B}"/>
            </a:ext>
          </a:extLst>
        </xdr:cNvPr>
        <xdr:cNvSpPr/>
      </xdr:nvSpPr>
      <xdr:spPr>
        <a:xfrm>
          <a:off x="6188528" y="3467100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168728</xdr:colOff>
      <xdr:row>23</xdr:row>
      <xdr:rowOff>10886</xdr:rowOff>
    </xdr:from>
    <xdr:to>
      <xdr:col>9</xdr:col>
      <xdr:colOff>234042</xdr:colOff>
      <xdr:row>23</xdr:row>
      <xdr:rowOff>163286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2CA5444-2A08-406D-95A8-04FAB0F60EBD}"/>
            </a:ext>
          </a:extLst>
        </xdr:cNvPr>
        <xdr:cNvSpPr/>
      </xdr:nvSpPr>
      <xdr:spPr>
        <a:xfrm>
          <a:off x="6340928" y="3467100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337456</xdr:colOff>
      <xdr:row>22</xdr:row>
      <xdr:rowOff>195942</xdr:rowOff>
    </xdr:from>
    <xdr:to>
      <xdr:col>9</xdr:col>
      <xdr:colOff>402770</xdr:colOff>
      <xdr:row>23</xdr:row>
      <xdr:rowOff>146957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A8C4620-2684-48B4-A54C-E54D473EFF40}"/>
            </a:ext>
          </a:extLst>
        </xdr:cNvPr>
        <xdr:cNvSpPr/>
      </xdr:nvSpPr>
      <xdr:spPr>
        <a:xfrm>
          <a:off x="6509656" y="345077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593271</xdr:colOff>
      <xdr:row>11</xdr:row>
      <xdr:rowOff>59871</xdr:rowOff>
    </xdr:from>
    <xdr:to>
      <xdr:col>3</xdr:col>
      <xdr:colOff>87086</xdr:colOff>
      <xdr:row>11</xdr:row>
      <xdr:rowOff>146957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145AE78-348B-B888-ABC4-27F48A92C1CF}"/>
            </a:ext>
          </a:extLst>
        </xdr:cNvPr>
        <xdr:cNvSpPr/>
      </xdr:nvSpPr>
      <xdr:spPr>
        <a:xfrm>
          <a:off x="1964871" y="1088571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593271</xdr:colOff>
      <xdr:row>12</xdr:row>
      <xdr:rowOff>38099</xdr:rowOff>
    </xdr:from>
    <xdr:to>
      <xdr:col>3</xdr:col>
      <xdr:colOff>87086</xdr:colOff>
      <xdr:row>12</xdr:row>
      <xdr:rowOff>125185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312EA952-A33F-453D-9055-0016D37887E4}"/>
            </a:ext>
          </a:extLst>
        </xdr:cNvPr>
        <xdr:cNvSpPr/>
      </xdr:nvSpPr>
      <xdr:spPr>
        <a:xfrm>
          <a:off x="1964871" y="1268185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604156</xdr:colOff>
      <xdr:row>13</xdr:row>
      <xdr:rowOff>16328</xdr:rowOff>
    </xdr:from>
    <xdr:to>
      <xdr:col>3</xdr:col>
      <xdr:colOff>97971</xdr:colOff>
      <xdr:row>13</xdr:row>
      <xdr:rowOff>103414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0ACEED0-A1A0-4E9D-B818-EB2AAD8C18E1}"/>
            </a:ext>
          </a:extLst>
        </xdr:cNvPr>
        <xdr:cNvSpPr/>
      </xdr:nvSpPr>
      <xdr:spPr>
        <a:xfrm>
          <a:off x="1975756" y="1447799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587828</xdr:colOff>
      <xdr:row>13</xdr:row>
      <xdr:rowOff>185057</xdr:rowOff>
    </xdr:from>
    <xdr:to>
      <xdr:col>3</xdr:col>
      <xdr:colOff>81643</xdr:colOff>
      <xdr:row>14</xdr:row>
      <xdr:rowOff>70757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289BB87-636D-4516-8888-EF9B41B2BB43}"/>
            </a:ext>
          </a:extLst>
        </xdr:cNvPr>
        <xdr:cNvSpPr/>
      </xdr:nvSpPr>
      <xdr:spPr>
        <a:xfrm>
          <a:off x="1959428" y="1616528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587828</xdr:colOff>
      <xdr:row>14</xdr:row>
      <xdr:rowOff>163285</xdr:rowOff>
    </xdr:from>
    <xdr:to>
      <xdr:col>3</xdr:col>
      <xdr:colOff>81643</xdr:colOff>
      <xdr:row>15</xdr:row>
      <xdr:rowOff>48985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3FDB429-60A2-4E94-AB79-8965BB4647FD}"/>
            </a:ext>
          </a:extLst>
        </xdr:cNvPr>
        <xdr:cNvSpPr/>
      </xdr:nvSpPr>
      <xdr:spPr>
        <a:xfrm>
          <a:off x="1959428" y="1796142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571499</xdr:colOff>
      <xdr:row>15</xdr:row>
      <xdr:rowOff>136071</xdr:rowOff>
    </xdr:from>
    <xdr:to>
      <xdr:col>3</xdr:col>
      <xdr:colOff>65314</xdr:colOff>
      <xdr:row>16</xdr:row>
      <xdr:rowOff>21771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300BDDE-8F91-459A-8B16-3DC73887F280}"/>
            </a:ext>
          </a:extLst>
        </xdr:cNvPr>
        <xdr:cNvSpPr/>
      </xdr:nvSpPr>
      <xdr:spPr>
        <a:xfrm>
          <a:off x="1943099" y="197031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615043</xdr:colOff>
      <xdr:row>12</xdr:row>
      <xdr:rowOff>32656</xdr:rowOff>
    </xdr:from>
    <xdr:to>
      <xdr:col>11</xdr:col>
      <xdr:colOff>108858</xdr:colOff>
      <xdr:row>12</xdr:row>
      <xdr:rowOff>119742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2F95C86-8263-4609-8EF3-72567B74642F}"/>
            </a:ext>
          </a:extLst>
        </xdr:cNvPr>
        <xdr:cNvSpPr/>
      </xdr:nvSpPr>
      <xdr:spPr>
        <a:xfrm>
          <a:off x="7473043" y="1262742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615043</xdr:colOff>
      <xdr:row>13</xdr:row>
      <xdr:rowOff>10885</xdr:rowOff>
    </xdr:from>
    <xdr:to>
      <xdr:col>11</xdr:col>
      <xdr:colOff>108858</xdr:colOff>
      <xdr:row>13</xdr:row>
      <xdr:rowOff>97971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2C765C4D-9D43-4C93-9A53-A3BF33628783}"/>
            </a:ext>
          </a:extLst>
        </xdr:cNvPr>
        <xdr:cNvSpPr/>
      </xdr:nvSpPr>
      <xdr:spPr>
        <a:xfrm>
          <a:off x="7473043" y="144235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625928</xdr:colOff>
      <xdr:row>13</xdr:row>
      <xdr:rowOff>190499</xdr:rowOff>
    </xdr:from>
    <xdr:to>
      <xdr:col>11</xdr:col>
      <xdr:colOff>119743</xdr:colOff>
      <xdr:row>14</xdr:row>
      <xdr:rowOff>76199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10E4BD7B-C4D5-4E05-BD01-6A85F8C6AA95}"/>
            </a:ext>
          </a:extLst>
        </xdr:cNvPr>
        <xdr:cNvSpPr/>
      </xdr:nvSpPr>
      <xdr:spPr>
        <a:xfrm>
          <a:off x="7483928" y="1621970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609600</xdr:colOff>
      <xdr:row>14</xdr:row>
      <xdr:rowOff>157842</xdr:rowOff>
    </xdr:from>
    <xdr:to>
      <xdr:col>11</xdr:col>
      <xdr:colOff>103415</xdr:colOff>
      <xdr:row>15</xdr:row>
      <xdr:rowOff>43542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C72A399-7A95-4866-9345-C4A4589FF446}"/>
            </a:ext>
          </a:extLst>
        </xdr:cNvPr>
        <xdr:cNvSpPr/>
      </xdr:nvSpPr>
      <xdr:spPr>
        <a:xfrm>
          <a:off x="7467600" y="1790699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609600</xdr:colOff>
      <xdr:row>15</xdr:row>
      <xdr:rowOff>136070</xdr:rowOff>
    </xdr:from>
    <xdr:to>
      <xdr:col>11</xdr:col>
      <xdr:colOff>103415</xdr:colOff>
      <xdr:row>16</xdr:row>
      <xdr:rowOff>21770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849FE9A-09AC-4DFC-95C9-8BB2ECB052FD}"/>
            </a:ext>
          </a:extLst>
        </xdr:cNvPr>
        <xdr:cNvSpPr/>
      </xdr:nvSpPr>
      <xdr:spPr>
        <a:xfrm>
          <a:off x="7467600" y="1970313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593271</xdr:colOff>
      <xdr:row>16</xdr:row>
      <xdr:rowOff>108856</xdr:rowOff>
    </xdr:from>
    <xdr:to>
      <xdr:col>11</xdr:col>
      <xdr:colOff>87086</xdr:colOff>
      <xdr:row>16</xdr:row>
      <xdr:rowOff>195942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5463B98-40B5-4BD1-A6D0-124E8279930B}"/>
            </a:ext>
          </a:extLst>
        </xdr:cNvPr>
        <xdr:cNvSpPr/>
      </xdr:nvSpPr>
      <xdr:spPr>
        <a:xfrm>
          <a:off x="7451271" y="2144485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604157</xdr:colOff>
      <xdr:row>17</xdr:row>
      <xdr:rowOff>97970</xdr:rowOff>
    </xdr:from>
    <xdr:to>
      <xdr:col>11</xdr:col>
      <xdr:colOff>97972</xdr:colOff>
      <xdr:row>17</xdr:row>
      <xdr:rowOff>185056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9851C742-8742-44B7-ADDC-EBD42C79F355}"/>
            </a:ext>
          </a:extLst>
        </xdr:cNvPr>
        <xdr:cNvSpPr/>
      </xdr:nvSpPr>
      <xdr:spPr>
        <a:xfrm>
          <a:off x="7462157" y="233498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604157</xdr:colOff>
      <xdr:row>18</xdr:row>
      <xdr:rowOff>76198</xdr:rowOff>
    </xdr:from>
    <xdr:to>
      <xdr:col>11</xdr:col>
      <xdr:colOff>97972</xdr:colOff>
      <xdr:row>18</xdr:row>
      <xdr:rowOff>163284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8F0AD00-DBD7-475F-A436-6922546D8820}"/>
            </a:ext>
          </a:extLst>
        </xdr:cNvPr>
        <xdr:cNvSpPr/>
      </xdr:nvSpPr>
      <xdr:spPr>
        <a:xfrm>
          <a:off x="7462157" y="2514598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587828</xdr:colOff>
      <xdr:row>19</xdr:row>
      <xdr:rowOff>48984</xdr:rowOff>
    </xdr:from>
    <xdr:to>
      <xdr:col>11</xdr:col>
      <xdr:colOff>81643</xdr:colOff>
      <xdr:row>19</xdr:row>
      <xdr:rowOff>136070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9CA1276-2FE6-4F6A-BCF3-C6FACD6FFFF7}"/>
            </a:ext>
          </a:extLst>
        </xdr:cNvPr>
        <xdr:cNvSpPr/>
      </xdr:nvSpPr>
      <xdr:spPr>
        <a:xfrm>
          <a:off x="7445828" y="2688770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418367</xdr:colOff>
      <xdr:row>17</xdr:row>
      <xdr:rowOff>109903</xdr:rowOff>
    </xdr:from>
    <xdr:to>
      <xdr:col>17</xdr:col>
      <xdr:colOff>275492</xdr:colOff>
      <xdr:row>19</xdr:row>
      <xdr:rowOff>183905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918761B2-2BA9-4307-A323-1ADC550C7A42}"/>
            </a:ext>
          </a:extLst>
        </xdr:cNvPr>
        <xdr:cNvSpPr/>
      </xdr:nvSpPr>
      <xdr:spPr>
        <a:xfrm>
          <a:off x="1789967" y="2376853"/>
          <a:ext cx="542925" cy="474052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564173</xdr:colOff>
      <xdr:row>18</xdr:row>
      <xdr:rowOff>65942</xdr:rowOff>
    </xdr:from>
    <xdr:ext cx="265522" cy="311496"/>
    <xdr:sp macro="" textlink="">
      <xdr:nvSpPr>
        <xdr:cNvPr id="32" name="TextBox 2">
          <a:extLst>
            <a:ext uri="{FF2B5EF4-FFF2-40B4-BE49-F238E27FC236}">
              <a16:creationId xmlns:a16="http://schemas.microsoft.com/office/drawing/2014/main" id="{CF51F181-B757-4A91-BE0F-977ACC5F296A}"/>
            </a:ext>
          </a:extLst>
        </xdr:cNvPr>
        <xdr:cNvSpPr txBox="1"/>
      </xdr:nvSpPr>
      <xdr:spPr>
        <a:xfrm>
          <a:off x="1935773" y="2532917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17</xdr:col>
      <xdr:colOff>0</xdr:colOff>
      <xdr:row>11</xdr:row>
      <xdr:rowOff>0</xdr:rowOff>
    </xdr:from>
    <xdr:to>
      <xdr:col>17</xdr:col>
      <xdr:colOff>2565</xdr:colOff>
      <xdr:row>17</xdr:row>
      <xdr:rowOff>109903</xdr:rowOff>
    </xdr:to>
    <xdr:cxnSp macro="">
      <xdr:nvCxnSpPr>
        <xdr:cNvPr id="33" name="Straight Arrow Connector 4">
          <a:extLst>
            <a:ext uri="{FF2B5EF4-FFF2-40B4-BE49-F238E27FC236}">
              <a16:creationId xmlns:a16="http://schemas.microsoft.com/office/drawing/2014/main" id="{714D5BC7-34C9-4F22-95B0-096CE3566FC9}"/>
            </a:ext>
          </a:extLst>
        </xdr:cNvPr>
        <xdr:cNvCxnSpPr>
          <a:endCxn id="2" idx="0"/>
        </xdr:cNvCxnSpPr>
      </xdr:nvCxnSpPr>
      <xdr:spPr>
        <a:xfrm>
          <a:off x="2057400" y="1019175"/>
          <a:ext cx="2565" cy="1357678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7327</xdr:colOff>
      <xdr:row>23</xdr:row>
      <xdr:rowOff>95250</xdr:rowOff>
    </xdr:from>
    <xdr:to>
      <xdr:col>20</xdr:col>
      <xdr:colOff>14654</xdr:colOff>
      <xdr:row>23</xdr:row>
      <xdr:rowOff>102577</xdr:rowOff>
    </xdr:to>
    <xdr:cxnSp macro="">
      <xdr:nvCxnSpPr>
        <xdr:cNvPr id="34" name="Straight Arrow Connector 5">
          <a:extLst>
            <a:ext uri="{FF2B5EF4-FFF2-40B4-BE49-F238E27FC236}">
              <a16:creationId xmlns:a16="http://schemas.microsoft.com/office/drawing/2014/main" id="{54CB5F4D-BDF1-42A1-A898-BA267250DCD0}"/>
            </a:ext>
          </a:extLst>
        </xdr:cNvPr>
        <xdr:cNvCxnSpPr/>
      </xdr:nvCxnSpPr>
      <xdr:spPr>
        <a:xfrm flipV="1">
          <a:off x="2750527" y="3571875"/>
          <a:ext cx="1378927" cy="732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</xdr:colOff>
      <xdr:row>23</xdr:row>
      <xdr:rowOff>93784</xdr:rowOff>
    </xdr:from>
    <xdr:to>
      <xdr:col>24</xdr:col>
      <xdr:colOff>5443</xdr:colOff>
      <xdr:row>23</xdr:row>
      <xdr:rowOff>103415</xdr:rowOff>
    </xdr:to>
    <xdr:cxnSp macro="">
      <xdr:nvCxnSpPr>
        <xdr:cNvPr id="35" name="Straight Arrow Connector 8">
          <a:extLst>
            <a:ext uri="{FF2B5EF4-FFF2-40B4-BE49-F238E27FC236}">
              <a16:creationId xmlns:a16="http://schemas.microsoft.com/office/drawing/2014/main" id="{421437CD-9B2D-434D-AA9F-7445522F53B7}"/>
            </a:ext>
          </a:extLst>
        </xdr:cNvPr>
        <xdr:cNvCxnSpPr/>
      </xdr:nvCxnSpPr>
      <xdr:spPr>
        <a:xfrm>
          <a:off x="5487865" y="3570409"/>
          <a:ext cx="1375578" cy="963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416902</xdr:colOff>
      <xdr:row>19</xdr:row>
      <xdr:rowOff>93784</xdr:rowOff>
    </xdr:from>
    <xdr:to>
      <xdr:col>19</xdr:col>
      <xdr:colOff>274026</xdr:colOff>
      <xdr:row>21</xdr:row>
      <xdr:rowOff>167786</xdr:rowOff>
    </xdr:to>
    <xdr:sp macro="" textlink="">
      <xdr:nvSpPr>
        <xdr:cNvPr id="36" name="Isosceles Triangle 9">
          <a:extLst>
            <a:ext uri="{FF2B5EF4-FFF2-40B4-BE49-F238E27FC236}">
              <a16:creationId xmlns:a16="http://schemas.microsoft.com/office/drawing/2014/main" id="{3A0479A3-DB1C-4547-93F8-D7ADB96D64F5}"/>
            </a:ext>
          </a:extLst>
        </xdr:cNvPr>
        <xdr:cNvSpPr/>
      </xdr:nvSpPr>
      <xdr:spPr>
        <a:xfrm>
          <a:off x="3160102" y="2760784"/>
          <a:ext cx="542924" cy="483577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18</xdr:col>
      <xdr:colOff>562708</xdr:colOff>
      <xdr:row>20</xdr:row>
      <xdr:rowOff>49823</xdr:rowOff>
    </xdr:from>
    <xdr:ext cx="265522" cy="311496"/>
    <xdr:sp macro="" textlink="">
      <xdr:nvSpPr>
        <xdr:cNvPr id="37" name="TextBox 10">
          <a:extLst>
            <a:ext uri="{FF2B5EF4-FFF2-40B4-BE49-F238E27FC236}">
              <a16:creationId xmlns:a16="http://schemas.microsoft.com/office/drawing/2014/main" id="{570BC10A-6450-431F-9767-EFCC2FCA94CE}"/>
            </a:ext>
          </a:extLst>
        </xdr:cNvPr>
        <xdr:cNvSpPr txBox="1"/>
      </xdr:nvSpPr>
      <xdr:spPr>
        <a:xfrm>
          <a:off x="3305908" y="2916848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24</xdr:col>
      <xdr:colOff>422763</xdr:colOff>
      <xdr:row>20</xdr:row>
      <xdr:rowOff>99646</xdr:rowOff>
    </xdr:from>
    <xdr:to>
      <xdr:col>25</xdr:col>
      <xdr:colOff>279888</xdr:colOff>
      <xdr:row>22</xdr:row>
      <xdr:rowOff>173648</xdr:rowOff>
    </xdr:to>
    <xdr:sp macro="" textlink="">
      <xdr:nvSpPr>
        <xdr:cNvPr id="38" name="Isosceles Triangle 11">
          <a:extLst>
            <a:ext uri="{FF2B5EF4-FFF2-40B4-BE49-F238E27FC236}">
              <a16:creationId xmlns:a16="http://schemas.microsoft.com/office/drawing/2014/main" id="{8551F0C9-7A29-47A3-8FB0-44BACC5F6753}"/>
            </a:ext>
          </a:extLst>
        </xdr:cNvPr>
        <xdr:cNvSpPr/>
      </xdr:nvSpPr>
      <xdr:spPr>
        <a:xfrm>
          <a:off x="7280763" y="2966671"/>
          <a:ext cx="542925" cy="483577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24</xdr:col>
      <xdr:colOff>568569</xdr:colOff>
      <xdr:row>21</xdr:row>
      <xdr:rowOff>55685</xdr:rowOff>
    </xdr:from>
    <xdr:ext cx="265522" cy="311496"/>
    <xdr:sp macro="" textlink="">
      <xdr:nvSpPr>
        <xdr:cNvPr id="39" name="TextBox 12">
          <a:extLst>
            <a:ext uri="{FF2B5EF4-FFF2-40B4-BE49-F238E27FC236}">
              <a16:creationId xmlns:a16="http://schemas.microsoft.com/office/drawing/2014/main" id="{92BFDB64-471D-4FC1-BF99-6481A13FE22F}"/>
            </a:ext>
          </a:extLst>
        </xdr:cNvPr>
        <xdr:cNvSpPr txBox="1"/>
      </xdr:nvSpPr>
      <xdr:spPr>
        <a:xfrm>
          <a:off x="7426569" y="3132260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24</xdr:col>
      <xdr:colOff>688730</xdr:colOff>
      <xdr:row>11</xdr:row>
      <xdr:rowOff>7327</xdr:rowOff>
    </xdr:from>
    <xdr:to>
      <xdr:col>25</xdr:col>
      <xdr:colOff>6961</xdr:colOff>
      <xdr:row>20</xdr:row>
      <xdr:rowOff>99646</xdr:rowOff>
    </xdr:to>
    <xdr:cxnSp macro="">
      <xdr:nvCxnSpPr>
        <xdr:cNvPr id="42" name="Straight Arrow Connector 13">
          <a:extLst>
            <a:ext uri="{FF2B5EF4-FFF2-40B4-BE49-F238E27FC236}">
              <a16:creationId xmlns:a16="http://schemas.microsoft.com/office/drawing/2014/main" id="{9CB36A12-89DF-4C63-BA2F-1A128ED1D930}"/>
            </a:ext>
          </a:extLst>
        </xdr:cNvPr>
        <xdr:cNvCxnSpPr>
          <a:stCxn id="38" idx="0"/>
        </xdr:cNvCxnSpPr>
      </xdr:nvCxnSpPr>
      <xdr:spPr>
        <a:xfrm flipH="1" flipV="1">
          <a:off x="7546730" y="1026502"/>
          <a:ext cx="4031" cy="194016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31</xdr:row>
      <xdr:rowOff>57979</xdr:rowOff>
    </xdr:from>
    <xdr:to>
      <xdr:col>18</xdr:col>
      <xdr:colOff>8283</xdr:colOff>
      <xdr:row>31</xdr:row>
      <xdr:rowOff>57979</xdr:rowOff>
    </xdr:to>
    <xdr:cxnSp macro="">
      <xdr:nvCxnSpPr>
        <xdr:cNvPr id="43" name="Straight Connector 18">
          <a:extLst>
            <a:ext uri="{FF2B5EF4-FFF2-40B4-BE49-F238E27FC236}">
              <a16:creationId xmlns:a16="http://schemas.microsoft.com/office/drawing/2014/main" id="{56686767-700C-4B4E-A43C-D0F2DF5C4B6E}"/>
            </a:ext>
          </a:extLst>
        </xdr:cNvPr>
        <xdr:cNvCxnSpPr/>
      </xdr:nvCxnSpPr>
      <xdr:spPr>
        <a:xfrm>
          <a:off x="1371600" y="5191954"/>
          <a:ext cx="137988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8283</xdr:colOff>
      <xdr:row>30</xdr:row>
      <xdr:rowOff>86449</xdr:rowOff>
    </xdr:from>
    <xdr:to>
      <xdr:col>18</xdr:col>
      <xdr:colOff>8283</xdr:colOff>
      <xdr:row>31</xdr:row>
      <xdr:rowOff>61602</xdr:rowOff>
    </xdr:to>
    <xdr:cxnSp macro="">
      <xdr:nvCxnSpPr>
        <xdr:cNvPr id="46" name="Straight Connector 20">
          <a:extLst>
            <a:ext uri="{FF2B5EF4-FFF2-40B4-BE49-F238E27FC236}">
              <a16:creationId xmlns:a16="http://schemas.microsoft.com/office/drawing/2014/main" id="{962C77F8-A9B1-4517-A123-801673809943}"/>
            </a:ext>
          </a:extLst>
        </xdr:cNvPr>
        <xdr:cNvCxnSpPr/>
      </xdr:nvCxnSpPr>
      <xdr:spPr>
        <a:xfrm flipV="1">
          <a:off x="2751483" y="5020399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1813</xdr:colOff>
      <xdr:row>30</xdr:row>
      <xdr:rowOff>88261</xdr:rowOff>
    </xdr:from>
    <xdr:to>
      <xdr:col>20</xdr:col>
      <xdr:colOff>1813</xdr:colOff>
      <xdr:row>31</xdr:row>
      <xdr:rowOff>63414</xdr:rowOff>
    </xdr:to>
    <xdr:cxnSp macro="">
      <xdr:nvCxnSpPr>
        <xdr:cNvPr id="47" name="Straight Connector 21">
          <a:extLst>
            <a:ext uri="{FF2B5EF4-FFF2-40B4-BE49-F238E27FC236}">
              <a16:creationId xmlns:a16="http://schemas.microsoft.com/office/drawing/2014/main" id="{32A0E322-C46C-4805-A1E0-9E34B52211C8}"/>
            </a:ext>
          </a:extLst>
        </xdr:cNvPr>
        <xdr:cNvCxnSpPr/>
      </xdr:nvCxnSpPr>
      <xdr:spPr>
        <a:xfrm flipV="1">
          <a:off x="4116613" y="5022211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678398</xdr:colOff>
      <xdr:row>31</xdr:row>
      <xdr:rowOff>62119</xdr:rowOff>
    </xdr:from>
    <xdr:to>
      <xdr:col>22</xdr:col>
      <xdr:colOff>2072</xdr:colOff>
      <xdr:row>31</xdr:row>
      <xdr:rowOff>62119</xdr:rowOff>
    </xdr:to>
    <xdr:cxnSp macro="">
      <xdr:nvCxnSpPr>
        <xdr:cNvPr id="48" name="Straight Connector 22">
          <a:extLst>
            <a:ext uri="{FF2B5EF4-FFF2-40B4-BE49-F238E27FC236}">
              <a16:creationId xmlns:a16="http://schemas.microsoft.com/office/drawing/2014/main" id="{75FB1B1A-5D77-4F82-924A-4B99F1BC47FA}"/>
            </a:ext>
          </a:extLst>
        </xdr:cNvPr>
        <xdr:cNvCxnSpPr/>
      </xdr:nvCxnSpPr>
      <xdr:spPr>
        <a:xfrm>
          <a:off x="4107398" y="5196094"/>
          <a:ext cx="1381074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30</xdr:row>
      <xdr:rowOff>89298</xdr:rowOff>
    </xdr:from>
    <xdr:to>
      <xdr:col>20</xdr:col>
      <xdr:colOff>8284</xdr:colOff>
      <xdr:row>30</xdr:row>
      <xdr:rowOff>89298</xdr:rowOff>
    </xdr:to>
    <xdr:cxnSp macro="">
      <xdr:nvCxnSpPr>
        <xdr:cNvPr id="49" name="Straight Connector 23">
          <a:extLst>
            <a:ext uri="{FF2B5EF4-FFF2-40B4-BE49-F238E27FC236}">
              <a16:creationId xmlns:a16="http://schemas.microsoft.com/office/drawing/2014/main" id="{ECAA7B31-AC23-49C4-B012-B41A17BBC9FA}"/>
            </a:ext>
          </a:extLst>
        </xdr:cNvPr>
        <xdr:cNvCxnSpPr/>
      </xdr:nvCxnSpPr>
      <xdr:spPr>
        <a:xfrm>
          <a:off x="2743200" y="5023248"/>
          <a:ext cx="1379884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678088</xdr:colOff>
      <xdr:row>30</xdr:row>
      <xdr:rowOff>91833</xdr:rowOff>
    </xdr:from>
    <xdr:to>
      <xdr:col>21</xdr:col>
      <xdr:colOff>678088</xdr:colOff>
      <xdr:row>31</xdr:row>
      <xdr:rowOff>66986</xdr:rowOff>
    </xdr:to>
    <xdr:cxnSp macro="">
      <xdr:nvCxnSpPr>
        <xdr:cNvPr id="54" name="Straight Connector 24">
          <a:extLst>
            <a:ext uri="{FF2B5EF4-FFF2-40B4-BE49-F238E27FC236}">
              <a16:creationId xmlns:a16="http://schemas.microsoft.com/office/drawing/2014/main" id="{BC365C50-C46F-4E91-97F1-B6A51944EC92}"/>
            </a:ext>
          </a:extLst>
        </xdr:cNvPr>
        <xdr:cNvCxnSpPr/>
      </xdr:nvCxnSpPr>
      <xdr:spPr>
        <a:xfrm flipV="1">
          <a:off x="5478688" y="5025783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5953</xdr:colOff>
      <xdr:row>30</xdr:row>
      <xdr:rowOff>89297</xdr:rowOff>
    </xdr:from>
    <xdr:to>
      <xdr:col>16</xdr:col>
      <xdr:colOff>5953</xdr:colOff>
      <xdr:row>31</xdr:row>
      <xdr:rowOff>64450</xdr:rowOff>
    </xdr:to>
    <xdr:cxnSp macro="">
      <xdr:nvCxnSpPr>
        <xdr:cNvPr id="55" name="Straight Connector 25">
          <a:extLst>
            <a:ext uri="{FF2B5EF4-FFF2-40B4-BE49-F238E27FC236}">
              <a16:creationId xmlns:a16="http://schemas.microsoft.com/office/drawing/2014/main" id="{6F9A6C41-EF1B-40CF-8D90-4600831ED12A}"/>
            </a:ext>
          </a:extLst>
        </xdr:cNvPr>
        <xdr:cNvCxnSpPr/>
      </xdr:nvCxnSpPr>
      <xdr:spPr>
        <a:xfrm flipV="1">
          <a:off x="1377553" y="5023247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</xdr:colOff>
      <xdr:row>30</xdr:row>
      <xdr:rowOff>89297</xdr:rowOff>
    </xdr:from>
    <xdr:to>
      <xdr:col>16</xdr:col>
      <xdr:colOff>10966</xdr:colOff>
      <xdr:row>30</xdr:row>
      <xdr:rowOff>90237</xdr:rowOff>
    </xdr:to>
    <xdr:cxnSp macro="">
      <xdr:nvCxnSpPr>
        <xdr:cNvPr id="58" name="Straight Connector 26">
          <a:extLst>
            <a:ext uri="{FF2B5EF4-FFF2-40B4-BE49-F238E27FC236}">
              <a16:creationId xmlns:a16="http://schemas.microsoft.com/office/drawing/2014/main" id="{36812818-BCB1-4146-8FAF-E0FC24193E1F}"/>
            </a:ext>
          </a:extLst>
        </xdr:cNvPr>
        <xdr:cNvCxnSpPr/>
      </xdr:nvCxnSpPr>
      <xdr:spPr>
        <a:xfrm flipV="1">
          <a:off x="695826" y="5023247"/>
          <a:ext cx="686740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671764</xdr:colOff>
      <xdr:row>30</xdr:row>
      <xdr:rowOff>100263</xdr:rowOff>
    </xdr:from>
    <xdr:to>
      <xdr:col>22</xdr:col>
      <xdr:colOff>672703</xdr:colOff>
      <xdr:row>30</xdr:row>
      <xdr:rowOff>101203</xdr:rowOff>
    </xdr:to>
    <xdr:cxnSp macro="">
      <xdr:nvCxnSpPr>
        <xdr:cNvPr id="59" name="Straight Connector 29">
          <a:extLst>
            <a:ext uri="{FF2B5EF4-FFF2-40B4-BE49-F238E27FC236}">
              <a16:creationId xmlns:a16="http://schemas.microsoft.com/office/drawing/2014/main" id="{F842EA11-F660-4238-8B6D-AD90A8807EA9}"/>
            </a:ext>
          </a:extLst>
        </xdr:cNvPr>
        <xdr:cNvCxnSpPr/>
      </xdr:nvCxnSpPr>
      <xdr:spPr>
        <a:xfrm flipV="1">
          <a:off x="5472364" y="5034213"/>
          <a:ext cx="686739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5953</xdr:colOff>
      <xdr:row>30</xdr:row>
      <xdr:rowOff>89297</xdr:rowOff>
    </xdr:from>
    <xdr:to>
      <xdr:col>20</xdr:col>
      <xdr:colOff>5953</xdr:colOff>
      <xdr:row>31</xdr:row>
      <xdr:rowOff>64450</xdr:rowOff>
    </xdr:to>
    <xdr:cxnSp macro="">
      <xdr:nvCxnSpPr>
        <xdr:cNvPr id="60" name="Straight Connector 30">
          <a:extLst>
            <a:ext uri="{FF2B5EF4-FFF2-40B4-BE49-F238E27FC236}">
              <a16:creationId xmlns:a16="http://schemas.microsoft.com/office/drawing/2014/main" id="{B41BEB97-BD50-45E0-B840-AF7AEB102A23}"/>
            </a:ext>
          </a:extLst>
        </xdr:cNvPr>
        <xdr:cNvCxnSpPr/>
      </xdr:nvCxnSpPr>
      <xdr:spPr>
        <a:xfrm flipV="1">
          <a:off x="4120753" y="5023247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10026</xdr:colOff>
      <xdr:row>30</xdr:row>
      <xdr:rowOff>89297</xdr:rowOff>
    </xdr:from>
    <xdr:to>
      <xdr:col>20</xdr:col>
      <xdr:colOff>10966</xdr:colOff>
      <xdr:row>30</xdr:row>
      <xdr:rowOff>90237</xdr:rowOff>
    </xdr:to>
    <xdr:cxnSp macro="">
      <xdr:nvCxnSpPr>
        <xdr:cNvPr id="61" name="Straight Connector 31">
          <a:extLst>
            <a:ext uri="{FF2B5EF4-FFF2-40B4-BE49-F238E27FC236}">
              <a16:creationId xmlns:a16="http://schemas.microsoft.com/office/drawing/2014/main" id="{A4D78622-1A2E-45CA-A3D6-299073F303FD}"/>
            </a:ext>
          </a:extLst>
        </xdr:cNvPr>
        <xdr:cNvCxnSpPr/>
      </xdr:nvCxnSpPr>
      <xdr:spPr>
        <a:xfrm flipV="1">
          <a:off x="3439026" y="5023247"/>
          <a:ext cx="686740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525116</xdr:colOff>
      <xdr:row>22</xdr:row>
      <xdr:rowOff>141287</xdr:rowOff>
    </xdr:from>
    <xdr:to>
      <xdr:col>17</xdr:col>
      <xdr:colOff>132186</xdr:colOff>
      <xdr:row>24</xdr:row>
      <xdr:rowOff>28162</xdr:rowOff>
    </xdr:to>
    <xdr:sp macro="" textlink="">
      <xdr:nvSpPr>
        <xdr:cNvPr id="62" name="Flowchart: Connector 34">
          <a:extLst>
            <a:ext uri="{FF2B5EF4-FFF2-40B4-BE49-F238E27FC236}">
              <a16:creationId xmlns:a16="http://schemas.microsoft.com/office/drawing/2014/main" id="{CD85B4D7-C616-41B2-9AFC-F6824358D3E3}"/>
            </a:ext>
          </a:extLst>
        </xdr:cNvPr>
        <xdr:cNvSpPr/>
      </xdr:nvSpPr>
      <xdr:spPr>
        <a:xfrm>
          <a:off x="1896716" y="3417887"/>
          <a:ext cx="292870" cy="286925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425727</xdr:colOff>
      <xdr:row>22</xdr:row>
      <xdr:rowOff>1</xdr:rowOff>
    </xdr:from>
    <xdr:to>
      <xdr:col>17</xdr:col>
      <xdr:colOff>231913</xdr:colOff>
      <xdr:row>24</xdr:row>
      <xdr:rowOff>77857</xdr:rowOff>
    </xdr:to>
    <xdr:sp macro="" textlink="">
      <xdr:nvSpPr>
        <xdr:cNvPr id="63" name="Arc 35">
          <a:extLst>
            <a:ext uri="{FF2B5EF4-FFF2-40B4-BE49-F238E27FC236}">
              <a16:creationId xmlns:a16="http://schemas.microsoft.com/office/drawing/2014/main" id="{62EB891D-7BA1-43B7-A958-4D4021E0CA2D}"/>
            </a:ext>
          </a:extLst>
        </xdr:cNvPr>
        <xdr:cNvSpPr/>
      </xdr:nvSpPr>
      <xdr:spPr>
        <a:xfrm>
          <a:off x="1797327" y="3276601"/>
          <a:ext cx="491986" cy="477906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20</xdr:col>
      <xdr:colOff>538368</xdr:colOff>
      <xdr:row>22</xdr:row>
      <xdr:rowOff>124720</xdr:rowOff>
    </xdr:from>
    <xdr:to>
      <xdr:col>21</xdr:col>
      <xdr:colOff>145438</xdr:colOff>
      <xdr:row>24</xdr:row>
      <xdr:rowOff>11595</xdr:rowOff>
    </xdr:to>
    <xdr:sp macro="" textlink="">
      <xdr:nvSpPr>
        <xdr:cNvPr id="64" name="Flowchart: Connector 36">
          <a:extLst>
            <a:ext uri="{FF2B5EF4-FFF2-40B4-BE49-F238E27FC236}">
              <a16:creationId xmlns:a16="http://schemas.microsoft.com/office/drawing/2014/main" id="{C667BB6E-ACC1-4560-89B0-68D1E16590A6}"/>
            </a:ext>
          </a:extLst>
        </xdr:cNvPr>
        <xdr:cNvSpPr/>
      </xdr:nvSpPr>
      <xdr:spPr>
        <a:xfrm>
          <a:off x="4653168" y="3401320"/>
          <a:ext cx="292870" cy="286925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20</xdr:col>
      <xdr:colOff>438979</xdr:colOff>
      <xdr:row>21</xdr:row>
      <xdr:rowOff>190499</xdr:rowOff>
    </xdr:from>
    <xdr:to>
      <xdr:col>21</xdr:col>
      <xdr:colOff>245165</xdr:colOff>
      <xdr:row>24</xdr:row>
      <xdr:rowOff>61290</xdr:rowOff>
    </xdr:to>
    <xdr:sp macro="" textlink="">
      <xdr:nvSpPr>
        <xdr:cNvPr id="65" name="Arc 37">
          <a:extLst>
            <a:ext uri="{FF2B5EF4-FFF2-40B4-BE49-F238E27FC236}">
              <a16:creationId xmlns:a16="http://schemas.microsoft.com/office/drawing/2014/main" id="{067CC947-9939-42BD-A91E-CB2917D35FE1}"/>
            </a:ext>
          </a:extLst>
        </xdr:cNvPr>
        <xdr:cNvSpPr/>
      </xdr:nvSpPr>
      <xdr:spPr>
        <a:xfrm>
          <a:off x="4553779" y="3267074"/>
          <a:ext cx="491986" cy="470866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273326</xdr:colOff>
      <xdr:row>22</xdr:row>
      <xdr:rowOff>115957</xdr:rowOff>
    </xdr:from>
    <xdr:to>
      <xdr:col>16</xdr:col>
      <xdr:colOff>637761</xdr:colOff>
      <xdr:row>24</xdr:row>
      <xdr:rowOff>132522</xdr:rowOff>
    </xdr:to>
    <xdr:sp macro="" textlink="">
      <xdr:nvSpPr>
        <xdr:cNvPr id="66" name="TextBox 38">
          <a:extLst>
            <a:ext uri="{FF2B5EF4-FFF2-40B4-BE49-F238E27FC236}">
              <a16:creationId xmlns:a16="http://schemas.microsoft.com/office/drawing/2014/main" id="{9D609234-39B0-4AAD-B706-D2179A632F45}"/>
            </a:ext>
          </a:extLst>
        </xdr:cNvPr>
        <xdr:cNvSpPr txBox="1"/>
      </xdr:nvSpPr>
      <xdr:spPr>
        <a:xfrm>
          <a:off x="1644926" y="3392557"/>
          <a:ext cx="364435" cy="41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1</a:t>
          </a:r>
        </a:p>
      </xdr:txBody>
    </xdr:sp>
    <xdr:clientData/>
  </xdr:twoCellAnchor>
  <xdr:twoCellAnchor>
    <xdr:from>
      <xdr:col>20</xdr:col>
      <xdr:colOff>265044</xdr:colOff>
      <xdr:row>22</xdr:row>
      <xdr:rowOff>115957</xdr:rowOff>
    </xdr:from>
    <xdr:to>
      <xdr:col>20</xdr:col>
      <xdr:colOff>629479</xdr:colOff>
      <xdr:row>24</xdr:row>
      <xdr:rowOff>132522</xdr:rowOff>
    </xdr:to>
    <xdr:sp macro="" textlink="">
      <xdr:nvSpPr>
        <xdr:cNvPr id="67" name="TextBox 39">
          <a:extLst>
            <a:ext uri="{FF2B5EF4-FFF2-40B4-BE49-F238E27FC236}">
              <a16:creationId xmlns:a16="http://schemas.microsoft.com/office/drawing/2014/main" id="{F98CF1C5-E04A-4E1F-B812-CEC732364445}"/>
            </a:ext>
          </a:extLst>
        </xdr:cNvPr>
        <xdr:cNvSpPr txBox="1"/>
      </xdr:nvSpPr>
      <xdr:spPr>
        <a:xfrm>
          <a:off x="4379844" y="3392557"/>
          <a:ext cx="364435" cy="41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4</a:t>
          </a:r>
        </a:p>
      </xdr:txBody>
    </xdr:sp>
    <xdr:clientData/>
  </xdr:twoCellAnchor>
  <xdr:twoCellAnchor>
    <xdr:from>
      <xdr:col>18</xdr:col>
      <xdr:colOff>97972</xdr:colOff>
      <xdr:row>23</xdr:row>
      <xdr:rowOff>21772</xdr:rowOff>
    </xdr:from>
    <xdr:to>
      <xdr:col>18</xdr:col>
      <xdr:colOff>163286</xdr:colOff>
      <xdr:row>23</xdr:row>
      <xdr:rowOff>174172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D6E1ACC-E805-4AAA-BE52-503473942C6D}"/>
            </a:ext>
          </a:extLst>
        </xdr:cNvPr>
        <xdr:cNvSpPr/>
      </xdr:nvSpPr>
      <xdr:spPr>
        <a:xfrm>
          <a:off x="2841172" y="3498397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18</xdr:col>
      <xdr:colOff>250371</xdr:colOff>
      <xdr:row>23</xdr:row>
      <xdr:rowOff>38100</xdr:rowOff>
    </xdr:from>
    <xdr:to>
      <xdr:col>18</xdr:col>
      <xdr:colOff>315685</xdr:colOff>
      <xdr:row>23</xdr:row>
      <xdr:rowOff>190500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ED0676A0-B4C9-4E81-A9AE-80580BB4E562}"/>
            </a:ext>
          </a:extLst>
        </xdr:cNvPr>
        <xdr:cNvSpPr/>
      </xdr:nvSpPr>
      <xdr:spPr>
        <a:xfrm>
          <a:off x="2993571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18</xdr:col>
      <xdr:colOff>408215</xdr:colOff>
      <xdr:row>23</xdr:row>
      <xdr:rowOff>38100</xdr:rowOff>
    </xdr:from>
    <xdr:to>
      <xdr:col>18</xdr:col>
      <xdr:colOff>473529</xdr:colOff>
      <xdr:row>23</xdr:row>
      <xdr:rowOff>190500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7FD9C2B-D4BC-4C24-82B7-DE88556CBAC7}"/>
            </a:ext>
          </a:extLst>
        </xdr:cNvPr>
        <xdr:cNvSpPr/>
      </xdr:nvSpPr>
      <xdr:spPr>
        <a:xfrm>
          <a:off x="3151415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18</xdr:col>
      <xdr:colOff>576943</xdr:colOff>
      <xdr:row>23</xdr:row>
      <xdr:rowOff>43543</xdr:rowOff>
    </xdr:from>
    <xdr:to>
      <xdr:col>18</xdr:col>
      <xdr:colOff>642257</xdr:colOff>
      <xdr:row>23</xdr:row>
      <xdr:rowOff>195943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7EC220E3-3BCE-4FC8-B216-597F3087AC36}"/>
            </a:ext>
          </a:extLst>
        </xdr:cNvPr>
        <xdr:cNvSpPr/>
      </xdr:nvSpPr>
      <xdr:spPr>
        <a:xfrm>
          <a:off x="3320143" y="3520168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38100</xdr:colOff>
      <xdr:row>23</xdr:row>
      <xdr:rowOff>38100</xdr:rowOff>
    </xdr:from>
    <xdr:to>
      <xdr:col>19</xdr:col>
      <xdr:colOff>103414</xdr:colOff>
      <xdr:row>23</xdr:row>
      <xdr:rowOff>190500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9A9E2DF2-AD2F-4F78-B923-75591D429219}"/>
            </a:ext>
          </a:extLst>
        </xdr:cNvPr>
        <xdr:cNvSpPr/>
      </xdr:nvSpPr>
      <xdr:spPr>
        <a:xfrm>
          <a:off x="3467100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190500</xdr:colOff>
      <xdr:row>23</xdr:row>
      <xdr:rowOff>38100</xdr:rowOff>
    </xdr:from>
    <xdr:to>
      <xdr:col>19</xdr:col>
      <xdr:colOff>255814</xdr:colOff>
      <xdr:row>23</xdr:row>
      <xdr:rowOff>190500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F0BB73C9-4AB0-4284-9F31-9336CDE7641A}"/>
            </a:ext>
          </a:extLst>
        </xdr:cNvPr>
        <xdr:cNvSpPr/>
      </xdr:nvSpPr>
      <xdr:spPr>
        <a:xfrm>
          <a:off x="3619500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359228</xdr:colOff>
      <xdr:row>23</xdr:row>
      <xdr:rowOff>21771</xdr:rowOff>
    </xdr:from>
    <xdr:to>
      <xdr:col>19</xdr:col>
      <xdr:colOff>424542</xdr:colOff>
      <xdr:row>23</xdr:row>
      <xdr:rowOff>174171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47782B67-3866-45B9-A7F8-4F5152531FCA}"/>
            </a:ext>
          </a:extLst>
        </xdr:cNvPr>
        <xdr:cNvSpPr/>
      </xdr:nvSpPr>
      <xdr:spPr>
        <a:xfrm>
          <a:off x="3788228" y="3498396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76200</xdr:colOff>
      <xdr:row>22</xdr:row>
      <xdr:rowOff>195943</xdr:rowOff>
    </xdr:from>
    <xdr:to>
      <xdr:col>22</xdr:col>
      <xdr:colOff>141514</xdr:colOff>
      <xdr:row>23</xdr:row>
      <xdr:rowOff>146958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FDCDEEBC-D6D6-4105-B60F-CBE5FA794E9A}"/>
            </a:ext>
          </a:extLst>
        </xdr:cNvPr>
        <xdr:cNvSpPr/>
      </xdr:nvSpPr>
      <xdr:spPr>
        <a:xfrm>
          <a:off x="5562600" y="3472543"/>
          <a:ext cx="65314" cy="151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228599</xdr:colOff>
      <xdr:row>23</xdr:row>
      <xdr:rowOff>10886</xdr:rowOff>
    </xdr:from>
    <xdr:to>
      <xdr:col>22</xdr:col>
      <xdr:colOff>293913</xdr:colOff>
      <xdr:row>23</xdr:row>
      <xdr:rowOff>163286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9C047F4-9DE1-4F96-9EFA-9A5556B166DF}"/>
            </a:ext>
          </a:extLst>
        </xdr:cNvPr>
        <xdr:cNvSpPr/>
      </xdr:nvSpPr>
      <xdr:spPr>
        <a:xfrm>
          <a:off x="5714999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386443</xdr:colOff>
      <xdr:row>23</xdr:row>
      <xdr:rowOff>10886</xdr:rowOff>
    </xdr:from>
    <xdr:to>
      <xdr:col>22</xdr:col>
      <xdr:colOff>451757</xdr:colOff>
      <xdr:row>23</xdr:row>
      <xdr:rowOff>163286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B4848D74-69F9-46FF-BF4E-0F6547327F96}"/>
            </a:ext>
          </a:extLst>
        </xdr:cNvPr>
        <xdr:cNvSpPr/>
      </xdr:nvSpPr>
      <xdr:spPr>
        <a:xfrm>
          <a:off x="5872843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555171</xdr:colOff>
      <xdr:row>23</xdr:row>
      <xdr:rowOff>16329</xdr:rowOff>
    </xdr:from>
    <xdr:to>
      <xdr:col>22</xdr:col>
      <xdr:colOff>620485</xdr:colOff>
      <xdr:row>23</xdr:row>
      <xdr:rowOff>168729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765F706C-AFDC-447D-8141-D01BFD8D8CA6}"/>
            </a:ext>
          </a:extLst>
        </xdr:cNvPr>
        <xdr:cNvSpPr/>
      </xdr:nvSpPr>
      <xdr:spPr>
        <a:xfrm>
          <a:off x="6041571" y="349295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23</xdr:col>
      <xdr:colOff>16328</xdr:colOff>
      <xdr:row>23</xdr:row>
      <xdr:rowOff>10886</xdr:rowOff>
    </xdr:from>
    <xdr:to>
      <xdr:col>23</xdr:col>
      <xdr:colOff>81642</xdr:colOff>
      <xdr:row>23</xdr:row>
      <xdr:rowOff>163286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A2B79FED-CCDC-44C9-9D75-74C6A175C52F}"/>
            </a:ext>
          </a:extLst>
        </xdr:cNvPr>
        <xdr:cNvSpPr/>
      </xdr:nvSpPr>
      <xdr:spPr>
        <a:xfrm>
          <a:off x="6188528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23</xdr:col>
      <xdr:colOff>168728</xdr:colOff>
      <xdr:row>23</xdr:row>
      <xdr:rowOff>10886</xdr:rowOff>
    </xdr:from>
    <xdr:to>
      <xdr:col>23</xdr:col>
      <xdr:colOff>234042</xdr:colOff>
      <xdr:row>23</xdr:row>
      <xdr:rowOff>163286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D0A5D9B8-0BD3-46C8-BE92-64A738BB1537}"/>
            </a:ext>
          </a:extLst>
        </xdr:cNvPr>
        <xdr:cNvSpPr/>
      </xdr:nvSpPr>
      <xdr:spPr>
        <a:xfrm>
          <a:off x="6340928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23</xdr:col>
      <xdr:colOff>337456</xdr:colOff>
      <xdr:row>22</xdr:row>
      <xdr:rowOff>195942</xdr:rowOff>
    </xdr:from>
    <xdr:to>
      <xdr:col>23</xdr:col>
      <xdr:colOff>402770</xdr:colOff>
      <xdr:row>23</xdr:row>
      <xdr:rowOff>146957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7AD27589-F74B-4B04-8ADB-E9EA7F58522A}"/>
            </a:ext>
          </a:extLst>
        </xdr:cNvPr>
        <xdr:cNvSpPr/>
      </xdr:nvSpPr>
      <xdr:spPr>
        <a:xfrm>
          <a:off x="6509656" y="3472542"/>
          <a:ext cx="65314" cy="151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593271</xdr:colOff>
      <xdr:row>11</xdr:row>
      <xdr:rowOff>59871</xdr:rowOff>
    </xdr:from>
    <xdr:to>
      <xdr:col>17</xdr:col>
      <xdr:colOff>87086</xdr:colOff>
      <xdr:row>11</xdr:row>
      <xdr:rowOff>146957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966B528A-8C78-41AD-A299-7A9A54A4EEB3}"/>
            </a:ext>
          </a:extLst>
        </xdr:cNvPr>
        <xdr:cNvSpPr/>
      </xdr:nvSpPr>
      <xdr:spPr>
        <a:xfrm>
          <a:off x="1964871" y="107904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593271</xdr:colOff>
      <xdr:row>12</xdr:row>
      <xdr:rowOff>38099</xdr:rowOff>
    </xdr:from>
    <xdr:to>
      <xdr:col>17</xdr:col>
      <xdr:colOff>87086</xdr:colOff>
      <xdr:row>12</xdr:row>
      <xdr:rowOff>125185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B7D8804E-EB07-4C27-A39B-4309414E78FC}"/>
            </a:ext>
          </a:extLst>
        </xdr:cNvPr>
        <xdr:cNvSpPr/>
      </xdr:nvSpPr>
      <xdr:spPr>
        <a:xfrm>
          <a:off x="1964871" y="126682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604156</xdr:colOff>
      <xdr:row>13</xdr:row>
      <xdr:rowOff>16328</xdr:rowOff>
    </xdr:from>
    <xdr:to>
      <xdr:col>17</xdr:col>
      <xdr:colOff>97971</xdr:colOff>
      <xdr:row>13</xdr:row>
      <xdr:rowOff>103414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B193767D-79C7-48DF-969E-0D2C9A8AAA56}"/>
            </a:ext>
          </a:extLst>
        </xdr:cNvPr>
        <xdr:cNvSpPr/>
      </xdr:nvSpPr>
      <xdr:spPr>
        <a:xfrm>
          <a:off x="1975756" y="1445078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587828</xdr:colOff>
      <xdr:row>13</xdr:row>
      <xdr:rowOff>185057</xdr:rowOff>
    </xdr:from>
    <xdr:to>
      <xdr:col>17</xdr:col>
      <xdr:colOff>81643</xdr:colOff>
      <xdr:row>14</xdr:row>
      <xdr:rowOff>70757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E08FA56D-A8E8-4E42-9A16-6372E39037B1}"/>
            </a:ext>
          </a:extLst>
        </xdr:cNvPr>
        <xdr:cNvSpPr/>
      </xdr:nvSpPr>
      <xdr:spPr>
        <a:xfrm>
          <a:off x="1959428" y="1613807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587828</xdr:colOff>
      <xdr:row>14</xdr:row>
      <xdr:rowOff>163285</xdr:rowOff>
    </xdr:from>
    <xdr:to>
      <xdr:col>17</xdr:col>
      <xdr:colOff>81643</xdr:colOff>
      <xdr:row>15</xdr:row>
      <xdr:rowOff>48985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EA3A0C3E-A56F-45C9-992A-412F2B335D95}"/>
            </a:ext>
          </a:extLst>
        </xdr:cNvPr>
        <xdr:cNvSpPr/>
      </xdr:nvSpPr>
      <xdr:spPr>
        <a:xfrm>
          <a:off x="1959428" y="1801585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571499</xdr:colOff>
      <xdr:row>15</xdr:row>
      <xdr:rowOff>136071</xdr:rowOff>
    </xdr:from>
    <xdr:to>
      <xdr:col>17</xdr:col>
      <xdr:colOff>65314</xdr:colOff>
      <xdr:row>16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FA1D0104-FF7A-4BDA-9E02-0B3202312E92}"/>
            </a:ext>
          </a:extLst>
        </xdr:cNvPr>
        <xdr:cNvSpPr/>
      </xdr:nvSpPr>
      <xdr:spPr>
        <a:xfrm>
          <a:off x="1943099" y="1983921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615043</xdr:colOff>
      <xdr:row>12</xdr:row>
      <xdr:rowOff>32656</xdr:rowOff>
    </xdr:from>
    <xdr:to>
      <xdr:col>25</xdr:col>
      <xdr:colOff>108858</xdr:colOff>
      <xdr:row>12</xdr:row>
      <xdr:rowOff>119742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1AF4C6AC-0B2A-4970-8595-14B8D807FAF1}"/>
            </a:ext>
          </a:extLst>
        </xdr:cNvPr>
        <xdr:cNvSpPr/>
      </xdr:nvSpPr>
      <xdr:spPr>
        <a:xfrm>
          <a:off x="7473043" y="1261381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615043</xdr:colOff>
      <xdr:row>13</xdr:row>
      <xdr:rowOff>10885</xdr:rowOff>
    </xdr:from>
    <xdr:to>
      <xdr:col>25</xdr:col>
      <xdr:colOff>108858</xdr:colOff>
      <xdr:row>13</xdr:row>
      <xdr:rowOff>97971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9A952945-84DF-443C-9A66-937C4AE63C40}"/>
            </a:ext>
          </a:extLst>
        </xdr:cNvPr>
        <xdr:cNvSpPr/>
      </xdr:nvSpPr>
      <xdr:spPr>
        <a:xfrm>
          <a:off x="7473043" y="1439635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625928</xdr:colOff>
      <xdr:row>13</xdr:row>
      <xdr:rowOff>190499</xdr:rowOff>
    </xdr:from>
    <xdr:to>
      <xdr:col>25</xdr:col>
      <xdr:colOff>119743</xdr:colOff>
      <xdr:row>14</xdr:row>
      <xdr:rowOff>76199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9A39B5B1-7B20-4CAD-806A-C75937484822}"/>
            </a:ext>
          </a:extLst>
        </xdr:cNvPr>
        <xdr:cNvSpPr/>
      </xdr:nvSpPr>
      <xdr:spPr>
        <a:xfrm>
          <a:off x="7483928" y="1619249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609600</xdr:colOff>
      <xdr:row>14</xdr:row>
      <xdr:rowOff>157842</xdr:rowOff>
    </xdr:from>
    <xdr:to>
      <xdr:col>25</xdr:col>
      <xdr:colOff>103415</xdr:colOff>
      <xdr:row>15</xdr:row>
      <xdr:rowOff>43542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7B475313-6A10-4F1C-94E1-03D33B381935}"/>
            </a:ext>
          </a:extLst>
        </xdr:cNvPr>
        <xdr:cNvSpPr/>
      </xdr:nvSpPr>
      <xdr:spPr>
        <a:xfrm>
          <a:off x="7467600" y="1796142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609600</xdr:colOff>
      <xdr:row>15</xdr:row>
      <xdr:rowOff>136070</xdr:rowOff>
    </xdr:from>
    <xdr:to>
      <xdr:col>25</xdr:col>
      <xdr:colOff>103415</xdr:colOff>
      <xdr:row>16</xdr:row>
      <xdr:rowOff>21770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F025835B-034B-4CE1-A4A0-4EF94BE53C5A}"/>
            </a:ext>
          </a:extLst>
        </xdr:cNvPr>
        <xdr:cNvSpPr/>
      </xdr:nvSpPr>
      <xdr:spPr>
        <a:xfrm>
          <a:off x="7467600" y="1983920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593271</xdr:colOff>
      <xdr:row>16</xdr:row>
      <xdr:rowOff>108856</xdr:rowOff>
    </xdr:from>
    <xdr:to>
      <xdr:col>25</xdr:col>
      <xdr:colOff>87086</xdr:colOff>
      <xdr:row>16</xdr:row>
      <xdr:rowOff>195942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AAAE6B80-12A9-47B9-92CD-35927BABD30F}"/>
            </a:ext>
          </a:extLst>
        </xdr:cNvPr>
        <xdr:cNvSpPr/>
      </xdr:nvSpPr>
      <xdr:spPr>
        <a:xfrm>
          <a:off x="7451271" y="216625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604157</xdr:colOff>
      <xdr:row>17</xdr:row>
      <xdr:rowOff>97970</xdr:rowOff>
    </xdr:from>
    <xdr:to>
      <xdr:col>25</xdr:col>
      <xdr:colOff>97972</xdr:colOff>
      <xdr:row>17</xdr:row>
      <xdr:rowOff>185056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CE40FCFF-0F6A-47C5-BC86-383F7B76AA08}"/>
            </a:ext>
          </a:extLst>
        </xdr:cNvPr>
        <xdr:cNvSpPr/>
      </xdr:nvSpPr>
      <xdr:spPr>
        <a:xfrm>
          <a:off x="7462157" y="2364920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604157</xdr:colOff>
      <xdr:row>18</xdr:row>
      <xdr:rowOff>76198</xdr:rowOff>
    </xdr:from>
    <xdr:to>
      <xdr:col>25</xdr:col>
      <xdr:colOff>97972</xdr:colOff>
      <xdr:row>18</xdr:row>
      <xdr:rowOff>163284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7D4B55B4-D087-4CD6-9A06-DCD4D90BB3C2}"/>
            </a:ext>
          </a:extLst>
        </xdr:cNvPr>
        <xdr:cNvSpPr/>
      </xdr:nvSpPr>
      <xdr:spPr>
        <a:xfrm>
          <a:off x="7462157" y="2543173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587828</xdr:colOff>
      <xdr:row>19</xdr:row>
      <xdr:rowOff>48984</xdr:rowOff>
    </xdr:from>
    <xdr:to>
      <xdr:col>25</xdr:col>
      <xdr:colOff>81643</xdr:colOff>
      <xdr:row>19</xdr:row>
      <xdr:rowOff>136070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E42B981D-D3E1-482F-965B-2A0D15AFCBBE}"/>
            </a:ext>
          </a:extLst>
        </xdr:cNvPr>
        <xdr:cNvSpPr/>
      </xdr:nvSpPr>
      <xdr:spPr>
        <a:xfrm>
          <a:off x="7445828" y="271598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418367</xdr:colOff>
      <xdr:row>51</xdr:row>
      <xdr:rowOff>109903</xdr:rowOff>
    </xdr:from>
    <xdr:to>
      <xdr:col>3</xdr:col>
      <xdr:colOff>275492</xdr:colOff>
      <xdr:row>53</xdr:row>
      <xdr:rowOff>183905</xdr:rowOff>
    </xdr:to>
    <xdr:sp macro="" textlink="">
      <xdr:nvSpPr>
        <xdr:cNvPr id="108" name="Isosceles Triangle 1">
          <a:extLst>
            <a:ext uri="{FF2B5EF4-FFF2-40B4-BE49-F238E27FC236}">
              <a16:creationId xmlns:a16="http://schemas.microsoft.com/office/drawing/2014/main" id="{60B9DA19-1B23-4ED0-AE20-B67904775789}"/>
            </a:ext>
          </a:extLst>
        </xdr:cNvPr>
        <xdr:cNvSpPr/>
      </xdr:nvSpPr>
      <xdr:spPr>
        <a:xfrm>
          <a:off x="1789967" y="2376853"/>
          <a:ext cx="542925" cy="474052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564173</xdr:colOff>
      <xdr:row>52</xdr:row>
      <xdr:rowOff>65942</xdr:rowOff>
    </xdr:from>
    <xdr:ext cx="265522" cy="311496"/>
    <xdr:sp macro="" textlink="">
      <xdr:nvSpPr>
        <xdr:cNvPr id="109" name="TextBox 2">
          <a:extLst>
            <a:ext uri="{FF2B5EF4-FFF2-40B4-BE49-F238E27FC236}">
              <a16:creationId xmlns:a16="http://schemas.microsoft.com/office/drawing/2014/main" id="{C525367F-77BF-4F95-866E-3F77E28DD406}"/>
            </a:ext>
          </a:extLst>
        </xdr:cNvPr>
        <xdr:cNvSpPr txBox="1"/>
      </xdr:nvSpPr>
      <xdr:spPr>
        <a:xfrm>
          <a:off x="1935773" y="2532917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3</xdr:col>
      <xdr:colOff>0</xdr:colOff>
      <xdr:row>45</xdr:row>
      <xdr:rowOff>0</xdr:rowOff>
    </xdr:from>
    <xdr:to>
      <xdr:col>3</xdr:col>
      <xdr:colOff>2565</xdr:colOff>
      <xdr:row>51</xdr:row>
      <xdr:rowOff>109903</xdr:rowOff>
    </xdr:to>
    <xdr:cxnSp macro="">
      <xdr:nvCxnSpPr>
        <xdr:cNvPr id="110" name="Straight Arrow Connector 4">
          <a:extLst>
            <a:ext uri="{FF2B5EF4-FFF2-40B4-BE49-F238E27FC236}">
              <a16:creationId xmlns:a16="http://schemas.microsoft.com/office/drawing/2014/main" id="{4259F2F9-6601-4AF3-82FA-032AC9F5965F}"/>
            </a:ext>
          </a:extLst>
        </xdr:cNvPr>
        <xdr:cNvCxnSpPr>
          <a:endCxn id="108" idx="0"/>
        </xdr:cNvCxnSpPr>
      </xdr:nvCxnSpPr>
      <xdr:spPr>
        <a:xfrm>
          <a:off x="2057400" y="1019175"/>
          <a:ext cx="2565" cy="1357678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7327</xdr:colOff>
      <xdr:row>57</xdr:row>
      <xdr:rowOff>95250</xdr:rowOff>
    </xdr:from>
    <xdr:to>
      <xdr:col>6</xdr:col>
      <xdr:colOff>14654</xdr:colOff>
      <xdr:row>57</xdr:row>
      <xdr:rowOff>102577</xdr:rowOff>
    </xdr:to>
    <xdr:cxnSp macro="">
      <xdr:nvCxnSpPr>
        <xdr:cNvPr id="111" name="Straight Arrow Connector 5">
          <a:extLst>
            <a:ext uri="{FF2B5EF4-FFF2-40B4-BE49-F238E27FC236}">
              <a16:creationId xmlns:a16="http://schemas.microsoft.com/office/drawing/2014/main" id="{F64FA48A-2863-4124-B8BF-169112BEBD63}"/>
            </a:ext>
          </a:extLst>
        </xdr:cNvPr>
        <xdr:cNvCxnSpPr/>
      </xdr:nvCxnSpPr>
      <xdr:spPr>
        <a:xfrm flipV="1">
          <a:off x="2750527" y="3571875"/>
          <a:ext cx="1378927" cy="732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1465</xdr:colOff>
      <xdr:row>57</xdr:row>
      <xdr:rowOff>93784</xdr:rowOff>
    </xdr:from>
    <xdr:to>
      <xdr:col>10</xdr:col>
      <xdr:colOff>5443</xdr:colOff>
      <xdr:row>57</xdr:row>
      <xdr:rowOff>103415</xdr:rowOff>
    </xdr:to>
    <xdr:cxnSp macro="">
      <xdr:nvCxnSpPr>
        <xdr:cNvPr id="112" name="Straight Arrow Connector 8">
          <a:extLst>
            <a:ext uri="{FF2B5EF4-FFF2-40B4-BE49-F238E27FC236}">
              <a16:creationId xmlns:a16="http://schemas.microsoft.com/office/drawing/2014/main" id="{272111DB-C73A-4F0A-B257-5577EA49292A}"/>
            </a:ext>
          </a:extLst>
        </xdr:cNvPr>
        <xdr:cNvCxnSpPr/>
      </xdr:nvCxnSpPr>
      <xdr:spPr>
        <a:xfrm>
          <a:off x="5487865" y="3570409"/>
          <a:ext cx="1375578" cy="963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416902</xdr:colOff>
      <xdr:row>53</xdr:row>
      <xdr:rowOff>93784</xdr:rowOff>
    </xdr:from>
    <xdr:to>
      <xdr:col>5</xdr:col>
      <xdr:colOff>274026</xdr:colOff>
      <xdr:row>55</xdr:row>
      <xdr:rowOff>167786</xdr:rowOff>
    </xdr:to>
    <xdr:sp macro="" textlink="">
      <xdr:nvSpPr>
        <xdr:cNvPr id="113" name="Isosceles Triangle 9">
          <a:extLst>
            <a:ext uri="{FF2B5EF4-FFF2-40B4-BE49-F238E27FC236}">
              <a16:creationId xmlns:a16="http://schemas.microsoft.com/office/drawing/2014/main" id="{2973420F-7621-450E-ADE6-2E681BCF252E}"/>
            </a:ext>
          </a:extLst>
        </xdr:cNvPr>
        <xdr:cNvSpPr/>
      </xdr:nvSpPr>
      <xdr:spPr>
        <a:xfrm>
          <a:off x="3160102" y="2760784"/>
          <a:ext cx="542924" cy="483577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4</xdr:col>
      <xdr:colOff>562708</xdr:colOff>
      <xdr:row>54</xdr:row>
      <xdr:rowOff>49823</xdr:rowOff>
    </xdr:from>
    <xdr:ext cx="265522" cy="311496"/>
    <xdr:sp macro="" textlink="">
      <xdr:nvSpPr>
        <xdr:cNvPr id="114" name="TextBox 10">
          <a:extLst>
            <a:ext uri="{FF2B5EF4-FFF2-40B4-BE49-F238E27FC236}">
              <a16:creationId xmlns:a16="http://schemas.microsoft.com/office/drawing/2014/main" id="{751B055E-00C0-40D4-9620-E493D80A7165}"/>
            </a:ext>
          </a:extLst>
        </xdr:cNvPr>
        <xdr:cNvSpPr txBox="1"/>
      </xdr:nvSpPr>
      <xdr:spPr>
        <a:xfrm>
          <a:off x="3305908" y="2916848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10</xdr:col>
      <xdr:colOff>422763</xdr:colOff>
      <xdr:row>54</xdr:row>
      <xdr:rowOff>99646</xdr:rowOff>
    </xdr:from>
    <xdr:to>
      <xdr:col>11</xdr:col>
      <xdr:colOff>279888</xdr:colOff>
      <xdr:row>56</xdr:row>
      <xdr:rowOff>173648</xdr:rowOff>
    </xdr:to>
    <xdr:sp macro="" textlink="">
      <xdr:nvSpPr>
        <xdr:cNvPr id="115" name="Isosceles Triangle 11">
          <a:extLst>
            <a:ext uri="{FF2B5EF4-FFF2-40B4-BE49-F238E27FC236}">
              <a16:creationId xmlns:a16="http://schemas.microsoft.com/office/drawing/2014/main" id="{20EA6209-E3A1-4541-9FCD-6D36DFEB2BE2}"/>
            </a:ext>
          </a:extLst>
        </xdr:cNvPr>
        <xdr:cNvSpPr/>
      </xdr:nvSpPr>
      <xdr:spPr>
        <a:xfrm>
          <a:off x="7280763" y="2966671"/>
          <a:ext cx="542925" cy="483577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568569</xdr:colOff>
      <xdr:row>55</xdr:row>
      <xdr:rowOff>55685</xdr:rowOff>
    </xdr:from>
    <xdr:ext cx="265522" cy="311496"/>
    <xdr:sp macro="" textlink="">
      <xdr:nvSpPr>
        <xdr:cNvPr id="116" name="TextBox 12">
          <a:extLst>
            <a:ext uri="{FF2B5EF4-FFF2-40B4-BE49-F238E27FC236}">
              <a16:creationId xmlns:a16="http://schemas.microsoft.com/office/drawing/2014/main" id="{B68E16FD-3C95-433F-B688-AEAB2337D103}"/>
            </a:ext>
          </a:extLst>
        </xdr:cNvPr>
        <xdr:cNvSpPr txBox="1"/>
      </xdr:nvSpPr>
      <xdr:spPr>
        <a:xfrm>
          <a:off x="7426569" y="3132260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10</xdr:col>
      <xdr:colOff>688730</xdr:colOff>
      <xdr:row>45</xdr:row>
      <xdr:rowOff>7327</xdr:rowOff>
    </xdr:from>
    <xdr:to>
      <xdr:col>11</xdr:col>
      <xdr:colOff>6961</xdr:colOff>
      <xdr:row>54</xdr:row>
      <xdr:rowOff>99646</xdr:rowOff>
    </xdr:to>
    <xdr:cxnSp macro="">
      <xdr:nvCxnSpPr>
        <xdr:cNvPr id="117" name="Straight Arrow Connector 13">
          <a:extLst>
            <a:ext uri="{FF2B5EF4-FFF2-40B4-BE49-F238E27FC236}">
              <a16:creationId xmlns:a16="http://schemas.microsoft.com/office/drawing/2014/main" id="{2589F20D-460B-41F0-81D8-E7163D337199}"/>
            </a:ext>
          </a:extLst>
        </xdr:cNvPr>
        <xdr:cNvCxnSpPr>
          <a:stCxn id="115" idx="0"/>
        </xdr:cNvCxnSpPr>
      </xdr:nvCxnSpPr>
      <xdr:spPr>
        <a:xfrm flipH="1" flipV="1">
          <a:off x="7546730" y="1026502"/>
          <a:ext cx="4031" cy="194016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65</xdr:row>
      <xdr:rowOff>57979</xdr:rowOff>
    </xdr:from>
    <xdr:to>
      <xdr:col>4</xdr:col>
      <xdr:colOff>8283</xdr:colOff>
      <xdr:row>65</xdr:row>
      <xdr:rowOff>57979</xdr:rowOff>
    </xdr:to>
    <xdr:cxnSp macro="">
      <xdr:nvCxnSpPr>
        <xdr:cNvPr id="118" name="Straight Connector 18">
          <a:extLst>
            <a:ext uri="{FF2B5EF4-FFF2-40B4-BE49-F238E27FC236}">
              <a16:creationId xmlns:a16="http://schemas.microsoft.com/office/drawing/2014/main" id="{3BFEDAC4-3217-432A-9FBF-267FDF89C438}"/>
            </a:ext>
          </a:extLst>
        </xdr:cNvPr>
        <xdr:cNvCxnSpPr/>
      </xdr:nvCxnSpPr>
      <xdr:spPr>
        <a:xfrm>
          <a:off x="1371600" y="5191954"/>
          <a:ext cx="137988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8283</xdr:colOff>
      <xdr:row>64</xdr:row>
      <xdr:rowOff>86449</xdr:rowOff>
    </xdr:from>
    <xdr:to>
      <xdr:col>4</xdr:col>
      <xdr:colOff>8283</xdr:colOff>
      <xdr:row>65</xdr:row>
      <xdr:rowOff>61602</xdr:rowOff>
    </xdr:to>
    <xdr:cxnSp macro="">
      <xdr:nvCxnSpPr>
        <xdr:cNvPr id="119" name="Straight Connector 20">
          <a:extLst>
            <a:ext uri="{FF2B5EF4-FFF2-40B4-BE49-F238E27FC236}">
              <a16:creationId xmlns:a16="http://schemas.microsoft.com/office/drawing/2014/main" id="{B5D779D6-01C3-4AFF-B313-C0D3E1537883}"/>
            </a:ext>
          </a:extLst>
        </xdr:cNvPr>
        <xdr:cNvCxnSpPr/>
      </xdr:nvCxnSpPr>
      <xdr:spPr>
        <a:xfrm flipV="1">
          <a:off x="2751483" y="5020399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1813</xdr:colOff>
      <xdr:row>64</xdr:row>
      <xdr:rowOff>88261</xdr:rowOff>
    </xdr:from>
    <xdr:to>
      <xdr:col>6</xdr:col>
      <xdr:colOff>1813</xdr:colOff>
      <xdr:row>65</xdr:row>
      <xdr:rowOff>63414</xdr:rowOff>
    </xdr:to>
    <xdr:cxnSp macro="">
      <xdr:nvCxnSpPr>
        <xdr:cNvPr id="120" name="Straight Connector 21">
          <a:extLst>
            <a:ext uri="{FF2B5EF4-FFF2-40B4-BE49-F238E27FC236}">
              <a16:creationId xmlns:a16="http://schemas.microsoft.com/office/drawing/2014/main" id="{9BCB9876-8DEE-4B11-90A5-C6AB025B2834}"/>
            </a:ext>
          </a:extLst>
        </xdr:cNvPr>
        <xdr:cNvCxnSpPr/>
      </xdr:nvCxnSpPr>
      <xdr:spPr>
        <a:xfrm flipV="1">
          <a:off x="4116613" y="5022211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678398</xdr:colOff>
      <xdr:row>65</xdr:row>
      <xdr:rowOff>62119</xdr:rowOff>
    </xdr:from>
    <xdr:to>
      <xdr:col>8</xdr:col>
      <xdr:colOff>2072</xdr:colOff>
      <xdr:row>65</xdr:row>
      <xdr:rowOff>62119</xdr:rowOff>
    </xdr:to>
    <xdr:cxnSp macro="">
      <xdr:nvCxnSpPr>
        <xdr:cNvPr id="121" name="Straight Connector 22">
          <a:extLst>
            <a:ext uri="{FF2B5EF4-FFF2-40B4-BE49-F238E27FC236}">
              <a16:creationId xmlns:a16="http://schemas.microsoft.com/office/drawing/2014/main" id="{3A87BFE1-B473-4251-B5EA-B48F147FA430}"/>
            </a:ext>
          </a:extLst>
        </xdr:cNvPr>
        <xdr:cNvCxnSpPr/>
      </xdr:nvCxnSpPr>
      <xdr:spPr>
        <a:xfrm>
          <a:off x="4107398" y="5196094"/>
          <a:ext cx="1381074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64</xdr:row>
      <xdr:rowOff>89298</xdr:rowOff>
    </xdr:from>
    <xdr:to>
      <xdr:col>6</xdr:col>
      <xdr:colOff>8284</xdr:colOff>
      <xdr:row>64</xdr:row>
      <xdr:rowOff>89298</xdr:rowOff>
    </xdr:to>
    <xdr:cxnSp macro="">
      <xdr:nvCxnSpPr>
        <xdr:cNvPr id="122" name="Straight Connector 23">
          <a:extLst>
            <a:ext uri="{FF2B5EF4-FFF2-40B4-BE49-F238E27FC236}">
              <a16:creationId xmlns:a16="http://schemas.microsoft.com/office/drawing/2014/main" id="{6654242F-424B-4748-B5B1-79139B76F288}"/>
            </a:ext>
          </a:extLst>
        </xdr:cNvPr>
        <xdr:cNvCxnSpPr/>
      </xdr:nvCxnSpPr>
      <xdr:spPr>
        <a:xfrm>
          <a:off x="2743200" y="5023248"/>
          <a:ext cx="1379884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678088</xdr:colOff>
      <xdr:row>64</xdr:row>
      <xdr:rowOff>91833</xdr:rowOff>
    </xdr:from>
    <xdr:to>
      <xdr:col>7</xdr:col>
      <xdr:colOff>678088</xdr:colOff>
      <xdr:row>65</xdr:row>
      <xdr:rowOff>66986</xdr:rowOff>
    </xdr:to>
    <xdr:cxnSp macro="">
      <xdr:nvCxnSpPr>
        <xdr:cNvPr id="123" name="Straight Connector 24">
          <a:extLst>
            <a:ext uri="{FF2B5EF4-FFF2-40B4-BE49-F238E27FC236}">
              <a16:creationId xmlns:a16="http://schemas.microsoft.com/office/drawing/2014/main" id="{1FDB9082-B341-49BE-949B-93585B9D282A}"/>
            </a:ext>
          </a:extLst>
        </xdr:cNvPr>
        <xdr:cNvCxnSpPr/>
      </xdr:nvCxnSpPr>
      <xdr:spPr>
        <a:xfrm flipV="1">
          <a:off x="5478688" y="5025783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</xdr:colOff>
      <xdr:row>64</xdr:row>
      <xdr:rowOff>89297</xdr:rowOff>
    </xdr:from>
    <xdr:to>
      <xdr:col>2</xdr:col>
      <xdr:colOff>5953</xdr:colOff>
      <xdr:row>65</xdr:row>
      <xdr:rowOff>64450</xdr:rowOff>
    </xdr:to>
    <xdr:cxnSp macro="">
      <xdr:nvCxnSpPr>
        <xdr:cNvPr id="124" name="Straight Connector 25">
          <a:extLst>
            <a:ext uri="{FF2B5EF4-FFF2-40B4-BE49-F238E27FC236}">
              <a16:creationId xmlns:a16="http://schemas.microsoft.com/office/drawing/2014/main" id="{5F969059-4192-4BA5-BA41-68DAEBE94D95}"/>
            </a:ext>
          </a:extLst>
        </xdr:cNvPr>
        <xdr:cNvCxnSpPr/>
      </xdr:nvCxnSpPr>
      <xdr:spPr>
        <a:xfrm flipV="1">
          <a:off x="1377553" y="5023247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10026</xdr:colOff>
      <xdr:row>64</xdr:row>
      <xdr:rowOff>89297</xdr:rowOff>
    </xdr:from>
    <xdr:to>
      <xdr:col>2</xdr:col>
      <xdr:colOff>10966</xdr:colOff>
      <xdr:row>64</xdr:row>
      <xdr:rowOff>90237</xdr:rowOff>
    </xdr:to>
    <xdr:cxnSp macro="">
      <xdr:nvCxnSpPr>
        <xdr:cNvPr id="125" name="Straight Connector 26">
          <a:extLst>
            <a:ext uri="{FF2B5EF4-FFF2-40B4-BE49-F238E27FC236}">
              <a16:creationId xmlns:a16="http://schemas.microsoft.com/office/drawing/2014/main" id="{61488E3E-1733-4C29-A6BE-8F38616709A0}"/>
            </a:ext>
          </a:extLst>
        </xdr:cNvPr>
        <xdr:cNvCxnSpPr/>
      </xdr:nvCxnSpPr>
      <xdr:spPr>
        <a:xfrm flipV="1">
          <a:off x="695826" y="5023247"/>
          <a:ext cx="686740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671764</xdr:colOff>
      <xdr:row>64</xdr:row>
      <xdr:rowOff>100263</xdr:rowOff>
    </xdr:from>
    <xdr:to>
      <xdr:col>8</xdr:col>
      <xdr:colOff>672703</xdr:colOff>
      <xdr:row>64</xdr:row>
      <xdr:rowOff>101203</xdr:rowOff>
    </xdr:to>
    <xdr:cxnSp macro="">
      <xdr:nvCxnSpPr>
        <xdr:cNvPr id="126" name="Straight Connector 29">
          <a:extLst>
            <a:ext uri="{FF2B5EF4-FFF2-40B4-BE49-F238E27FC236}">
              <a16:creationId xmlns:a16="http://schemas.microsoft.com/office/drawing/2014/main" id="{952209C5-CC23-41C6-8D51-E9DE179A7B67}"/>
            </a:ext>
          </a:extLst>
        </xdr:cNvPr>
        <xdr:cNvCxnSpPr/>
      </xdr:nvCxnSpPr>
      <xdr:spPr>
        <a:xfrm flipV="1">
          <a:off x="5472364" y="5034213"/>
          <a:ext cx="686739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5953</xdr:colOff>
      <xdr:row>64</xdr:row>
      <xdr:rowOff>89297</xdr:rowOff>
    </xdr:from>
    <xdr:to>
      <xdr:col>6</xdr:col>
      <xdr:colOff>5953</xdr:colOff>
      <xdr:row>65</xdr:row>
      <xdr:rowOff>64450</xdr:rowOff>
    </xdr:to>
    <xdr:cxnSp macro="">
      <xdr:nvCxnSpPr>
        <xdr:cNvPr id="127" name="Straight Connector 30">
          <a:extLst>
            <a:ext uri="{FF2B5EF4-FFF2-40B4-BE49-F238E27FC236}">
              <a16:creationId xmlns:a16="http://schemas.microsoft.com/office/drawing/2014/main" id="{DC5BE905-DCBE-446C-94FC-26E4DC55D390}"/>
            </a:ext>
          </a:extLst>
        </xdr:cNvPr>
        <xdr:cNvCxnSpPr/>
      </xdr:nvCxnSpPr>
      <xdr:spPr>
        <a:xfrm flipV="1">
          <a:off x="4120753" y="5023247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10026</xdr:colOff>
      <xdr:row>64</xdr:row>
      <xdr:rowOff>89297</xdr:rowOff>
    </xdr:from>
    <xdr:to>
      <xdr:col>6</xdr:col>
      <xdr:colOff>10966</xdr:colOff>
      <xdr:row>64</xdr:row>
      <xdr:rowOff>90237</xdr:rowOff>
    </xdr:to>
    <xdr:cxnSp macro="">
      <xdr:nvCxnSpPr>
        <xdr:cNvPr id="128" name="Straight Connector 31">
          <a:extLst>
            <a:ext uri="{FF2B5EF4-FFF2-40B4-BE49-F238E27FC236}">
              <a16:creationId xmlns:a16="http://schemas.microsoft.com/office/drawing/2014/main" id="{8769BCF1-665D-42E3-82DD-1BD207C74646}"/>
            </a:ext>
          </a:extLst>
        </xdr:cNvPr>
        <xdr:cNvCxnSpPr/>
      </xdr:nvCxnSpPr>
      <xdr:spPr>
        <a:xfrm flipV="1">
          <a:off x="3439026" y="5023247"/>
          <a:ext cx="686740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525116</xdr:colOff>
      <xdr:row>56</xdr:row>
      <xdr:rowOff>141287</xdr:rowOff>
    </xdr:from>
    <xdr:to>
      <xdr:col>3</xdr:col>
      <xdr:colOff>132186</xdr:colOff>
      <xdr:row>58</xdr:row>
      <xdr:rowOff>28162</xdr:rowOff>
    </xdr:to>
    <xdr:sp macro="" textlink="">
      <xdr:nvSpPr>
        <xdr:cNvPr id="129" name="Flowchart: Connector 34">
          <a:extLst>
            <a:ext uri="{FF2B5EF4-FFF2-40B4-BE49-F238E27FC236}">
              <a16:creationId xmlns:a16="http://schemas.microsoft.com/office/drawing/2014/main" id="{05B34C9B-A12A-427C-913D-0DDFD8E88C53}"/>
            </a:ext>
          </a:extLst>
        </xdr:cNvPr>
        <xdr:cNvSpPr/>
      </xdr:nvSpPr>
      <xdr:spPr>
        <a:xfrm>
          <a:off x="1896716" y="3417887"/>
          <a:ext cx="292870" cy="286925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425727</xdr:colOff>
      <xdr:row>56</xdr:row>
      <xdr:rowOff>1</xdr:rowOff>
    </xdr:from>
    <xdr:to>
      <xdr:col>3</xdr:col>
      <xdr:colOff>231913</xdr:colOff>
      <xdr:row>58</xdr:row>
      <xdr:rowOff>77857</xdr:rowOff>
    </xdr:to>
    <xdr:sp macro="" textlink="">
      <xdr:nvSpPr>
        <xdr:cNvPr id="130" name="Arc 35">
          <a:extLst>
            <a:ext uri="{FF2B5EF4-FFF2-40B4-BE49-F238E27FC236}">
              <a16:creationId xmlns:a16="http://schemas.microsoft.com/office/drawing/2014/main" id="{E40431EB-7EE3-4B06-8642-6A5E31826B1E}"/>
            </a:ext>
          </a:extLst>
        </xdr:cNvPr>
        <xdr:cNvSpPr/>
      </xdr:nvSpPr>
      <xdr:spPr>
        <a:xfrm>
          <a:off x="1797327" y="3276601"/>
          <a:ext cx="491986" cy="477906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6</xdr:col>
      <xdr:colOff>538368</xdr:colOff>
      <xdr:row>56</xdr:row>
      <xdr:rowOff>124720</xdr:rowOff>
    </xdr:from>
    <xdr:to>
      <xdr:col>7</xdr:col>
      <xdr:colOff>145438</xdr:colOff>
      <xdr:row>58</xdr:row>
      <xdr:rowOff>11595</xdr:rowOff>
    </xdr:to>
    <xdr:sp macro="" textlink="">
      <xdr:nvSpPr>
        <xdr:cNvPr id="131" name="Flowchart: Connector 36">
          <a:extLst>
            <a:ext uri="{FF2B5EF4-FFF2-40B4-BE49-F238E27FC236}">
              <a16:creationId xmlns:a16="http://schemas.microsoft.com/office/drawing/2014/main" id="{84344101-B10E-4EAB-A3B7-CDF538B9E92C}"/>
            </a:ext>
          </a:extLst>
        </xdr:cNvPr>
        <xdr:cNvSpPr/>
      </xdr:nvSpPr>
      <xdr:spPr>
        <a:xfrm>
          <a:off x="4653168" y="3401320"/>
          <a:ext cx="292870" cy="286925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6</xdr:col>
      <xdr:colOff>438979</xdr:colOff>
      <xdr:row>55</xdr:row>
      <xdr:rowOff>190499</xdr:rowOff>
    </xdr:from>
    <xdr:to>
      <xdr:col>7</xdr:col>
      <xdr:colOff>245165</xdr:colOff>
      <xdr:row>58</xdr:row>
      <xdr:rowOff>61290</xdr:rowOff>
    </xdr:to>
    <xdr:sp macro="" textlink="">
      <xdr:nvSpPr>
        <xdr:cNvPr id="132" name="Arc 37">
          <a:extLst>
            <a:ext uri="{FF2B5EF4-FFF2-40B4-BE49-F238E27FC236}">
              <a16:creationId xmlns:a16="http://schemas.microsoft.com/office/drawing/2014/main" id="{B8DE41CC-1131-4FAD-9FC6-19B39B290CB2}"/>
            </a:ext>
          </a:extLst>
        </xdr:cNvPr>
        <xdr:cNvSpPr/>
      </xdr:nvSpPr>
      <xdr:spPr>
        <a:xfrm>
          <a:off x="4553779" y="3267074"/>
          <a:ext cx="491986" cy="470866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273326</xdr:colOff>
      <xdr:row>56</xdr:row>
      <xdr:rowOff>115957</xdr:rowOff>
    </xdr:from>
    <xdr:to>
      <xdr:col>2</xdr:col>
      <xdr:colOff>637761</xdr:colOff>
      <xdr:row>58</xdr:row>
      <xdr:rowOff>132522</xdr:rowOff>
    </xdr:to>
    <xdr:sp macro="" textlink="">
      <xdr:nvSpPr>
        <xdr:cNvPr id="133" name="TextBox 38">
          <a:extLst>
            <a:ext uri="{FF2B5EF4-FFF2-40B4-BE49-F238E27FC236}">
              <a16:creationId xmlns:a16="http://schemas.microsoft.com/office/drawing/2014/main" id="{D0F43DC6-DC11-4D68-905D-3B43AF267153}"/>
            </a:ext>
          </a:extLst>
        </xdr:cNvPr>
        <xdr:cNvSpPr txBox="1"/>
      </xdr:nvSpPr>
      <xdr:spPr>
        <a:xfrm>
          <a:off x="1644926" y="3392557"/>
          <a:ext cx="364435" cy="41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1</a:t>
          </a:r>
        </a:p>
      </xdr:txBody>
    </xdr:sp>
    <xdr:clientData/>
  </xdr:twoCellAnchor>
  <xdr:twoCellAnchor>
    <xdr:from>
      <xdr:col>6</xdr:col>
      <xdr:colOff>265044</xdr:colOff>
      <xdr:row>56</xdr:row>
      <xdr:rowOff>115957</xdr:rowOff>
    </xdr:from>
    <xdr:to>
      <xdr:col>6</xdr:col>
      <xdr:colOff>629479</xdr:colOff>
      <xdr:row>58</xdr:row>
      <xdr:rowOff>132522</xdr:rowOff>
    </xdr:to>
    <xdr:sp macro="" textlink="">
      <xdr:nvSpPr>
        <xdr:cNvPr id="134" name="TextBox 39">
          <a:extLst>
            <a:ext uri="{FF2B5EF4-FFF2-40B4-BE49-F238E27FC236}">
              <a16:creationId xmlns:a16="http://schemas.microsoft.com/office/drawing/2014/main" id="{80DFF793-1065-4D1D-8A57-C175EF6D659B}"/>
            </a:ext>
          </a:extLst>
        </xdr:cNvPr>
        <xdr:cNvSpPr txBox="1"/>
      </xdr:nvSpPr>
      <xdr:spPr>
        <a:xfrm>
          <a:off x="4379844" y="3392557"/>
          <a:ext cx="364435" cy="41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9</a:t>
          </a:r>
        </a:p>
      </xdr:txBody>
    </xdr:sp>
    <xdr:clientData/>
  </xdr:twoCellAnchor>
  <xdr:twoCellAnchor>
    <xdr:from>
      <xdr:col>4</xdr:col>
      <xdr:colOff>97972</xdr:colOff>
      <xdr:row>57</xdr:row>
      <xdr:rowOff>21772</xdr:rowOff>
    </xdr:from>
    <xdr:to>
      <xdr:col>4</xdr:col>
      <xdr:colOff>163286</xdr:colOff>
      <xdr:row>57</xdr:row>
      <xdr:rowOff>174172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AE783223-FAC8-42F5-8738-7C31630369AF}"/>
            </a:ext>
          </a:extLst>
        </xdr:cNvPr>
        <xdr:cNvSpPr/>
      </xdr:nvSpPr>
      <xdr:spPr>
        <a:xfrm>
          <a:off x="2841172" y="3498397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250371</xdr:colOff>
      <xdr:row>57</xdr:row>
      <xdr:rowOff>38100</xdr:rowOff>
    </xdr:from>
    <xdr:to>
      <xdr:col>4</xdr:col>
      <xdr:colOff>315685</xdr:colOff>
      <xdr:row>57</xdr:row>
      <xdr:rowOff>190500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0D389163-C3A8-4A74-898B-7219503B0CA3}"/>
            </a:ext>
          </a:extLst>
        </xdr:cNvPr>
        <xdr:cNvSpPr/>
      </xdr:nvSpPr>
      <xdr:spPr>
        <a:xfrm>
          <a:off x="2993571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408215</xdr:colOff>
      <xdr:row>57</xdr:row>
      <xdr:rowOff>38100</xdr:rowOff>
    </xdr:from>
    <xdr:to>
      <xdr:col>4</xdr:col>
      <xdr:colOff>473529</xdr:colOff>
      <xdr:row>57</xdr:row>
      <xdr:rowOff>190500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D1918307-A142-4129-96DA-E9C5274B8179}"/>
            </a:ext>
          </a:extLst>
        </xdr:cNvPr>
        <xdr:cNvSpPr/>
      </xdr:nvSpPr>
      <xdr:spPr>
        <a:xfrm>
          <a:off x="3151415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576943</xdr:colOff>
      <xdr:row>57</xdr:row>
      <xdr:rowOff>43543</xdr:rowOff>
    </xdr:from>
    <xdr:to>
      <xdr:col>4</xdr:col>
      <xdr:colOff>642257</xdr:colOff>
      <xdr:row>57</xdr:row>
      <xdr:rowOff>195943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DD7EE424-8E56-40B0-A07E-31F1BF8A0316}"/>
            </a:ext>
          </a:extLst>
        </xdr:cNvPr>
        <xdr:cNvSpPr/>
      </xdr:nvSpPr>
      <xdr:spPr>
        <a:xfrm>
          <a:off x="3320143" y="3520168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38100</xdr:colOff>
      <xdr:row>57</xdr:row>
      <xdr:rowOff>38100</xdr:rowOff>
    </xdr:from>
    <xdr:to>
      <xdr:col>5</xdr:col>
      <xdr:colOff>103414</xdr:colOff>
      <xdr:row>57</xdr:row>
      <xdr:rowOff>190500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7BECA45F-351B-450C-A78C-8ABC1546A88E}"/>
            </a:ext>
          </a:extLst>
        </xdr:cNvPr>
        <xdr:cNvSpPr/>
      </xdr:nvSpPr>
      <xdr:spPr>
        <a:xfrm>
          <a:off x="3467100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190500</xdr:colOff>
      <xdr:row>57</xdr:row>
      <xdr:rowOff>38100</xdr:rowOff>
    </xdr:from>
    <xdr:to>
      <xdr:col>5</xdr:col>
      <xdr:colOff>255814</xdr:colOff>
      <xdr:row>57</xdr:row>
      <xdr:rowOff>190500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7B7819FD-BA8E-4CF3-BA55-30D428085846}"/>
            </a:ext>
          </a:extLst>
        </xdr:cNvPr>
        <xdr:cNvSpPr/>
      </xdr:nvSpPr>
      <xdr:spPr>
        <a:xfrm>
          <a:off x="3619500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5</xdr:col>
      <xdr:colOff>359228</xdr:colOff>
      <xdr:row>57</xdr:row>
      <xdr:rowOff>21771</xdr:rowOff>
    </xdr:from>
    <xdr:to>
      <xdr:col>5</xdr:col>
      <xdr:colOff>424542</xdr:colOff>
      <xdr:row>57</xdr:row>
      <xdr:rowOff>174171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2C6D4169-A719-4F2D-A098-A0AF6B7C92B0}"/>
            </a:ext>
          </a:extLst>
        </xdr:cNvPr>
        <xdr:cNvSpPr/>
      </xdr:nvSpPr>
      <xdr:spPr>
        <a:xfrm>
          <a:off x="3788228" y="3498396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76200</xdr:colOff>
      <xdr:row>56</xdr:row>
      <xdr:rowOff>195943</xdr:rowOff>
    </xdr:from>
    <xdr:to>
      <xdr:col>8</xdr:col>
      <xdr:colOff>141514</xdr:colOff>
      <xdr:row>57</xdr:row>
      <xdr:rowOff>146958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9BBA27A2-F6B6-47FB-8DD5-8897D9BFE590}"/>
            </a:ext>
          </a:extLst>
        </xdr:cNvPr>
        <xdr:cNvSpPr/>
      </xdr:nvSpPr>
      <xdr:spPr>
        <a:xfrm>
          <a:off x="5562600" y="3472543"/>
          <a:ext cx="65314" cy="151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228599</xdr:colOff>
      <xdr:row>57</xdr:row>
      <xdr:rowOff>10886</xdr:rowOff>
    </xdr:from>
    <xdr:to>
      <xdr:col>8</xdr:col>
      <xdr:colOff>293913</xdr:colOff>
      <xdr:row>57</xdr:row>
      <xdr:rowOff>163286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172B1947-3B51-425A-860F-5C253B0BB9D7}"/>
            </a:ext>
          </a:extLst>
        </xdr:cNvPr>
        <xdr:cNvSpPr/>
      </xdr:nvSpPr>
      <xdr:spPr>
        <a:xfrm>
          <a:off x="5714999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386443</xdr:colOff>
      <xdr:row>57</xdr:row>
      <xdr:rowOff>10886</xdr:rowOff>
    </xdr:from>
    <xdr:to>
      <xdr:col>8</xdr:col>
      <xdr:colOff>451757</xdr:colOff>
      <xdr:row>57</xdr:row>
      <xdr:rowOff>163286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4CCE80E6-2E56-4F27-BE8D-732F2DD6EFD8}"/>
            </a:ext>
          </a:extLst>
        </xdr:cNvPr>
        <xdr:cNvSpPr/>
      </xdr:nvSpPr>
      <xdr:spPr>
        <a:xfrm>
          <a:off x="5872843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8</xdr:col>
      <xdr:colOff>555171</xdr:colOff>
      <xdr:row>57</xdr:row>
      <xdr:rowOff>16329</xdr:rowOff>
    </xdr:from>
    <xdr:to>
      <xdr:col>8</xdr:col>
      <xdr:colOff>620485</xdr:colOff>
      <xdr:row>57</xdr:row>
      <xdr:rowOff>168729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2C0AAA1F-C413-4877-96A4-8A46A5ECCD12}"/>
            </a:ext>
          </a:extLst>
        </xdr:cNvPr>
        <xdr:cNvSpPr/>
      </xdr:nvSpPr>
      <xdr:spPr>
        <a:xfrm>
          <a:off x="6041571" y="349295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16328</xdr:colOff>
      <xdr:row>57</xdr:row>
      <xdr:rowOff>10886</xdr:rowOff>
    </xdr:from>
    <xdr:to>
      <xdr:col>9</xdr:col>
      <xdr:colOff>81642</xdr:colOff>
      <xdr:row>57</xdr:row>
      <xdr:rowOff>163286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3ECD21CD-F665-4C8D-94F0-BEA774C8329F}"/>
            </a:ext>
          </a:extLst>
        </xdr:cNvPr>
        <xdr:cNvSpPr/>
      </xdr:nvSpPr>
      <xdr:spPr>
        <a:xfrm>
          <a:off x="6188528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168728</xdr:colOff>
      <xdr:row>57</xdr:row>
      <xdr:rowOff>10886</xdr:rowOff>
    </xdr:from>
    <xdr:to>
      <xdr:col>9</xdr:col>
      <xdr:colOff>234042</xdr:colOff>
      <xdr:row>57</xdr:row>
      <xdr:rowOff>163286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EC10E52A-FB5E-4DDC-8D51-20087F24CC55}"/>
            </a:ext>
          </a:extLst>
        </xdr:cNvPr>
        <xdr:cNvSpPr/>
      </xdr:nvSpPr>
      <xdr:spPr>
        <a:xfrm>
          <a:off x="6340928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9</xdr:col>
      <xdr:colOff>337456</xdr:colOff>
      <xdr:row>56</xdr:row>
      <xdr:rowOff>195942</xdr:rowOff>
    </xdr:from>
    <xdr:to>
      <xdr:col>9</xdr:col>
      <xdr:colOff>402770</xdr:colOff>
      <xdr:row>57</xdr:row>
      <xdr:rowOff>146957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EC9FC04F-40EA-42AE-9142-2466C053831A}"/>
            </a:ext>
          </a:extLst>
        </xdr:cNvPr>
        <xdr:cNvSpPr/>
      </xdr:nvSpPr>
      <xdr:spPr>
        <a:xfrm>
          <a:off x="6509656" y="3472542"/>
          <a:ext cx="65314" cy="151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593271</xdr:colOff>
      <xdr:row>45</xdr:row>
      <xdr:rowOff>59871</xdr:rowOff>
    </xdr:from>
    <xdr:to>
      <xdr:col>3</xdr:col>
      <xdr:colOff>87086</xdr:colOff>
      <xdr:row>45</xdr:row>
      <xdr:rowOff>146957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2CE1CD0B-28A2-4158-9A07-7D1162D0E4FB}"/>
            </a:ext>
          </a:extLst>
        </xdr:cNvPr>
        <xdr:cNvSpPr/>
      </xdr:nvSpPr>
      <xdr:spPr>
        <a:xfrm>
          <a:off x="1964871" y="107904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593271</xdr:colOff>
      <xdr:row>46</xdr:row>
      <xdr:rowOff>38099</xdr:rowOff>
    </xdr:from>
    <xdr:to>
      <xdr:col>3</xdr:col>
      <xdr:colOff>87086</xdr:colOff>
      <xdr:row>46</xdr:row>
      <xdr:rowOff>125185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14345744-E27F-4A63-82EB-3E5E71E54EB2}"/>
            </a:ext>
          </a:extLst>
        </xdr:cNvPr>
        <xdr:cNvSpPr/>
      </xdr:nvSpPr>
      <xdr:spPr>
        <a:xfrm>
          <a:off x="1964871" y="126682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604156</xdr:colOff>
      <xdr:row>47</xdr:row>
      <xdr:rowOff>16328</xdr:rowOff>
    </xdr:from>
    <xdr:to>
      <xdr:col>3</xdr:col>
      <xdr:colOff>97971</xdr:colOff>
      <xdr:row>47</xdr:row>
      <xdr:rowOff>103414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62718F08-5D2C-4B14-8A16-2655EA81B4CC}"/>
            </a:ext>
          </a:extLst>
        </xdr:cNvPr>
        <xdr:cNvSpPr/>
      </xdr:nvSpPr>
      <xdr:spPr>
        <a:xfrm>
          <a:off x="1975756" y="1445078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587828</xdr:colOff>
      <xdr:row>47</xdr:row>
      <xdr:rowOff>185057</xdr:rowOff>
    </xdr:from>
    <xdr:to>
      <xdr:col>3</xdr:col>
      <xdr:colOff>81643</xdr:colOff>
      <xdr:row>48</xdr:row>
      <xdr:rowOff>70757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2D4D86BE-E622-418D-8FD5-C60E59CE2A0A}"/>
            </a:ext>
          </a:extLst>
        </xdr:cNvPr>
        <xdr:cNvSpPr/>
      </xdr:nvSpPr>
      <xdr:spPr>
        <a:xfrm>
          <a:off x="1959428" y="1613807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587828</xdr:colOff>
      <xdr:row>48</xdr:row>
      <xdr:rowOff>163285</xdr:rowOff>
    </xdr:from>
    <xdr:to>
      <xdr:col>3</xdr:col>
      <xdr:colOff>81643</xdr:colOff>
      <xdr:row>49</xdr:row>
      <xdr:rowOff>48985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BEF4883-90B9-45EC-9431-4BD6325DFC12}"/>
            </a:ext>
          </a:extLst>
        </xdr:cNvPr>
        <xdr:cNvSpPr/>
      </xdr:nvSpPr>
      <xdr:spPr>
        <a:xfrm>
          <a:off x="1959428" y="1801585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571499</xdr:colOff>
      <xdr:row>49</xdr:row>
      <xdr:rowOff>136071</xdr:rowOff>
    </xdr:from>
    <xdr:to>
      <xdr:col>3</xdr:col>
      <xdr:colOff>65314</xdr:colOff>
      <xdr:row>50</xdr:row>
      <xdr:rowOff>21771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DC1A1318-B4D5-4421-84BD-359825DECB07}"/>
            </a:ext>
          </a:extLst>
        </xdr:cNvPr>
        <xdr:cNvSpPr/>
      </xdr:nvSpPr>
      <xdr:spPr>
        <a:xfrm>
          <a:off x="1943099" y="1983921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615043</xdr:colOff>
      <xdr:row>46</xdr:row>
      <xdr:rowOff>32656</xdr:rowOff>
    </xdr:from>
    <xdr:to>
      <xdr:col>11</xdr:col>
      <xdr:colOff>108858</xdr:colOff>
      <xdr:row>46</xdr:row>
      <xdr:rowOff>119742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B438CF56-3F08-487D-AA8F-16DD85538385}"/>
            </a:ext>
          </a:extLst>
        </xdr:cNvPr>
        <xdr:cNvSpPr/>
      </xdr:nvSpPr>
      <xdr:spPr>
        <a:xfrm>
          <a:off x="7473043" y="1261381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615043</xdr:colOff>
      <xdr:row>47</xdr:row>
      <xdr:rowOff>10885</xdr:rowOff>
    </xdr:from>
    <xdr:to>
      <xdr:col>11</xdr:col>
      <xdr:colOff>108858</xdr:colOff>
      <xdr:row>47</xdr:row>
      <xdr:rowOff>97971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16752874-EBD3-466F-B7EC-D7E29A520207}"/>
            </a:ext>
          </a:extLst>
        </xdr:cNvPr>
        <xdr:cNvSpPr/>
      </xdr:nvSpPr>
      <xdr:spPr>
        <a:xfrm>
          <a:off x="7473043" y="1439635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625928</xdr:colOff>
      <xdr:row>47</xdr:row>
      <xdr:rowOff>190499</xdr:rowOff>
    </xdr:from>
    <xdr:to>
      <xdr:col>11</xdr:col>
      <xdr:colOff>119743</xdr:colOff>
      <xdr:row>48</xdr:row>
      <xdr:rowOff>76199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3C59A720-AF77-47F6-A38E-A1ACDCDB2735}"/>
            </a:ext>
          </a:extLst>
        </xdr:cNvPr>
        <xdr:cNvSpPr/>
      </xdr:nvSpPr>
      <xdr:spPr>
        <a:xfrm>
          <a:off x="7483928" y="1619249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609600</xdr:colOff>
      <xdr:row>48</xdr:row>
      <xdr:rowOff>157842</xdr:rowOff>
    </xdr:from>
    <xdr:to>
      <xdr:col>11</xdr:col>
      <xdr:colOff>103415</xdr:colOff>
      <xdr:row>49</xdr:row>
      <xdr:rowOff>43542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786F0909-F16A-478C-9F8F-BB734B5E723E}"/>
            </a:ext>
          </a:extLst>
        </xdr:cNvPr>
        <xdr:cNvSpPr/>
      </xdr:nvSpPr>
      <xdr:spPr>
        <a:xfrm>
          <a:off x="7467600" y="1796142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609600</xdr:colOff>
      <xdr:row>49</xdr:row>
      <xdr:rowOff>136070</xdr:rowOff>
    </xdr:from>
    <xdr:to>
      <xdr:col>11</xdr:col>
      <xdr:colOff>103415</xdr:colOff>
      <xdr:row>50</xdr:row>
      <xdr:rowOff>21770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A59B7197-9A94-441A-9324-E759AAEFF072}"/>
            </a:ext>
          </a:extLst>
        </xdr:cNvPr>
        <xdr:cNvSpPr/>
      </xdr:nvSpPr>
      <xdr:spPr>
        <a:xfrm>
          <a:off x="7467600" y="1983920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593271</xdr:colOff>
      <xdr:row>50</xdr:row>
      <xdr:rowOff>108856</xdr:rowOff>
    </xdr:from>
    <xdr:to>
      <xdr:col>11</xdr:col>
      <xdr:colOff>87086</xdr:colOff>
      <xdr:row>50</xdr:row>
      <xdr:rowOff>195942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7966B1CE-22CF-49CE-9985-0FA7B4F05D70}"/>
            </a:ext>
          </a:extLst>
        </xdr:cNvPr>
        <xdr:cNvSpPr/>
      </xdr:nvSpPr>
      <xdr:spPr>
        <a:xfrm>
          <a:off x="7451271" y="216625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604157</xdr:colOff>
      <xdr:row>51</xdr:row>
      <xdr:rowOff>97970</xdr:rowOff>
    </xdr:from>
    <xdr:to>
      <xdr:col>11</xdr:col>
      <xdr:colOff>97972</xdr:colOff>
      <xdr:row>51</xdr:row>
      <xdr:rowOff>185056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707DE8FD-E32F-420A-8784-44A5301F4D3B}"/>
            </a:ext>
          </a:extLst>
        </xdr:cNvPr>
        <xdr:cNvSpPr/>
      </xdr:nvSpPr>
      <xdr:spPr>
        <a:xfrm>
          <a:off x="7462157" y="2364920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604157</xdr:colOff>
      <xdr:row>52</xdr:row>
      <xdr:rowOff>76198</xdr:rowOff>
    </xdr:from>
    <xdr:to>
      <xdr:col>11</xdr:col>
      <xdr:colOff>97972</xdr:colOff>
      <xdr:row>52</xdr:row>
      <xdr:rowOff>163284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AE99167-CDE9-47AB-8285-18831B22BE90}"/>
            </a:ext>
          </a:extLst>
        </xdr:cNvPr>
        <xdr:cNvSpPr/>
      </xdr:nvSpPr>
      <xdr:spPr>
        <a:xfrm>
          <a:off x="7462157" y="2543173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10</xdr:col>
      <xdr:colOff>587828</xdr:colOff>
      <xdr:row>53</xdr:row>
      <xdr:rowOff>48984</xdr:rowOff>
    </xdr:from>
    <xdr:to>
      <xdr:col>11</xdr:col>
      <xdr:colOff>81643</xdr:colOff>
      <xdr:row>53</xdr:row>
      <xdr:rowOff>136070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7857538D-2B0B-4973-970A-8E3A6CB8388D}"/>
            </a:ext>
          </a:extLst>
        </xdr:cNvPr>
        <xdr:cNvSpPr/>
      </xdr:nvSpPr>
      <xdr:spPr>
        <a:xfrm>
          <a:off x="7445828" y="271598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418367</xdr:colOff>
      <xdr:row>51</xdr:row>
      <xdr:rowOff>109903</xdr:rowOff>
    </xdr:from>
    <xdr:to>
      <xdr:col>17</xdr:col>
      <xdr:colOff>275492</xdr:colOff>
      <xdr:row>53</xdr:row>
      <xdr:rowOff>183905</xdr:rowOff>
    </xdr:to>
    <xdr:sp macro="" textlink="">
      <xdr:nvSpPr>
        <xdr:cNvPr id="168" name="Isosceles Triangle 1">
          <a:extLst>
            <a:ext uri="{FF2B5EF4-FFF2-40B4-BE49-F238E27FC236}">
              <a16:creationId xmlns:a16="http://schemas.microsoft.com/office/drawing/2014/main" id="{41391982-74C0-45BE-9374-C9E1EAFCFD34}"/>
            </a:ext>
          </a:extLst>
        </xdr:cNvPr>
        <xdr:cNvSpPr/>
      </xdr:nvSpPr>
      <xdr:spPr>
        <a:xfrm>
          <a:off x="1789967" y="2376853"/>
          <a:ext cx="542925" cy="474052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564173</xdr:colOff>
      <xdr:row>52</xdr:row>
      <xdr:rowOff>65942</xdr:rowOff>
    </xdr:from>
    <xdr:ext cx="265522" cy="311496"/>
    <xdr:sp macro="" textlink="">
      <xdr:nvSpPr>
        <xdr:cNvPr id="169" name="TextBox 2">
          <a:extLst>
            <a:ext uri="{FF2B5EF4-FFF2-40B4-BE49-F238E27FC236}">
              <a16:creationId xmlns:a16="http://schemas.microsoft.com/office/drawing/2014/main" id="{407BCB6A-C1CE-4310-A375-7BDDCF251056}"/>
            </a:ext>
          </a:extLst>
        </xdr:cNvPr>
        <xdr:cNvSpPr txBox="1"/>
      </xdr:nvSpPr>
      <xdr:spPr>
        <a:xfrm>
          <a:off x="1935773" y="2532917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17</xdr:col>
      <xdr:colOff>0</xdr:colOff>
      <xdr:row>45</xdr:row>
      <xdr:rowOff>0</xdr:rowOff>
    </xdr:from>
    <xdr:to>
      <xdr:col>17</xdr:col>
      <xdr:colOff>2565</xdr:colOff>
      <xdr:row>51</xdr:row>
      <xdr:rowOff>109903</xdr:rowOff>
    </xdr:to>
    <xdr:cxnSp macro="">
      <xdr:nvCxnSpPr>
        <xdr:cNvPr id="171" name="Straight Arrow Connector 4">
          <a:extLst>
            <a:ext uri="{FF2B5EF4-FFF2-40B4-BE49-F238E27FC236}">
              <a16:creationId xmlns:a16="http://schemas.microsoft.com/office/drawing/2014/main" id="{13128D1A-6589-4D81-BB72-5042728731FD}"/>
            </a:ext>
          </a:extLst>
        </xdr:cNvPr>
        <xdr:cNvCxnSpPr>
          <a:endCxn id="168" idx="0"/>
        </xdr:cNvCxnSpPr>
      </xdr:nvCxnSpPr>
      <xdr:spPr>
        <a:xfrm>
          <a:off x="2057400" y="1019175"/>
          <a:ext cx="2565" cy="1357678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7327</xdr:colOff>
      <xdr:row>57</xdr:row>
      <xdr:rowOff>95250</xdr:rowOff>
    </xdr:from>
    <xdr:to>
      <xdr:col>20</xdr:col>
      <xdr:colOff>14654</xdr:colOff>
      <xdr:row>57</xdr:row>
      <xdr:rowOff>102577</xdr:rowOff>
    </xdr:to>
    <xdr:cxnSp macro="">
      <xdr:nvCxnSpPr>
        <xdr:cNvPr id="172" name="Straight Arrow Connector 5">
          <a:extLst>
            <a:ext uri="{FF2B5EF4-FFF2-40B4-BE49-F238E27FC236}">
              <a16:creationId xmlns:a16="http://schemas.microsoft.com/office/drawing/2014/main" id="{BFE02C2F-4CCC-4D10-A14B-C22C68A72F43}"/>
            </a:ext>
          </a:extLst>
        </xdr:cNvPr>
        <xdr:cNvCxnSpPr/>
      </xdr:nvCxnSpPr>
      <xdr:spPr>
        <a:xfrm flipV="1">
          <a:off x="2750527" y="3571875"/>
          <a:ext cx="1378927" cy="732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</xdr:colOff>
      <xdr:row>57</xdr:row>
      <xdr:rowOff>93784</xdr:rowOff>
    </xdr:from>
    <xdr:to>
      <xdr:col>24</xdr:col>
      <xdr:colOff>5443</xdr:colOff>
      <xdr:row>57</xdr:row>
      <xdr:rowOff>103415</xdr:rowOff>
    </xdr:to>
    <xdr:cxnSp macro="">
      <xdr:nvCxnSpPr>
        <xdr:cNvPr id="174" name="Straight Arrow Connector 8">
          <a:extLst>
            <a:ext uri="{FF2B5EF4-FFF2-40B4-BE49-F238E27FC236}">
              <a16:creationId xmlns:a16="http://schemas.microsoft.com/office/drawing/2014/main" id="{27858644-C979-4D49-A1B2-9782ABABE3A6}"/>
            </a:ext>
          </a:extLst>
        </xdr:cNvPr>
        <xdr:cNvCxnSpPr/>
      </xdr:nvCxnSpPr>
      <xdr:spPr>
        <a:xfrm>
          <a:off x="5487865" y="3570409"/>
          <a:ext cx="1375578" cy="963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416902</xdr:colOff>
      <xdr:row>53</xdr:row>
      <xdr:rowOff>93784</xdr:rowOff>
    </xdr:from>
    <xdr:to>
      <xdr:col>19</xdr:col>
      <xdr:colOff>274026</xdr:colOff>
      <xdr:row>55</xdr:row>
      <xdr:rowOff>167786</xdr:rowOff>
    </xdr:to>
    <xdr:sp macro="" textlink="">
      <xdr:nvSpPr>
        <xdr:cNvPr id="175" name="Isosceles Triangle 9">
          <a:extLst>
            <a:ext uri="{FF2B5EF4-FFF2-40B4-BE49-F238E27FC236}">
              <a16:creationId xmlns:a16="http://schemas.microsoft.com/office/drawing/2014/main" id="{984A2A03-C7FA-45E9-B4F6-BD19012E5FDA}"/>
            </a:ext>
          </a:extLst>
        </xdr:cNvPr>
        <xdr:cNvSpPr/>
      </xdr:nvSpPr>
      <xdr:spPr>
        <a:xfrm>
          <a:off x="3160102" y="2760784"/>
          <a:ext cx="542924" cy="483577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18</xdr:col>
      <xdr:colOff>562708</xdr:colOff>
      <xdr:row>54</xdr:row>
      <xdr:rowOff>49823</xdr:rowOff>
    </xdr:from>
    <xdr:ext cx="265522" cy="311496"/>
    <xdr:sp macro="" textlink="">
      <xdr:nvSpPr>
        <xdr:cNvPr id="176" name="TextBox 10">
          <a:extLst>
            <a:ext uri="{FF2B5EF4-FFF2-40B4-BE49-F238E27FC236}">
              <a16:creationId xmlns:a16="http://schemas.microsoft.com/office/drawing/2014/main" id="{4F273168-8104-46C9-86BC-11D7D07712AD}"/>
            </a:ext>
          </a:extLst>
        </xdr:cNvPr>
        <xdr:cNvSpPr txBox="1"/>
      </xdr:nvSpPr>
      <xdr:spPr>
        <a:xfrm>
          <a:off x="3305908" y="2916848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24</xdr:col>
      <xdr:colOff>422763</xdr:colOff>
      <xdr:row>54</xdr:row>
      <xdr:rowOff>99646</xdr:rowOff>
    </xdr:from>
    <xdr:to>
      <xdr:col>25</xdr:col>
      <xdr:colOff>279888</xdr:colOff>
      <xdr:row>56</xdr:row>
      <xdr:rowOff>173648</xdr:rowOff>
    </xdr:to>
    <xdr:sp macro="" textlink="">
      <xdr:nvSpPr>
        <xdr:cNvPr id="177" name="Isosceles Triangle 11">
          <a:extLst>
            <a:ext uri="{FF2B5EF4-FFF2-40B4-BE49-F238E27FC236}">
              <a16:creationId xmlns:a16="http://schemas.microsoft.com/office/drawing/2014/main" id="{1129F984-3196-42BD-A3E6-B5FA5206EE5C}"/>
            </a:ext>
          </a:extLst>
        </xdr:cNvPr>
        <xdr:cNvSpPr/>
      </xdr:nvSpPr>
      <xdr:spPr>
        <a:xfrm>
          <a:off x="7280763" y="2966671"/>
          <a:ext cx="542925" cy="483577"/>
        </a:xfrm>
        <a:prstGeom prst="triangl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 b="1">
            <a:solidFill>
              <a:schemeClr val="tx1"/>
            </a:solidFill>
          </a:endParaRPr>
        </a:p>
      </xdr:txBody>
    </xdr:sp>
    <xdr:clientData/>
  </xdr:twoCellAnchor>
  <xdr:oneCellAnchor>
    <xdr:from>
      <xdr:col>24</xdr:col>
      <xdr:colOff>568569</xdr:colOff>
      <xdr:row>55</xdr:row>
      <xdr:rowOff>55685</xdr:rowOff>
    </xdr:from>
    <xdr:ext cx="265522" cy="311496"/>
    <xdr:sp macro="" textlink="">
      <xdr:nvSpPr>
        <xdr:cNvPr id="178" name="TextBox 12">
          <a:extLst>
            <a:ext uri="{FF2B5EF4-FFF2-40B4-BE49-F238E27FC236}">
              <a16:creationId xmlns:a16="http://schemas.microsoft.com/office/drawing/2014/main" id="{9B35153F-C63F-4513-A691-6CDBE1C96BE5}"/>
            </a:ext>
          </a:extLst>
        </xdr:cNvPr>
        <xdr:cNvSpPr txBox="1"/>
      </xdr:nvSpPr>
      <xdr:spPr>
        <a:xfrm>
          <a:off x="7426569" y="3132260"/>
          <a:ext cx="26552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400" b="1"/>
            <a:t>T</a:t>
          </a:r>
        </a:p>
      </xdr:txBody>
    </xdr:sp>
    <xdr:clientData/>
  </xdr:oneCellAnchor>
  <xdr:twoCellAnchor>
    <xdr:from>
      <xdr:col>24</xdr:col>
      <xdr:colOff>688730</xdr:colOff>
      <xdr:row>45</xdr:row>
      <xdr:rowOff>7327</xdr:rowOff>
    </xdr:from>
    <xdr:to>
      <xdr:col>25</xdr:col>
      <xdr:colOff>6961</xdr:colOff>
      <xdr:row>54</xdr:row>
      <xdr:rowOff>99646</xdr:rowOff>
    </xdr:to>
    <xdr:cxnSp macro="">
      <xdr:nvCxnSpPr>
        <xdr:cNvPr id="179" name="Straight Arrow Connector 13">
          <a:extLst>
            <a:ext uri="{FF2B5EF4-FFF2-40B4-BE49-F238E27FC236}">
              <a16:creationId xmlns:a16="http://schemas.microsoft.com/office/drawing/2014/main" id="{1B2C30DC-54EB-4D25-AAEF-F9C65CE30F7C}"/>
            </a:ext>
          </a:extLst>
        </xdr:cNvPr>
        <xdr:cNvCxnSpPr>
          <a:stCxn id="177" idx="0"/>
        </xdr:cNvCxnSpPr>
      </xdr:nvCxnSpPr>
      <xdr:spPr>
        <a:xfrm flipH="1" flipV="1">
          <a:off x="7546730" y="1026502"/>
          <a:ext cx="4031" cy="194016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65</xdr:row>
      <xdr:rowOff>57979</xdr:rowOff>
    </xdr:from>
    <xdr:to>
      <xdr:col>18</xdr:col>
      <xdr:colOff>8283</xdr:colOff>
      <xdr:row>65</xdr:row>
      <xdr:rowOff>57979</xdr:rowOff>
    </xdr:to>
    <xdr:cxnSp macro="">
      <xdr:nvCxnSpPr>
        <xdr:cNvPr id="180" name="Straight Connector 18">
          <a:extLst>
            <a:ext uri="{FF2B5EF4-FFF2-40B4-BE49-F238E27FC236}">
              <a16:creationId xmlns:a16="http://schemas.microsoft.com/office/drawing/2014/main" id="{0A03AA28-4D7B-409D-9E35-BA360557F753}"/>
            </a:ext>
          </a:extLst>
        </xdr:cNvPr>
        <xdr:cNvCxnSpPr/>
      </xdr:nvCxnSpPr>
      <xdr:spPr>
        <a:xfrm>
          <a:off x="1371600" y="5191954"/>
          <a:ext cx="137988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8283</xdr:colOff>
      <xdr:row>64</xdr:row>
      <xdr:rowOff>86449</xdr:rowOff>
    </xdr:from>
    <xdr:to>
      <xdr:col>18</xdr:col>
      <xdr:colOff>8283</xdr:colOff>
      <xdr:row>65</xdr:row>
      <xdr:rowOff>61602</xdr:rowOff>
    </xdr:to>
    <xdr:cxnSp macro="">
      <xdr:nvCxnSpPr>
        <xdr:cNvPr id="181" name="Straight Connector 20">
          <a:extLst>
            <a:ext uri="{FF2B5EF4-FFF2-40B4-BE49-F238E27FC236}">
              <a16:creationId xmlns:a16="http://schemas.microsoft.com/office/drawing/2014/main" id="{F0B67DF4-A951-497A-A434-5CCE4FE1A96F}"/>
            </a:ext>
          </a:extLst>
        </xdr:cNvPr>
        <xdr:cNvCxnSpPr/>
      </xdr:nvCxnSpPr>
      <xdr:spPr>
        <a:xfrm flipV="1">
          <a:off x="2751483" y="5020399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1813</xdr:colOff>
      <xdr:row>64</xdr:row>
      <xdr:rowOff>88261</xdr:rowOff>
    </xdr:from>
    <xdr:to>
      <xdr:col>20</xdr:col>
      <xdr:colOff>1813</xdr:colOff>
      <xdr:row>65</xdr:row>
      <xdr:rowOff>63414</xdr:rowOff>
    </xdr:to>
    <xdr:cxnSp macro="">
      <xdr:nvCxnSpPr>
        <xdr:cNvPr id="182" name="Straight Connector 21">
          <a:extLst>
            <a:ext uri="{FF2B5EF4-FFF2-40B4-BE49-F238E27FC236}">
              <a16:creationId xmlns:a16="http://schemas.microsoft.com/office/drawing/2014/main" id="{A23DFC18-3F57-4C5D-882F-BFE480EFAF4A}"/>
            </a:ext>
          </a:extLst>
        </xdr:cNvPr>
        <xdr:cNvCxnSpPr/>
      </xdr:nvCxnSpPr>
      <xdr:spPr>
        <a:xfrm flipV="1">
          <a:off x="4116613" y="5022211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678398</xdr:colOff>
      <xdr:row>65</xdr:row>
      <xdr:rowOff>62119</xdr:rowOff>
    </xdr:from>
    <xdr:to>
      <xdr:col>22</xdr:col>
      <xdr:colOff>2072</xdr:colOff>
      <xdr:row>65</xdr:row>
      <xdr:rowOff>62119</xdr:rowOff>
    </xdr:to>
    <xdr:cxnSp macro="">
      <xdr:nvCxnSpPr>
        <xdr:cNvPr id="183" name="Straight Connector 22">
          <a:extLst>
            <a:ext uri="{FF2B5EF4-FFF2-40B4-BE49-F238E27FC236}">
              <a16:creationId xmlns:a16="http://schemas.microsoft.com/office/drawing/2014/main" id="{43D0D28A-DAAD-4C9A-B521-66BFFDFA9801}"/>
            </a:ext>
          </a:extLst>
        </xdr:cNvPr>
        <xdr:cNvCxnSpPr/>
      </xdr:nvCxnSpPr>
      <xdr:spPr>
        <a:xfrm>
          <a:off x="4107398" y="5196094"/>
          <a:ext cx="1381074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64</xdr:row>
      <xdr:rowOff>89298</xdr:rowOff>
    </xdr:from>
    <xdr:to>
      <xdr:col>20</xdr:col>
      <xdr:colOff>8284</xdr:colOff>
      <xdr:row>64</xdr:row>
      <xdr:rowOff>89298</xdr:rowOff>
    </xdr:to>
    <xdr:cxnSp macro="">
      <xdr:nvCxnSpPr>
        <xdr:cNvPr id="184" name="Straight Connector 23">
          <a:extLst>
            <a:ext uri="{FF2B5EF4-FFF2-40B4-BE49-F238E27FC236}">
              <a16:creationId xmlns:a16="http://schemas.microsoft.com/office/drawing/2014/main" id="{365B70D5-4C1F-49D4-937F-053599C6072A}"/>
            </a:ext>
          </a:extLst>
        </xdr:cNvPr>
        <xdr:cNvCxnSpPr/>
      </xdr:nvCxnSpPr>
      <xdr:spPr>
        <a:xfrm>
          <a:off x="2743200" y="5023248"/>
          <a:ext cx="1379884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678088</xdr:colOff>
      <xdr:row>64</xdr:row>
      <xdr:rowOff>91833</xdr:rowOff>
    </xdr:from>
    <xdr:to>
      <xdr:col>21</xdr:col>
      <xdr:colOff>678088</xdr:colOff>
      <xdr:row>65</xdr:row>
      <xdr:rowOff>66986</xdr:rowOff>
    </xdr:to>
    <xdr:cxnSp macro="">
      <xdr:nvCxnSpPr>
        <xdr:cNvPr id="185" name="Straight Connector 24">
          <a:extLst>
            <a:ext uri="{FF2B5EF4-FFF2-40B4-BE49-F238E27FC236}">
              <a16:creationId xmlns:a16="http://schemas.microsoft.com/office/drawing/2014/main" id="{58E91D42-EB65-46CA-857F-7838C9F28CC8}"/>
            </a:ext>
          </a:extLst>
        </xdr:cNvPr>
        <xdr:cNvCxnSpPr/>
      </xdr:nvCxnSpPr>
      <xdr:spPr>
        <a:xfrm flipV="1">
          <a:off x="5478688" y="5025783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5953</xdr:colOff>
      <xdr:row>64</xdr:row>
      <xdr:rowOff>89297</xdr:rowOff>
    </xdr:from>
    <xdr:to>
      <xdr:col>16</xdr:col>
      <xdr:colOff>5953</xdr:colOff>
      <xdr:row>65</xdr:row>
      <xdr:rowOff>64450</xdr:rowOff>
    </xdr:to>
    <xdr:cxnSp macro="">
      <xdr:nvCxnSpPr>
        <xdr:cNvPr id="186" name="Straight Connector 25">
          <a:extLst>
            <a:ext uri="{FF2B5EF4-FFF2-40B4-BE49-F238E27FC236}">
              <a16:creationId xmlns:a16="http://schemas.microsoft.com/office/drawing/2014/main" id="{817AD842-FDC7-4CED-A62E-6CB4B0188E21}"/>
            </a:ext>
          </a:extLst>
        </xdr:cNvPr>
        <xdr:cNvCxnSpPr/>
      </xdr:nvCxnSpPr>
      <xdr:spPr>
        <a:xfrm flipV="1">
          <a:off x="1377553" y="5023247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</xdr:colOff>
      <xdr:row>64</xdr:row>
      <xdr:rowOff>89297</xdr:rowOff>
    </xdr:from>
    <xdr:to>
      <xdr:col>16</xdr:col>
      <xdr:colOff>10966</xdr:colOff>
      <xdr:row>64</xdr:row>
      <xdr:rowOff>90237</xdr:rowOff>
    </xdr:to>
    <xdr:cxnSp macro="">
      <xdr:nvCxnSpPr>
        <xdr:cNvPr id="187" name="Straight Connector 26">
          <a:extLst>
            <a:ext uri="{FF2B5EF4-FFF2-40B4-BE49-F238E27FC236}">
              <a16:creationId xmlns:a16="http://schemas.microsoft.com/office/drawing/2014/main" id="{AF53675F-3EDF-48B2-A37D-669C78235761}"/>
            </a:ext>
          </a:extLst>
        </xdr:cNvPr>
        <xdr:cNvCxnSpPr/>
      </xdr:nvCxnSpPr>
      <xdr:spPr>
        <a:xfrm flipV="1">
          <a:off x="695826" y="5023247"/>
          <a:ext cx="686740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671764</xdr:colOff>
      <xdr:row>64</xdr:row>
      <xdr:rowOff>100263</xdr:rowOff>
    </xdr:from>
    <xdr:to>
      <xdr:col>22</xdr:col>
      <xdr:colOff>672703</xdr:colOff>
      <xdr:row>64</xdr:row>
      <xdr:rowOff>101203</xdr:rowOff>
    </xdr:to>
    <xdr:cxnSp macro="">
      <xdr:nvCxnSpPr>
        <xdr:cNvPr id="188" name="Straight Connector 29">
          <a:extLst>
            <a:ext uri="{FF2B5EF4-FFF2-40B4-BE49-F238E27FC236}">
              <a16:creationId xmlns:a16="http://schemas.microsoft.com/office/drawing/2014/main" id="{C883A253-9BE8-4CBB-9EE4-9962E4DDA5AD}"/>
            </a:ext>
          </a:extLst>
        </xdr:cNvPr>
        <xdr:cNvCxnSpPr/>
      </xdr:nvCxnSpPr>
      <xdr:spPr>
        <a:xfrm flipV="1">
          <a:off x="5472364" y="5034213"/>
          <a:ext cx="686739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5953</xdr:colOff>
      <xdr:row>64</xdr:row>
      <xdr:rowOff>89297</xdr:rowOff>
    </xdr:from>
    <xdr:to>
      <xdr:col>20</xdr:col>
      <xdr:colOff>5953</xdr:colOff>
      <xdr:row>65</xdr:row>
      <xdr:rowOff>64450</xdr:rowOff>
    </xdr:to>
    <xdr:cxnSp macro="">
      <xdr:nvCxnSpPr>
        <xdr:cNvPr id="189" name="Straight Connector 30">
          <a:extLst>
            <a:ext uri="{FF2B5EF4-FFF2-40B4-BE49-F238E27FC236}">
              <a16:creationId xmlns:a16="http://schemas.microsoft.com/office/drawing/2014/main" id="{0EDAAE16-BE2F-4D92-8999-3445EE972F3E}"/>
            </a:ext>
          </a:extLst>
        </xdr:cNvPr>
        <xdr:cNvCxnSpPr/>
      </xdr:nvCxnSpPr>
      <xdr:spPr>
        <a:xfrm flipV="1">
          <a:off x="4120753" y="5023247"/>
          <a:ext cx="0" cy="17517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10026</xdr:colOff>
      <xdr:row>64</xdr:row>
      <xdr:rowOff>89297</xdr:rowOff>
    </xdr:from>
    <xdr:to>
      <xdr:col>20</xdr:col>
      <xdr:colOff>10966</xdr:colOff>
      <xdr:row>64</xdr:row>
      <xdr:rowOff>90237</xdr:rowOff>
    </xdr:to>
    <xdr:cxnSp macro="">
      <xdr:nvCxnSpPr>
        <xdr:cNvPr id="190" name="Straight Connector 31">
          <a:extLst>
            <a:ext uri="{FF2B5EF4-FFF2-40B4-BE49-F238E27FC236}">
              <a16:creationId xmlns:a16="http://schemas.microsoft.com/office/drawing/2014/main" id="{D1E0EDEE-FB2D-449F-81E8-A79E8EE82046}"/>
            </a:ext>
          </a:extLst>
        </xdr:cNvPr>
        <xdr:cNvCxnSpPr/>
      </xdr:nvCxnSpPr>
      <xdr:spPr>
        <a:xfrm flipV="1">
          <a:off x="3439026" y="5023247"/>
          <a:ext cx="686740" cy="94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525116</xdr:colOff>
      <xdr:row>56</xdr:row>
      <xdr:rowOff>141287</xdr:rowOff>
    </xdr:from>
    <xdr:to>
      <xdr:col>17</xdr:col>
      <xdr:colOff>132186</xdr:colOff>
      <xdr:row>58</xdr:row>
      <xdr:rowOff>28162</xdr:rowOff>
    </xdr:to>
    <xdr:sp macro="" textlink="">
      <xdr:nvSpPr>
        <xdr:cNvPr id="191" name="Flowchart: Connector 34">
          <a:extLst>
            <a:ext uri="{FF2B5EF4-FFF2-40B4-BE49-F238E27FC236}">
              <a16:creationId xmlns:a16="http://schemas.microsoft.com/office/drawing/2014/main" id="{5E96D4AB-2C29-4826-BD27-474D94EAB936}"/>
            </a:ext>
          </a:extLst>
        </xdr:cNvPr>
        <xdr:cNvSpPr/>
      </xdr:nvSpPr>
      <xdr:spPr>
        <a:xfrm>
          <a:off x="1896716" y="3417887"/>
          <a:ext cx="292870" cy="286925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425727</xdr:colOff>
      <xdr:row>56</xdr:row>
      <xdr:rowOff>1</xdr:rowOff>
    </xdr:from>
    <xdr:to>
      <xdr:col>17</xdr:col>
      <xdr:colOff>231913</xdr:colOff>
      <xdr:row>58</xdr:row>
      <xdr:rowOff>77857</xdr:rowOff>
    </xdr:to>
    <xdr:sp macro="" textlink="">
      <xdr:nvSpPr>
        <xdr:cNvPr id="192" name="Arc 35">
          <a:extLst>
            <a:ext uri="{FF2B5EF4-FFF2-40B4-BE49-F238E27FC236}">
              <a16:creationId xmlns:a16="http://schemas.microsoft.com/office/drawing/2014/main" id="{8A72F134-210C-49DD-8CE4-0F5EC986D396}"/>
            </a:ext>
          </a:extLst>
        </xdr:cNvPr>
        <xdr:cNvSpPr/>
      </xdr:nvSpPr>
      <xdr:spPr>
        <a:xfrm>
          <a:off x="1797327" y="3276601"/>
          <a:ext cx="491986" cy="477906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20</xdr:col>
      <xdr:colOff>538368</xdr:colOff>
      <xdr:row>56</xdr:row>
      <xdr:rowOff>124720</xdr:rowOff>
    </xdr:from>
    <xdr:to>
      <xdr:col>21</xdr:col>
      <xdr:colOff>145438</xdr:colOff>
      <xdr:row>58</xdr:row>
      <xdr:rowOff>11595</xdr:rowOff>
    </xdr:to>
    <xdr:sp macro="" textlink="">
      <xdr:nvSpPr>
        <xdr:cNvPr id="193" name="Flowchart: Connector 36">
          <a:extLst>
            <a:ext uri="{FF2B5EF4-FFF2-40B4-BE49-F238E27FC236}">
              <a16:creationId xmlns:a16="http://schemas.microsoft.com/office/drawing/2014/main" id="{89CEEFE8-4BB2-430B-BECA-F98D83107C5B}"/>
            </a:ext>
          </a:extLst>
        </xdr:cNvPr>
        <xdr:cNvSpPr/>
      </xdr:nvSpPr>
      <xdr:spPr>
        <a:xfrm>
          <a:off x="4653168" y="3401320"/>
          <a:ext cx="292870" cy="286925"/>
        </a:xfrm>
        <a:prstGeom prst="flowChartConnector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20</xdr:col>
      <xdr:colOff>438979</xdr:colOff>
      <xdr:row>55</xdr:row>
      <xdr:rowOff>190499</xdr:rowOff>
    </xdr:from>
    <xdr:to>
      <xdr:col>21</xdr:col>
      <xdr:colOff>245165</xdr:colOff>
      <xdr:row>58</xdr:row>
      <xdr:rowOff>61290</xdr:rowOff>
    </xdr:to>
    <xdr:sp macro="" textlink="">
      <xdr:nvSpPr>
        <xdr:cNvPr id="194" name="Arc 37">
          <a:extLst>
            <a:ext uri="{FF2B5EF4-FFF2-40B4-BE49-F238E27FC236}">
              <a16:creationId xmlns:a16="http://schemas.microsoft.com/office/drawing/2014/main" id="{DED0D85F-F5ED-4204-AAA0-8511BB6CD545}"/>
            </a:ext>
          </a:extLst>
        </xdr:cNvPr>
        <xdr:cNvSpPr/>
      </xdr:nvSpPr>
      <xdr:spPr>
        <a:xfrm>
          <a:off x="4553779" y="3267074"/>
          <a:ext cx="491986" cy="470866"/>
        </a:xfrm>
        <a:prstGeom prst="arc">
          <a:avLst>
            <a:gd name="adj1" fmla="val 2589112"/>
            <a:gd name="adj2" fmla="val 8420389"/>
          </a:avLst>
        </a:prstGeom>
        <a:ln w="285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273326</xdr:colOff>
      <xdr:row>56</xdr:row>
      <xdr:rowOff>115957</xdr:rowOff>
    </xdr:from>
    <xdr:to>
      <xdr:col>16</xdr:col>
      <xdr:colOff>637761</xdr:colOff>
      <xdr:row>58</xdr:row>
      <xdr:rowOff>132522</xdr:rowOff>
    </xdr:to>
    <xdr:sp macro="" textlink="">
      <xdr:nvSpPr>
        <xdr:cNvPr id="195" name="TextBox 38">
          <a:extLst>
            <a:ext uri="{FF2B5EF4-FFF2-40B4-BE49-F238E27FC236}">
              <a16:creationId xmlns:a16="http://schemas.microsoft.com/office/drawing/2014/main" id="{F0BBE125-9193-4820-B7A1-9FBCD2DF5E3C}"/>
            </a:ext>
          </a:extLst>
        </xdr:cNvPr>
        <xdr:cNvSpPr txBox="1"/>
      </xdr:nvSpPr>
      <xdr:spPr>
        <a:xfrm>
          <a:off x="1644926" y="3392557"/>
          <a:ext cx="364435" cy="41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1</a:t>
          </a:r>
        </a:p>
      </xdr:txBody>
    </xdr:sp>
    <xdr:clientData/>
  </xdr:twoCellAnchor>
  <xdr:twoCellAnchor>
    <xdr:from>
      <xdr:col>20</xdr:col>
      <xdr:colOff>265044</xdr:colOff>
      <xdr:row>56</xdr:row>
      <xdr:rowOff>115957</xdr:rowOff>
    </xdr:from>
    <xdr:to>
      <xdr:col>20</xdr:col>
      <xdr:colOff>629479</xdr:colOff>
      <xdr:row>58</xdr:row>
      <xdr:rowOff>132522</xdr:rowOff>
    </xdr:to>
    <xdr:sp macro="" textlink="">
      <xdr:nvSpPr>
        <xdr:cNvPr id="196" name="TextBox 39">
          <a:extLst>
            <a:ext uri="{FF2B5EF4-FFF2-40B4-BE49-F238E27FC236}">
              <a16:creationId xmlns:a16="http://schemas.microsoft.com/office/drawing/2014/main" id="{3ACE94A6-5996-4B1D-8F66-1F55FA6ABC7A}"/>
            </a:ext>
          </a:extLst>
        </xdr:cNvPr>
        <xdr:cNvSpPr txBox="1"/>
      </xdr:nvSpPr>
      <xdr:spPr>
        <a:xfrm>
          <a:off x="4379844" y="3392557"/>
          <a:ext cx="364435" cy="416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/>
            <a:t>9</a:t>
          </a:r>
        </a:p>
      </xdr:txBody>
    </xdr:sp>
    <xdr:clientData/>
  </xdr:twoCellAnchor>
  <xdr:twoCellAnchor>
    <xdr:from>
      <xdr:col>18</xdr:col>
      <xdr:colOff>97972</xdr:colOff>
      <xdr:row>57</xdr:row>
      <xdr:rowOff>21772</xdr:rowOff>
    </xdr:from>
    <xdr:to>
      <xdr:col>18</xdr:col>
      <xdr:colOff>163286</xdr:colOff>
      <xdr:row>57</xdr:row>
      <xdr:rowOff>174172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88723E47-D871-47B4-9E73-3294278D5504}"/>
            </a:ext>
          </a:extLst>
        </xdr:cNvPr>
        <xdr:cNvSpPr/>
      </xdr:nvSpPr>
      <xdr:spPr>
        <a:xfrm>
          <a:off x="2841172" y="3498397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18</xdr:col>
      <xdr:colOff>250371</xdr:colOff>
      <xdr:row>57</xdr:row>
      <xdr:rowOff>38100</xdr:rowOff>
    </xdr:from>
    <xdr:to>
      <xdr:col>18</xdr:col>
      <xdr:colOff>315685</xdr:colOff>
      <xdr:row>57</xdr:row>
      <xdr:rowOff>190500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155C4F38-9D7A-4DA9-819C-B64D09321AEC}"/>
            </a:ext>
          </a:extLst>
        </xdr:cNvPr>
        <xdr:cNvSpPr/>
      </xdr:nvSpPr>
      <xdr:spPr>
        <a:xfrm>
          <a:off x="2993571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18</xdr:col>
      <xdr:colOff>408215</xdr:colOff>
      <xdr:row>57</xdr:row>
      <xdr:rowOff>38100</xdr:rowOff>
    </xdr:from>
    <xdr:to>
      <xdr:col>18</xdr:col>
      <xdr:colOff>473529</xdr:colOff>
      <xdr:row>57</xdr:row>
      <xdr:rowOff>190500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A8FD360E-5978-48D4-BE9F-D74192EA5F19}"/>
            </a:ext>
          </a:extLst>
        </xdr:cNvPr>
        <xdr:cNvSpPr/>
      </xdr:nvSpPr>
      <xdr:spPr>
        <a:xfrm>
          <a:off x="3151415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18</xdr:col>
      <xdr:colOff>576943</xdr:colOff>
      <xdr:row>57</xdr:row>
      <xdr:rowOff>43543</xdr:rowOff>
    </xdr:from>
    <xdr:to>
      <xdr:col>18</xdr:col>
      <xdr:colOff>642257</xdr:colOff>
      <xdr:row>57</xdr:row>
      <xdr:rowOff>195943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E9EEF878-CC72-43C8-BA02-CEF223D03791}"/>
            </a:ext>
          </a:extLst>
        </xdr:cNvPr>
        <xdr:cNvSpPr/>
      </xdr:nvSpPr>
      <xdr:spPr>
        <a:xfrm>
          <a:off x="3320143" y="3520168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38100</xdr:colOff>
      <xdr:row>57</xdr:row>
      <xdr:rowOff>38100</xdr:rowOff>
    </xdr:from>
    <xdr:to>
      <xdr:col>19</xdr:col>
      <xdr:colOff>103414</xdr:colOff>
      <xdr:row>57</xdr:row>
      <xdr:rowOff>190500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12F579B0-3A42-4A03-8D02-95EDB5DFC3C5}"/>
            </a:ext>
          </a:extLst>
        </xdr:cNvPr>
        <xdr:cNvSpPr/>
      </xdr:nvSpPr>
      <xdr:spPr>
        <a:xfrm>
          <a:off x="3467100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190500</xdr:colOff>
      <xdr:row>57</xdr:row>
      <xdr:rowOff>38100</xdr:rowOff>
    </xdr:from>
    <xdr:to>
      <xdr:col>19</xdr:col>
      <xdr:colOff>255814</xdr:colOff>
      <xdr:row>57</xdr:row>
      <xdr:rowOff>190500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4752DEB6-C235-449A-81C7-E99634CB6654}"/>
            </a:ext>
          </a:extLst>
        </xdr:cNvPr>
        <xdr:cNvSpPr/>
      </xdr:nvSpPr>
      <xdr:spPr>
        <a:xfrm>
          <a:off x="3619500" y="3514725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19</xdr:col>
      <xdr:colOff>359228</xdr:colOff>
      <xdr:row>57</xdr:row>
      <xdr:rowOff>21771</xdr:rowOff>
    </xdr:from>
    <xdr:to>
      <xdr:col>19</xdr:col>
      <xdr:colOff>424542</xdr:colOff>
      <xdr:row>57</xdr:row>
      <xdr:rowOff>174171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7E62C3F0-2705-47A8-AEBE-056988C04D8A}"/>
            </a:ext>
          </a:extLst>
        </xdr:cNvPr>
        <xdr:cNvSpPr/>
      </xdr:nvSpPr>
      <xdr:spPr>
        <a:xfrm>
          <a:off x="3788228" y="3498396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76200</xdr:colOff>
      <xdr:row>56</xdr:row>
      <xdr:rowOff>195943</xdr:rowOff>
    </xdr:from>
    <xdr:to>
      <xdr:col>22</xdr:col>
      <xdr:colOff>141514</xdr:colOff>
      <xdr:row>57</xdr:row>
      <xdr:rowOff>146958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4626BE53-34D0-4927-BEA0-197EE533D07F}"/>
            </a:ext>
          </a:extLst>
        </xdr:cNvPr>
        <xdr:cNvSpPr/>
      </xdr:nvSpPr>
      <xdr:spPr>
        <a:xfrm>
          <a:off x="5562600" y="3472543"/>
          <a:ext cx="65314" cy="151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228599</xdr:colOff>
      <xdr:row>57</xdr:row>
      <xdr:rowOff>10886</xdr:rowOff>
    </xdr:from>
    <xdr:to>
      <xdr:col>22</xdr:col>
      <xdr:colOff>293913</xdr:colOff>
      <xdr:row>57</xdr:row>
      <xdr:rowOff>163286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1E994C0A-279F-4749-B34E-0593B3611855}"/>
            </a:ext>
          </a:extLst>
        </xdr:cNvPr>
        <xdr:cNvSpPr/>
      </xdr:nvSpPr>
      <xdr:spPr>
        <a:xfrm>
          <a:off x="5714999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386443</xdr:colOff>
      <xdr:row>57</xdr:row>
      <xdr:rowOff>10886</xdr:rowOff>
    </xdr:from>
    <xdr:to>
      <xdr:col>22</xdr:col>
      <xdr:colOff>451757</xdr:colOff>
      <xdr:row>57</xdr:row>
      <xdr:rowOff>163286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9DFA93BF-8B57-4884-AF2F-1C6CCF3AD6FD}"/>
            </a:ext>
          </a:extLst>
        </xdr:cNvPr>
        <xdr:cNvSpPr/>
      </xdr:nvSpPr>
      <xdr:spPr>
        <a:xfrm>
          <a:off x="5872843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22</xdr:col>
      <xdr:colOff>555171</xdr:colOff>
      <xdr:row>57</xdr:row>
      <xdr:rowOff>16329</xdr:rowOff>
    </xdr:from>
    <xdr:to>
      <xdr:col>22</xdr:col>
      <xdr:colOff>620485</xdr:colOff>
      <xdr:row>57</xdr:row>
      <xdr:rowOff>168729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7364B797-1F47-44E3-B59C-0F82E2D9F7D7}"/>
            </a:ext>
          </a:extLst>
        </xdr:cNvPr>
        <xdr:cNvSpPr/>
      </xdr:nvSpPr>
      <xdr:spPr>
        <a:xfrm>
          <a:off x="6041571" y="3492954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23</xdr:col>
      <xdr:colOff>16328</xdr:colOff>
      <xdr:row>57</xdr:row>
      <xdr:rowOff>10886</xdr:rowOff>
    </xdr:from>
    <xdr:to>
      <xdr:col>23</xdr:col>
      <xdr:colOff>81642</xdr:colOff>
      <xdr:row>57</xdr:row>
      <xdr:rowOff>163286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F3C8C2A-A80A-4B8E-A2F4-E15D4A8CD53B}"/>
            </a:ext>
          </a:extLst>
        </xdr:cNvPr>
        <xdr:cNvSpPr/>
      </xdr:nvSpPr>
      <xdr:spPr>
        <a:xfrm>
          <a:off x="6188528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23</xdr:col>
      <xdr:colOff>168728</xdr:colOff>
      <xdr:row>57</xdr:row>
      <xdr:rowOff>10886</xdr:rowOff>
    </xdr:from>
    <xdr:to>
      <xdr:col>23</xdr:col>
      <xdr:colOff>234042</xdr:colOff>
      <xdr:row>57</xdr:row>
      <xdr:rowOff>163286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3B836C77-A1CB-4AD4-9797-2493EB5FA680}"/>
            </a:ext>
          </a:extLst>
        </xdr:cNvPr>
        <xdr:cNvSpPr/>
      </xdr:nvSpPr>
      <xdr:spPr>
        <a:xfrm>
          <a:off x="6340928" y="3487511"/>
          <a:ext cx="65314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23</xdr:col>
      <xdr:colOff>337456</xdr:colOff>
      <xdr:row>56</xdr:row>
      <xdr:rowOff>195942</xdr:rowOff>
    </xdr:from>
    <xdr:to>
      <xdr:col>23</xdr:col>
      <xdr:colOff>402770</xdr:colOff>
      <xdr:row>57</xdr:row>
      <xdr:rowOff>146957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98D779CF-A279-4469-A7AF-EF0AA4C0E23F}"/>
            </a:ext>
          </a:extLst>
        </xdr:cNvPr>
        <xdr:cNvSpPr/>
      </xdr:nvSpPr>
      <xdr:spPr>
        <a:xfrm>
          <a:off x="6509656" y="3472542"/>
          <a:ext cx="65314" cy="151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593271</xdr:colOff>
      <xdr:row>45</xdr:row>
      <xdr:rowOff>59871</xdr:rowOff>
    </xdr:from>
    <xdr:to>
      <xdr:col>17</xdr:col>
      <xdr:colOff>87086</xdr:colOff>
      <xdr:row>45</xdr:row>
      <xdr:rowOff>146957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7039B6B2-7517-4CED-9515-1BBFF76AE1AE}"/>
            </a:ext>
          </a:extLst>
        </xdr:cNvPr>
        <xdr:cNvSpPr/>
      </xdr:nvSpPr>
      <xdr:spPr>
        <a:xfrm>
          <a:off x="1964871" y="107904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593271</xdr:colOff>
      <xdr:row>46</xdr:row>
      <xdr:rowOff>38099</xdr:rowOff>
    </xdr:from>
    <xdr:to>
      <xdr:col>17</xdr:col>
      <xdr:colOff>87086</xdr:colOff>
      <xdr:row>46</xdr:row>
      <xdr:rowOff>125185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E7820F90-D235-4422-83FB-2C69590E9186}"/>
            </a:ext>
          </a:extLst>
        </xdr:cNvPr>
        <xdr:cNvSpPr/>
      </xdr:nvSpPr>
      <xdr:spPr>
        <a:xfrm>
          <a:off x="1964871" y="126682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604156</xdr:colOff>
      <xdr:row>47</xdr:row>
      <xdr:rowOff>16328</xdr:rowOff>
    </xdr:from>
    <xdr:to>
      <xdr:col>17</xdr:col>
      <xdr:colOff>97971</xdr:colOff>
      <xdr:row>47</xdr:row>
      <xdr:rowOff>103414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9BC7BDF0-6894-4F52-9548-CF70DF1248A5}"/>
            </a:ext>
          </a:extLst>
        </xdr:cNvPr>
        <xdr:cNvSpPr/>
      </xdr:nvSpPr>
      <xdr:spPr>
        <a:xfrm>
          <a:off x="1975756" y="1445078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587828</xdr:colOff>
      <xdr:row>47</xdr:row>
      <xdr:rowOff>185057</xdr:rowOff>
    </xdr:from>
    <xdr:to>
      <xdr:col>17</xdr:col>
      <xdr:colOff>81643</xdr:colOff>
      <xdr:row>48</xdr:row>
      <xdr:rowOff>70757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E413F572-21C6-4FDE-9961-95AC0A732E57}"/>
            </a:ext>
          </a:extLst>
        </xdr:cNvPr>
        <xdr:cNvSpPr/>
      </xdr:nvSpPr>
      <xdr:spPr>
        <a:xfrm>
          <a:off x="1959428" y="1613807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587828</xdr:colOff>
      <xdr:row>48</xdr:row>
      <xdr:rowOff>163285</xdr:rowOff>
    </xdr:from>
    <xdr:to>
      <xdr:col>17</xdr:col>
      <xdr:colOff>81643</xdr:colOff>
      <xdr:row>49</xdr:row>
      <xdr:rowOff>48985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124034F-BE68-4EA1-9FE0-64FB5BCD33CF}"/>
            </a:ext>
          </a:extLst>
        </xdr:cNvPr>
        <xdr:cNvSpPr/>
      </xdr:nvSpPr>
      <xdr:spPr>
        <a:xfrm>
          <a:off x="1959428" y="1801585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16</xdr:col>
      <xdr:colOff>571499</xdr:colOff>
      <xdr:row>49</xdr:row>
      <xdr:rowOff>136071</xdr:rowOff>
    </xdr:from>
    <xdr:to>
      <xdr:col>17</xdr:col>
      <xdr:colOff>65314</xdr:colOff>
      <xdr:row>50</xdr:row>
      <xdr:rowOff>21771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CA45956F-FC02-4B5A-927F-24135530173A}"/>
            </a:ext>
          </a:extLst>
        </xdr:cNvPr>
        <xdr:cNvSpPr/>
      </xdr:nvSpPr>
      <xdr:spPr>
        <a:xfrm>
          <a:off x="1943099" y="1983921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615043</xdr:colOff>
      <xdr:row>46</xdr:row>
      <xdr:rowOff>32656</xdr:rowOff>
    </xdr:from>
    <xdr:to>
      <xdr:col>25</xdr:col>
      <xdr:colOff>108858</xdr:colOff>
      <xdr:row>46</xdr:row>
      <xdr:rowOff>119742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4120B6E8-9C5F-4779-B6F8-1F01D1A7CA84}"/>
            </a:ext>
          </a:extLst>
        </xdr:cNvPr>
        <xdr:cNvSpPr/>
      </xdr:nvSpPr>
      <xdr:spPr>
        <a:xfrm>
          <a:off x="7473043" y="1261381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615043</xdr:colOff>
      <xdr:row>47</xdr:row>
      <xdr:rowOff>10885</xdr:rowOff>
    </xdr:from>
    <xdr:to>
      <xdr:col>25</xdr:col>
      <xdr:colOff>108858</xdr:colOff>
      <xdr:row>47</xdr:row>
      <xdr:rowOff>97971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BDD41C9B-525D-4BEB-B76C-178D006CF708}"/>
            </a:ext>
          </a:extLst>
        </xdr:cNvPr>
        <xdr:cNvSpPr/>
      </xdr:nvSpPr>
      <xdr:spPr>
        <a:xfrm>
          <a:off x="7473043" y="1439635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625928</xdr:colOff>
      <xdr:row>47</xdr:row>
      <xdr:rowOff>190499</xdr:rowOff>
    </xdr:from>
    <xdr:to>
      <xdr:col>25</xdr:col>
      <xdr:colOff>119743</xdr:colOff>
      <xdr:row>48</xdr:row>
      <xdr:rowOff>76199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E7EEC7E6-D76B-4901-B11C-76EAC8A728A1}"/>
            </a:ext>
          </a:extLst>
        </xdr:cNvPr>
        <xdr:cNvSpPr/>
      </xdr:nvSpPr>
      <xdr:spPr>
        <a:xfrm>
          <a:off x="7483928" y="1619249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609600</xdr:colOff>
      <xdr:row>48</xdr:row>
      <xdr:rowOff>157842</xdr:rowOff>
    </xdr:from>
    <xdr:to>
      <xdr:col>25</xdr:col>
      <xdr:colOff>103415</xdr:colOff>
      <xdr:row>49</xdr:row>
      <xdr:rowOff>43542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CD00A263-F8E7-4DAE-963B-BE8A4BAD5163}"/>
            </a:ext>
          </a:extLst>
        </xdr:cNvPr>
        <xdr:cNvSpPr/>
      </xdr:nvSpPr>
      <xdr:spPr>
        <a:xfrm>
          <a:off x="7467600" y="1796142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609600</xdr:colOff>
      <xdr:row>49</xdr:row>
      <xdr:rowOff>136070</xdr:rowOff>
    </xdr:from>
    <xdr:to>
      <xdr:col>25</xdr:col>
      <xdr:colOff>103415</xdr:colOff>
      <xdr:row>50</xdr:row>
      <xdr:rowOff>21770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6CA8DA3-994C-4D26-8152-CC932538F6E6}"/>
            </a:ext>
          </a:extLst>
        </xdr:cNvPr>
        <xdr:cNvSpPr/>
      </xdr:nvSpPr>
      <xdr:spPr>
        <a:xfrm>
          <a:off x="7467600" y="1983920"/>
          <a:ext cx="179615" cy="95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593271</xdr:colOff>
      <xdr:row>50</xdr:row>
      <xdr:rowOff>108856</xdr:rowOff>
    </xdr:from>
    <xdr:to>
      <xdr:col>25</xdr:col>
      <xdr:colOff>87086</xdr:colOff>
      <xdr:row>50</xdr:row>
      <xdr:rowOff>195942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7B3145C3-FB94-4A84-A3CD-4276B3FDC79D}"/>
            </a:ext>
          </a:extLst>
        </xdr:cNvPr>
        <xdr:cNvSpPr/>
      </xdr:nvSpPr>
      <xdr:spPr>
        <a:xfrm>
          <a:off x="7451271" y="2166256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604157</xdr:colOff>
      <xdr:row>51</xdr:row>
      <xdr:rowOff>97970</xdr:rowOff>
    </xdr:from>
    <xdr:to>
      <xdr:col>25</xdr:col>
      <xdr:colOff>97972</xdr:colOff>
      <xdr:row>51</xdr:row>
      <xdr:rowOff>185056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741E7E4B-1AC2-4FC8-932E-04ED970861FD}"/>
            </a:ext>
          </a:extLst>
        </xdr:cNvPr>
        <xdr:cNvSpPr/>
      </xdr:nvSpPr>
      <xdr:spPr>
        <a:xfrm>
          <a:off x="7462157" y="2364920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604157</xdr:colOff>
      <xdr:row>52</xdr:row>
      <xdr:rowOff>76198</xdr:rowOff>
    </xdr:from>
    <xdr:to>
      <xdr:col>25</xdr:col>
      <xdr:colOff>97972</xdr:colOff>
      <xdr:row>52</xdr:row>
      <xdr:rowOff>163284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F65CE1D4-1543-49FF-846E-ABA9AFF3E307}"/>
            </a:ext>
          </a:extLst>
        </xdr:cNvPr>
        <xdr:cNvSpPr/>
      </xdr:nvSpPr>
      <xdr:spPr>
        <a:xfrm>
          <a:off x="7462157" y="2543173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24</xdr:col>
      <xdr:colOff>587828</xdr:colOff>
      <xdr:row>53</xdr:row>
      <xdr:rowOff>48984</xdr:rowOff>
    </xdr:from>
    <xdr:to>
      <xdr:col>25</xdr:col>
      <xdr:colOff>81643</xdr:colOff>
      <xdr:row>53</xdr:row>
      <xdr:rowOff>136070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E2B3B5A-93E3-486E-9F94-34E7122FDE6F}"/>
            </a:ext>
          </a:extLst>
        </xdr:cNvPr>
        <xdr:cNvSpPr/>
      </xdr:nvSpPr>
      <xdr:spPr>
        <a:xfrm>
          <a:off x="7445828" y="2715984"/>
          <a:ext cx="179615" cy="870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3</xdr:col>
      <xdr:colOff>504825</xdr:colOff>
      <xdr:row>16</xdr:row>
      <xdr:rowOff>0</xdr:rowOff>
    </xdr:from>
    <xdr:to>
      <xdr:col>6</xdr:col>
      <xdr:colOff>19050</xdr:colOff>
      <xdr:row>20</xdr:row>
      <xdr:rowOff>190500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90815A75-858F-E405-82AD-1823FFE9EF0E}"/>
            </a:ext>
          </a:extLst>
        </xdr:cNvPr>
        <xdr:cNvCxnSpPr/>
      </xdr:nvCxnSpPr>
      <xdr:spPr>
        <a:xfrm flipH="1">
          <a:off x="2562225" y="3257550"/>
          <a:ext cx="1571625" cy="100012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16</xdr:row>
      <xdr:rowOff>9525</xdr:rowOff>
    </xdr:from>
    <xdr:to>
      <xdr:col>7</xdr:col>
      <xdr:colOff>9525</xdr:colOff>
      <xdr:row>20</xdr:row>
      <xdr:rowOff>180975</xdr:rowOff>
    </xdr:to>
    <xdr:cxnSp macro="">
      <xdr:nvCxnSpPr>
        <xdr:cNvPr id="229" name="Straight Arrow Connector 228">
          <a:extLst>
            <a:ext uri="{FF2B5EF4-FFF2-40B4-BE49-F238E27FC236}">
              <a16:creationId xmlns:a16="http://schemas.microsoft.com/office/drawing/2014/main" id="{1BF9175A-ED5F-47B2-A846-BA6981A7B09B}"/>
            </a:ext>
          </a:extLst>
        </xdr:cNvPr>
        <xdr:cNvCxnSpPr/>
      </xdr:nvCxnSpPr>
      <xdr:spPr>
        <a:xfrm>
          <a:off x="4143375" y="3267075"/>
          <a:ext cx="666750" cy="9810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257175</xdr:colOff>
      <xdr:row>17</xdr:row>
      <xdr:rowOff>9525</xdr:rowOff>
    </xdr:from>
    <xdr:ext cx="552587" cy="2645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21730DB7-D16A-BA04-1305-C2F15795B5C7}"/>
            </a:ext>
          </a:extLst>
        </xdr:cNvPr>
        <xdr:cNvSpPr txBox="1"/>
      </xdr:nvSpPr>
      <xdr:spPr>
        <a:xfrm>
          <a:off x="4381914" y="3463373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oneCellAnchor>
    <xdr:from>
      <xdr:col>4</xdr:col>
      <xdr:colOff>190500</xdr:colOff>
      <xdr:row>17</xdr:row>
      <xdr:rowOff>0</xdr:rowOff>
    </xdr:from>
    <xdr:ext cx="552587" cy="264560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830B505-8E61-48A3-BD65-2B0F36FD2737}"/>
            </a:ext>
          </a:extLst>
        </xdr:cNvPr>
        <xdr:cNvSpPr txBox="1"/>
      </xdr:nvSpPr>
      <xdr:spPr>
        <a:xfrm>
          <a:off x="2940326" y="3453848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twoCellAnchor>
    <xdr:from>
      <xdr:col>9</xdr:col>
      <xdr:colOff>466725</xdr:colOff>
      <xdr:row>5</xdr:row>
      <xdr:rowOff>19050</xdr:rowOff>
    </xdr:from>
    <xdr:to>
      <xdr:col>10</xdr:col>
      <xdr:colOff>679174</xdr:colOff>
      <xdr:row>8</xdr:row>
      <xdr:rowOff>190500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4E659773-16EB-5571-E0D0-F97F5F06EC50}"/>
            </a:ext>
          </a:extLst>
        </xdr:cNvPr>
        <xdr:cNvCxnSpPr/>
      </xdr:nvCxnSpPr>
      <xdr:spPr>
        <a:xfrm flipH="1" flipV="1">
          <a:off x="6653834" y="1029528"/>
          <a:ext cx="899905" cy="76779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5</xdr:row>
      <xdr:rowOff>19050</xdr:rowOff>
    </xdr:from>
    <xdr:to>
      <xdr:col>9</xdr:col>
      <xdr:colOff>565547</xdr:colOff>
      <xdr:row>7</xdr:row>
      <xdr:rowOff>41672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3C9D44A6-1563-8AFD-3AA8-74D3DDE28C0F}"/>
            </a:ext>
          </a:extLst>
        </xdr:cNvPr>
        <xdr:cNvCxnSpPr/>
      </xdr:nvCxnSpPr>
      <xdr:spPr>
        <a:xfrm>
          <a:off x="6628209" y="1042988"/>
          <a:ext cx="98822" cy="42743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</xdr:row>
      <xdr:rowOff>180975</xdr:rowOff>
    </xdr:from>
    <xdr:to>
      <xdr:col>9</xdr:col>
      <xdr:colOff>561975</xdr:colOff>
      <xdr:row>7</xdr:row>
      <xdr:rowOff>47625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41739872-B214-62FC-B752-C098B09FF8CB}"/>
            </a:ext>
          </a:extLst>
        </xdr:cNvPr>
        <xdr:cNvCxnSpPr/>
      </xdr:nvCxnSpPr>
      <xdr:spPr>
        <a:xfrm flipH="1" flipV="1">
          <a:off x="5486400" y="790575"/>
          <a:ext cx="1247775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405847</xdr:colOff>
      <xdr:row>4</xdr:row>
      <xdr:rowOff>0</xdr:rowOff>
    </xdr:from>
    <xdr:to>
      <xdr:col>4</xdr:col>
      <xdr:colOff>670891</xdr:colOff>
      <xdr:row>6</xdr:row>
      <xdr:rowOff>82826</xdr:rowOff>
    </xdr:to>
    <xdr:cxnSp macro="">
      <xdr:nvCxnSpPr>
        <xdr:cNvPr id="265" name="Straight Connector 264">
          <a:extLst>
            <a:ext uri="{FF2B5EF4-FFF2-40B4-BE49-F238E27FC236}">
              <a16:creationId xmlns:a16="http://schemas.microsoft.com/office/drawing/2014/main" id="{EB0FAA97-6917-3696-8F79-9DB761F527DC}"/>
            </a:ext>
          </a:extLst>
        </xdr:cNvPr>
        <xdr:cNvCxnSpPr/>
      </xdr:nvCxnSpPr>
      <xdr:spPr>
        <a:xfrm flipH="1">
          <a:off x="2468217" y="803413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6</xdr:row>
      <xdr:rowOff>82826</xdr:rowOff>
    </xdr:from>
    <xdr:to>
      <xdr:col>4</xdr:col>
      <xdr:colOff>57978</xdr:colOff>
      <xdr:row>6</xdr:row>
      <xdr:rowOff>157369</xdr:rowOff>
    </xdr:to>
    <xdr:cxnSp macro="">
      <xdr:nvCxnSpPr>
        <xdr:cNvPr id="267" name="Straight Connector 266">
          <a:extLst>
            <a:ext uri="{FF2B5EF4-FFF2-40B4-BE49-F238E27FC236}">
              <a16:creationId xmlns:a16="http://schemas.microsoft.com/office/drawing/2014/main" id="{13CB6D3B-4B55-8760-37E0-F0AFC8E245C1}"/>
            </a:ext>
          </a:extLst>
        </xdr:cNvPr>
        <xdr:cNvCxnSpPr/>
      </xdr:nvCxnSpPr>
      <xdr:spPr>
        <a:xfrm>
          <a:off x="2443370" y="1292087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157369</xdr:rowOff>
    </xdr:from>
    <xdr:to>
      <xdr:col>4</xdr:col>
      <xdr:colOff>49696</xdr:colOff>
      <xdr:row>8</xdr:row>
      <xdr:rowOff>190500</xdr:rowOff>
    </xdr:to>
    <xdr:cxnSp macro="">
      <xdr:nvCxnSpPr>
        <xdr:cNvPr id="269" name="Straight Arrow Connector 268">
          <a:extLst>
            <a:ext uri="{FF2B5EF4-FFF2-40B4-BE49-F238E27FC236}">
              <a16:creationId xmlns:a16="http://schemas.microsoft.com/office/drawing/2014/main" id="{D55D97CE-A87B-4747-891F-DD0BD315CC34}"/>
            </a:ext>
          </a:extLst>
        </xdr:cNvPr>
        <xdr:cNvCxnSpPr/>
      </xdr:nvCxnSpPr>
      <xdr:spPr>
        <a:xfrm flipH="1">
          <a:off x="2062370" y="1366630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36443</xdr:colOff>
      <xdr:row>4</xdr:row>
      <xdr:rowOff>11595</xdr:rowOff>
    </xdr:from>
    <xdr:to>
      <xdr:col>4</xdr:col>
      <xdr:colOff>301487</xdr:colOff>
      <xdr:row>6</xdr:row>
      <xdr:rowOff>94421</xdr:rowOff>
    </xdr:to>
    <xdr:cxnSp macro="">
      <xdr:nvCxnSpPr>
        <xdr:cNvPr id="274" name="Straight Connector 273">
          <a:extLst>
            <a:ext uri="{FF2B5EF4-FFF2-40B4-BE49-F238E27FC236}">
              <a16:creationId xmlns:a16="http://schemas.microsoft.com/office/drawing/2014/main" id="{13195316-ABC1-4702-9732-149935C06066}"/>
            </a:ext>
          </a:extLst>
        </xdr:cNvPr>
        <xdr:cNvCxnSpPr/>
      </xdr:nvCxnSpPr>
      <xdr:spPr>
        <a:xfrm flipH="1">
          <a:off x="2098813" y="815008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11596</xdr:colOff>
      <xdr:row>6</xdr:row>
      <xdr:rowOff>94421</xdr:rowOff>
    </xdr:from>
    <xdr:to>
      <xdr:col>3</xdr:col>
      <xdr:colOff>376030</xdr:colOff>
      <xdr:row>6</xdr:row>
      <xdr:rowOff>168964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F6D7F88E-8149-4924-B1D3-C5A87D666488}"/>
            </a:ext>
          </a:extLst>
        </xdr:cNvPr>
        <xdr:cNvCxnSpPr/>
      </xdr:nvCxnSpPr>
      <xdr:spPr>
        <a:xfrm>
          <a:off x="2073966" y="1303682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318053</xdr:colOff>
      <xdr:row>6</xdr:row>
      <xdr:rowOff>168964</xdr:rowOff>
    </xdr:from>
    <xdr:to>
      <xdr:col>3</xdr:col>
      <xdr:colOff>367748</xdr:colOff>
      <xdr:row>8</xdr:row>
      <xdr:rowOff>202095</xdr:rowOff>
    </xdr:to>
    <xdr:cxnSp macro="">
      <xdr:nvCxnSpPr>
        <xdr:cNvPr id="276" name="Straight Arrow Connector 275">
          <a:extLst>
            <a:ext uri="{FF2B5EF4-FFF2-40B4-BE49-F238E27FC236}">
              <a16:creationId xmlns:a16="http://schemas.microsoft.com/office/drawing/2014/main" id="{B2914BB7-90EE-4395-9FBF-DD9DF4506CE7}"/>
            </a:ext>
          </a:extLst>
        </xdr:cNvPr>
        <xdr:cNvCxnSpPr/>
      </xdr:nvCxnSpPr>
      <xdr:spPr>
        <a:xfrm flipH="1">
          <a:off x="1692966" y="1378225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147017</xdr:colOff>
      <xdr:row>5</xdr:row>
      <xdr:rowOff>48868</xdr:rowOff>
    </xdr:from>
    <xdr:to>
      <xdr:col>10</xdr:col>
      <xdr:colOff>367749</xdr:colOff>
      <xdr:row>8</xdr:row>
      <xdr:rowOff>191743</xdr:rowOff>
    </xdr:to>
    <xdr:cxnSp macro="">
      <xdr:nvCxnSpPr>
        <xdr:cNvPr id="277" name="Straight Connector 276">
          <a:extLst>
            <a:ext uri="{FF2B5EF4-FFF2-40B4-BE49-F238E27FC236}">
              <a16:creationId xmlns:a16="http://schemas.microsoft.com/office/drawing/2014/main" id="{0D9FDC49-441D-4ED8-8D0B-67CBBF3FEBB4}"/>
            </a:ext>
          </a:extLst>
        </xdr:cNvPr>
        <xdr:cNvCxnSpPr/>
      </xdr:nvCxnSpPr>
      <xdr:spPr>
        <a:xfrm flipH="1" flipV="1">
          <a:off x="6334126" y="1059346"/>
          <a:ext cx="908188" cy="73922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147017</xdr:colOff>
      <xdr:row>5</xdr:row>
      <xdr:rowOff>48868</xdr:rowOff>
    </xdr:from>
    <xdr:to>
      <xdr:col>9</xdr:col>
      <xdr:colOff>245839</xdr:colOff>
      <xdr:row>7</xdr:row>
      <xdr:rowOff>71490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005E4DB6-3CCB-4CF4-AA0B-CF4590CA512D}"/>
            </a:ext>
          </a:extLst>
        </xdr:cNvPr>
        <xdr:cNvCxnSpPr/>
      </xdr:nvCxnSpPr>
      <xdr:spPr>
        <a:xfrm>
          <a:off x="6334126" y="1059346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3314</xdr:colOff>
      <xdr:row>4</xdr:row>
      <xdr:rowOff>169379</xdr:rowOff>
    </xdr:from>
    <xdr:to>
      <xdr:col>9</xdr:col>
      <xdr:colOff>231913</xdr:colOff>
      <xdr:row>7</xdr:row>
      <xdr:rowOff>57979</xdr:rowOff>
    </xdr:to>
    <xdr:cxnSp macro="">
      <xdr:nvCxnSpPr>
        <xdr:cNvPr id="279" name="Straight Arrow Connector 278">
          <a:extLst>
            <a:ext uri="{FF2B5EF4-FFF2-40B4-BE49-F238E27FC236}">
              <a16:creationId xmlns:a16="http://schemas.microsoft.com/office/drawing/2014/main" id="{3D84B9D2-C3F1-4170-81D9-2A26F2A1D97A}"/>
            </a:ext>
          </a:extLst>
        </xdr:cNvPr>
        <xdr:cNvCxnSpPr/>
      </xdr:nvCxnSpPr>
      <xdr:spPr>
        <a:xfrm flipH="1" flipV="1">
          <a:off x="5502966" y="972792"/>
          <a:ext cx="916056" cy="49323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173935</xdr:colOff>
      <xdr:row>4</xdr:row>
      <xdr:rowOff>190500</xdr:rowOff>
    </xdr:from>
    <xdr:to>
      <xdr:col>11</xdr:col>
      <xdr:colOff>438978</xdr:colOff>
      <xdr:row>7</xdr:row>
      <xdr:rowOff>57979</xdr:rowOff>
    </xdr:to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042A2B0E-A53E-EF4D-4571-8F2B53C28BFB}"/>
            </a:ext>
          </a:extLst>
        </xdr:cNvPr>
        <xdr:cNvSpPr txBox="1"/>
      </xdr:nvSpPr>
      <xdr:spPr>
        <a:xfrm>
          <a:off x="7048500" y="993913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2</xdr:col>
      <xdr:colOff>400878</xdr:colOff>
      <xdr:row>3</xdr:row>
      <xdr:rowOff>135836</xdr:rowOff>
    </xdr:from>
    <xdr:to>
      <xdr:col>3</xdr:col>
      <xdr:colOff>665921</xdr:colOff>
      <xdr:row>6</xdr:row>
      <xdr:rowOff>3314</xdr:rowOff>
    </xdr:to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4574C14A-F4EA-4762-B39A-5562224601F4}"/>
            </a:ext>
          </a:extLst>
        </xdr:cNvPr>
        <xdr:cNvSpPr txBox="1"/>
      </xdr:nvSpPr>
      <xdr:spPr>
        <a:xfrm>
          <a:off x="1775791" y="740466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4</xdr:col>
      <xdr:colOff>66261</xdr:colOff>
      <xdr:row>5</xdr:row>
      <xdr:rowOff>190501</xdr:rowOff>
    </xdr:from>
    <xdr:to>
      <xdr:col>5</xdr:col>
      <xdr:colOff>331304</xdr:colOff>
      <xdr:row>8</xdr:row>
      <xdr:rowOff>66262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CC35C611-B3D0-43F9-9402-975154FB7500}"/>
            </a:ext>
          </a:extLst>
        </xdr:cNvPr>
        <xdr:cNvSpPr txBox="1"/>
      </xdr:nvSpPr>
      <xdr:spPr>
        <a:xfrm>
          <a:off x="2816087" y="1200979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8</xdr:col>
      <xdr:colOff>160683</xdr:colOff>
      <xdr:row>6</xdr:row>
      <xdr:rowOff>193814</xdr:rowOff>
    </xdr:from>
    <xdr:to>
      <xdr:col>9</xdr:col>
      <xdr:colOff>425726</xdr:colOff>
      <xdr:row>9</xdr:row>
      <xdr:rowOff>61293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663957AB-CB9E-4F68-B6C8-77730BEE86F6}"/>
            </a:ext>
          </a:extLst>
        </xdr:cNvPr>
        <xdr:cNvSpPr txBox="1"/>
      </xdr:nvSpPr>
      <xdr:spPr>
        <a:xfrm>
          <a:off x="5660335" y="1403075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23</xdr:col>
      <xdr:colOff>466725</xdr:colOff>
      <xdr:row>5</xdr:row>
      <xdr:rowOff>19050</xdr:rowOff>
    </xdr:from>
    <xdr:to>
      <xdr:col>24</xdr:col>
      <xdr:colOff>679174</xdr:colOff>
      <xdr:row>8</xdr:row>
      <xdr:rowOff>190500</xdr:rowOff>
    </xdr:to>
    <xdr:cxnSp macro="">
      <xdr:nvCxnSpPr>
        <xdr:cNvPr id="305" name="Straight Connector 304">
          <a:extLst>
            <a:ext uri="{FF2B5EF4-FFF2-40B4-BE49-F238E27FC236}">
              <a16:creationId xmlns:a16="http://schemas.microsoft.com/office/drawing/2014/main" id="{AA3FA97A-7C88-40D7-8629-62318EF89DA4}"/>
            </a:ext>
          </a:extLst>
        </xdr:cNvPr>
        <xdr:cNvCxnSpPr/>
      </xdr:nvCxnSpPr>
      <xdr:spPr>
        <a:xfrm flipH="1" flipV="1">
          <a:off x="6653834" y="1029528"/>
          <a:ext cx="899905" cy="76779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5</xdr:row>
      <xdr:rowOff>19050</xdr:rowOff>
    </xdr:from>
    <xdr:to>
      <xdr:col>23</xdr:col>
      <xdr:colOff>565547</xdr:colOff>
      <xdr:row>7</xdr:row>
      <xdr:rowOff>41672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1F30C816-4F3F-4A76-A42E-AFADEA0EE1D9}"/>
            </a:ext>
          </a:extLst>
        </xdr:cNvPr>
        <xdr:cNvCxnSpPr/>
      </xdr:nvCxnSpPr>
      <xdr:spPr>
        <a:xfrm>
          <a:off x="6653834" y="1029528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</xdr:row>
      <xdr:rowOff>180975</xdr:rowOff>
    </xdr:from>
    <xdr:to>
      <xdr:col>23</xdr:col>
      <xdr:colOff>561975</xdr:colOff>
      <xdr:row>7</xdr:row>
      <xdr:rowOff>47625</xdr:rowOff>
    </xdr:to>
    <xdr:cxnSp macro="">
      <xdr:nvCxnSpPr>
        <xdr:cNvPr id="307" name="Straight Arrow Connector 306">
          <a:extLst>
            <a:ext uri="{FF2B5EF4-FFF2-40B4-BE49-F238E27FC236}">
              <a16:creationId xmlns:a16="http://schemas.microsoft.com/office/drawing/2014/main" id="{41F6C488-B9DA-45BB-B8EF-01B126DA9124}"/>
            </a:ext>
          </a:extLst>
        </xdr:cNvPr>
        <xdr:cNvCxnSpPr/>
      </xdr:nvCxnSpPr>
      <xdr:spPr>
        <a:xfrm flipH="1" flipV="1">
          <a:off x="5499652" y="785605"/>
          <a:ext cx="1249432" cy="6700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405847</xdr:colOff>
      <xdr:row>4</xdr:row>
      <xdr:rowOff>0</xdr:rowOff>
    </xdr:from>
    <xdr:to>
      <xdr:col>18</xdr:col>
      <xdr:colOff>670891</xdr:colOff>
      <xdr:row>6</xdr:row>
      <xdr:rowOff>82826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2396AEEC-62D5-4F81-A28C-126A3F211069}"/>
            </a:ext>
          </a:extLst>
        </xdr:cNvPr>
        <xdr:cNvCxnSpPr/>
      </xdr:nvCxnSpPr>
      <xdr:spPr>
        <a:xfrm flipH="1">
          <a:off x="2468217" y="803413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6</xdr:row>
      <xdr:rowOff>82826</xdr:rowOff>
    </xdr:from>
    <xdr:to>
      <xdr:col>18</xdr:col>
      <xdr:colOff>57978</xdr:colOff>
      <xdr:row>6</xdr:row>
      <xdr:rowOff>157369</xdr:rowOff>
    </xdr:to>
    <xdr:cxnSp macro="">
      <xdr:nvCxnSpPr>
        <xdr:cNvPr id="309" name="Straight Connector 308">
          <a:extLst>
            <a:ext uri="{FF2B5EF4-FFF2-40B4-BE49-F238E27FC236}">
              <a16:creationId xmlns:a16="http://schemas.microsoft.com/office/drawing/2014/main" id="{0A1F7CA1-7188-4F18-A9CB-6144DB5C971E}"/>
            </a:ext>
          </a:extLst>
        </xdr:cNvPr>
        <xdr:cNvCxnSpPr/>
      </xdr:nvCxnSpPr>
      <xdr:spPr>
        <a:xfrm>
          <a:off x="2443370" y="1292087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6</xdr:row>
      <xdr:rowOff>157369</xdr:rowOff>
    </xdr:from>
    <xdr:to>
      <xdr:col>18</xdr:col>
      <xdr:colOff>49696</xdr:colOff>
      <xdr:row>8</xdr:row>
      <xdr:rowOff>190500</xdr:rowOff>
    </xdr:to>
    <xdr:cxnSp macro="">
      <xdr:nvCxnSpPr>
        <xdr:cNvPr id="310" name="Straight Arrow Connector 309">
          <a:extLst>
            <a:ext uri="{FF2B5EF4-FFF2-40B4-BE49-F238E27FC236}">
              <a16:creationId xmlns:a16="http://schemas.microsoft.com/office/drawing/2014/main" id="{1012D7B3-457E-47C3-AA76-1BD7D75F9A4E}"/>
            </a:ext>
          </a:extLst>
        </xdr:cNvPr>
        <xdr:cNvCxnSpPr/>
      </xdr:nvCxnSpPr>
      <xdr:spPr>
        <a:xfrm flipH="1">
          <a:off x="2062370" y="1366630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36443</xdr:colOff>
      <xdr:row>4</xdr:row>
      <xdr:rowOff>11595</xdr:rowOff>
    </xdr:from>
    <xdr:to>
      <xdr:col>18</xdr:col>
      <xdr:colOff>301487</xdr:colOff>
      <xdr:row>6</xdr:row>
      <xdr:rowOff>94421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C780AB01-EAF7-482A-9D89-14A5379376A6}"/>
            </a:ext>
          </a:extLst>
        </xdr:cNvPr>
        <xdr:cNvCxnSpPr/>
      </xdr:nvCxnSpPr>
      <xdr:spPr>
        <a:xfrm flipH="1">
          <a:off x="2098813" y="815008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11596</xdr:colOff>
      <xdr:row>6</xdr:row>
      <xdr:rowOff>94421</xdr:rowOff>
    </xdr:from>
    <xdr:to>
      <xdr:col>17</xdr:col>
      <xdr:colOff>376030</xdr:colOff>
      <xdr:row>6</xdr:row>
      <xdr:rowOff>168964</xdr:rowOff>
    </xdr:to>
    <xdr:cxnSp macro="">
      <xdr:nvCxnSpPr>
        <xdr:cNvPr id="312" name="Straight Connector 311">
          <a:extLst>
            <a:ext uri="{FF2B5EF4-FFF2-40B4-BE49-F238E27FC236}">
              <a16:creationId xmlns:a16="http://schemas.microsoft.com/office/drawing/2014/main" id="{992B0327-0C79-40BB-9CDC-EC4E778D4CB7}"/>
            </a:ext>
          </a:extLst>
        </xdr:cNvPr>
        <xdr:cNvCxnSpPr/>
      </xdr:nvCxnSpPr>
      <xdr:spPr>
        <a:xfrm>
          <a:off x="2073966" y="1303682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318053</xdr:colOff>
      <xdr:row>6</xdr:row>
      <xdr:rowOff>168964</xdr:rowOff>
    </xdr:from>
    <xdr:to>
      <xdr:col>17</xdr:col>
      <xdr:colOff>367748</xdr:colOff>
      <xdr:row>8</xdr:row>
      <xdr:rowOff>202095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8AEB824C-F37D-49CF-8048-C4940D637C57}"/>
            </a:ext>
          </a:extLst>
        </xdr:cNvPr>
        <xdr:cNvCxnSpPr/>
      </xdr:nvCxnSpPr>
      <xdr:spPr>
        <a:xfrm flipH="1">
          <a:off x="1692966" y="1378225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147017</xdr:colOff>
      <xdr:row>5</xdr:row>
      <xdr:rowOff>48868</xdr:rowOff>
    </xdr:from>
    <xdr:to>
      <xdr:col>24</xdr:col>
      <xdr:colOff>367749</xdr:colOff>
      <xdr:row>8</xdr:row>
      <xdr:rowOff>191743</xdr:rowOff>
    </xdr:to>
    <xdr:cxnSp macro="">
      <xdr:nvCxnSpPr>
        <xdr:cNvPr id="314" name="Straight Connector 313">
          <a:extLst>
            <a:ext uri="{FF2B5EF4-FFF2-40B4-BE49-F238E27FC236}">
              <a16:creationId xmlns:a16="http://schemas.microsoft.com/office/drawing/2014/main" id="{730564B6-A405-416F-A9EA-C083F0FB3D8D}"/>
            </a:ext>
          </a:extLst>
        </xdr:cNvPr>
        <xdr:cNvCxnSpPr/>
      </xdr:nvCxnSpPr>
      <xdr:spPr>
        <a:xfrm flipH="1" flipV="1">
          <a:off x="6334126" y="1059346"/>
          <a:ext cx="908188" cy="73922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147017</xdr:colOff>
      <xdr:row>5</xdr:row>
      <xdr:rowOff>48868</xdr:rowOff>
    </xdr:from>
    <xdr:to>
      <xdr:col>23</xdr:col>
      <xdr:colOff>245839</xdr:colOff>
      <xdr:row>7</xdr:row>
      <xdr:rowOff>71490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1DECED59-BF96-4B9B-BEF6-041E4D07A7BF}"/>
            </a:ext>
          </a:extLst>
        </xdr:cNvPr>
        <xdr:cNvCxnSpPr/>
      </xdr:nvCxnSpPr>
      <xdr:spPr>
        <a:xfrm>
          <a:off x="6334126" y="1059346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3314</xdr:colOff>
      <xdr:row>4</xdr:row>
      <xdr:rowOff>169379</xdr:rowOff>
    </xdr:from>
    <xdr:to>
      <xdr:col>23</xdr:col>
      <xdr:colOff>231913</xdr:colOff>
      <xdr:row>7</xdr:row>
      <xdr:rowOff>57979</xdr:rowOff>
    </xdr:to>
    <xdr:cxnSp macro="">
      <xdr:nvCxnSpPr>
        <xdr:cNvPr id="316" name="Straight Arrow Connector 315">
          <a:extLst>
            <a:ext uri="{FF2B5EF4-FFF2-40B4-BE49-F238E27FC236}">
              <a16:creationId xmlns:a16="http://schemas.microsoft.com/office/drawing/2014/main" id="{DD30D3DE-7A92-4E1E-ABA7-57AB583C89F8}"/>
            </a:ext>
          </a:extLst>
        </xdr:cNvPr>
        <xdr:cNvCxnSpPr/>
      </xdr:nvCxnSpPr>
      <xdr:spPr>
        <a:xfrm flipH="1" flipV="1">
          <a:off x="5502966" y="972792"/>
          <a:ext cx="916056" cy="49323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173935</xdr:colOff>
      <xdr:row>4</xdr:row>
      <xdr:rowOff>190500</xdr:rowOff>
    </xdr:from>
    <xdr:to>
      <xdr:col>25</xdr:col>
      <xdr:colOff>438978</xdr:colOff>
      <xdr:row>7</xdr:row>
      <xdr:rowOff>57979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7479A280-5614-46C4-BC37-7830C607E6DA}"/>
            </a:ext>
          </a:extLst>
        </xdr:cNvPr>
        <xdr:cNvSpPr txBox="1"/>
      </xdr:nvSpPr>
      <xdr:spPr>
        <a:xfrm>
          <a:off x="7048500" y="993913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16</xdr:col>
      <xdr:colOff>400878</xdr:colOff>
      <xdr:row>3</xdr:row>
      <xdr:rowOff>135836</xdr:rowOff>
    </xdr:from>
    <xdr:to>
      <xdr:col>17</xdr:col>
      <xdr:colOff>665921</xdr:colOff>
      <xdr:row>6</xdr:row>
      <xdr:rowOff>3314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6FDF94B5-5E2D-4B08-A7AD-FD2C71110A76}"/>
            </a:ext>
          </a:extLst>
        </xdr:cNvPr>
        <xdr:cNvSpPr txBox="1"/>
      </xdr:nvSpPr>
      <xdr:spPr>
        <a:xfrm>
          <a:off x="1775791" y="740466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18</xdr:col>
      <xdr:colOff>66261</xdr:colOff>
      <xdr:row>5</xdr:row>
      <xdr:rowOff>190501</xdr:rowOff>
    </xdr:from>
    <xdr:to>
      <xdr:col>19</xdr:col>
      <xdr:colOff>331304</xdr:colOff>
      <xdr:row>8</xdr:row>
      <xdr:rowOff>66262</xdr:rowOff>
    </xdr:to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E2EB2141-3A9A-4492-9C1D-FD267D0BC8BB}"/>
            </a:ext>
          </a:extLst>
        </xdr:cNvPr>
        <xdr:cNvSpPr txBox="1"/>
      </xdr:nvSpPr>
      <xdr:spPr>
        <a:xfrm>
          <a:off x="2816087" y="1200979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22</xdr:col>
      <xdr:colOff>160683</xdr:colOff>
      <xdr:row>6</xdr:row>
      <xdr:rowOff>193814</xdr:rowOff>
    </xdr:from>
    <xdr:to>
      <xdr:col>23</xdr:col>
      <xdr:colOff>425726</xdr:colOff>
      <xdr:row>9</xdr:row>
      <xdr:rowOff>61293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328E5887-98F8-43D0-AA3A-A5FD43A6E712}"/>
            </a:ext>
          </a:extLst>
        </xdr:cNvPr>
        <xdr:cNvSpPr txBox="1"/>
      </xdr:nvSpPr>
      <xdr:spPr>
        <a:xfrm>
          <a:off x="5660335" y="1403075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9</xdr:col>
      <xdr:colOff>466725</xdr:colOff>
      <xdr:row>39</xdr:row>
      <xdr:rowOff>19050</xdr:rowOff>
    </xdr:from>
    <xdr:to>
      <xdr:col>10</xdr:col>
      <xdr:colOff>679174</xdr:colOff>
      <xdr:row>42</xdr:row>
      <xdr:rowOff>190500</xdr:rowOff>
    </xdr:to>
    <xdr:cxnSp macro="">
      <xdr:nvCxnSpPr>
        <xdr:cNvPr id="337" name="Straight Connector 336">
          <a:extLst>
            <a:ext uri="{FF2B5EF4-FFF2-40B4-BE49-F238E27FC236}">
              <a16:creationId xmlns:a16="http://schemas.microsoft.com/office/drawing/2014/main" id="{5EF12D69-3B1D-4480-B321-D16D40FCA30B}"/>
            </a:ext>
          </a:extLst>
        </xdr:cNvPr>
        <xdr:cNvCxnSpPr/>
      </xdr:nvCxnSpPr>
      <xdr:spPr>
        <a:xfrm flipH="1" flipV="1">
          <a:off x="6653834" y="1029528"/>
          <a:ext cx="899905" cy="76779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39</xdr:row>
      <xdr:rowOff>19050</xdr:rowOff>
    </xdr:from>
    <xdr:to>
      <xdr:col>9</xdr:col>
      <xdr:colOff>565547</xdr:colOff>
      <xdr:row>41</xdr:row>
      <xdr:rowOff>41672</xdr:rowOff>
    </xdr:to>
    <xdr:cxnSp macro="">
      <xdr:nvCxnSpPr>
        <xdr:cNvPr id="338" name="Straight Connector 337">
          <a:extLst>
            <a:ext uri="{FF2B5EF4-FFF2-40B4-BE49-F238E27FC236}">
              <a16:creationId xmlns:a16="http://schemas.microsoft.com/office/drawing/2014/main" id="{0795BD17-E2D5-4232-88C8-5349AB059936}"/>
            </a:ext>
          </a:extLst>
        </xdr:cNvPr>
        <xdr:cNvCxnSpPr/>
      </xdr:nvCxnSpPr>
      <xdr:spPr>
        <a:xfrm>
          <a:off x="6653834" y="1029528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37</xdr:row>
      <xdr:rowOff>180975</xdr:rowOff>
    </xdr:from>
    <xdr:to>
      <xdr:col>9</xdr:col>
      <xdr:colOff>561975</xdr:colOff>
      <xdr:row>41</xdr:row>
      <xdr:rowOff>47625</xdr:rowOff>
    </xdr:to>
    <xdr:cxnSp macro="">
      <xdr:nvCxnSpPr>
        <xdr:cNvPr id="339" name="Straight Arrow Connector 338">
          <a:extLst>
            <a:ext uri="{FF2B5EF4-FFF2-40B4-BE49-F238E27FC236}">
              <a16:creationId xmlns:a16="http://schemas.microsoft.com/office/drawing/2014/main" id="{69977055-4104-4C78-B792-76F0444BBEC8}"/>
            </a:ext>
          </a:extLst>
        </xdr:cNvPr>
        <xdr:cNvCxnSpPr/>
      </xdr:nvCxnSpPr>
      <xdr:spPr>
        <a:xfrm flipH="1" flipV="1">
          <a:off x="5499652" y="785605"/>
          <a:ext cx="1249432" cy="6700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405847</xdr:colOff>
      <xdr:row>38</xdr:row>
      <xdr:rowOff>0</xdr:rowOff>
    </xdr:from>
    <xdr:to>
      <xdr:col>4</xdr:col>
      <xdr:colOff>670891</xdr:colOff>
      <xdr:row>40</xdr:row>
      <xdr:rowOff>82826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37C3F0B8-D699-427F-A430-10EFAFA5E9AA}"/>
            </a:ext>
          </a:extLst>
        </xdr:cNvPr>
        <xdr:cNvCxnSpPr/>
      </xdr:nvCxnSpPr>
      <xdr:spPr>
        <a:xfrm flipH="1">
          <a:off x="2468217" y="803413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40</xdr:row>
      <xdr:rowOff>82826</xdr:rowOff>
    </xdr:from>
    <xdr:to>
      <xdr:col>4</xdr:col>
      <xdr:colOff>57978</xdr:colOff>
      <xdr:row>40</xdr:row>
      <xdr:rowOff>157369</xdr:rowOff>
    </xdr:to>
    <xdr:cxnSp macro="">
      <xdr:nvCxnSpPr>
        <xdr:cNvPr id="341" name="Straight Connector 340">
          <a:extLst>
            <a:ext uri="{FF2B5EF4-FFF2-40B4-BE49-F238E27FC236}">
              <a16:creationId xmlns:a16="http://schemas.microsoft.com/office/drawing/2014/main" id="{EA4323F1-2B6F-4DBF-8F16-CEF8A6F3618B}"/>
            </a:ext>
          </a:extLst>
        </xdr:cNvPr>
        <xdr:cNvCxnSpPr/>
      </xdr:nvCxnSpPr>
      <xdr:spPr>
        <a:xfrm>
          <a:off x="2443370" y="1292087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40</xdr:row>
      <xdr:rowOff>157369</xdr:rowOff>
    </xdr:from>
    <xdr:to>
      <xdr:col>4</xdr:col>
      <xdr:colOff>49696</xdr:colOff>
      <xdr:row>42</xdr:row>
      <xdr:rowOff>190500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B54C8A64-4400-498A-BB6B-B187CFB918A0}"/>
            </a:ext>
          </a:extLst>
        </xdr:cNvPr>
        <xdr:cNvCxnSpPr/>
      </xdr:nvCxnSpPr>
      <xdr:spPr>
        <a:xfrm flipH="1">
          <a:off x="2062370" y="1366630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36443</xdr:colOff>
      <xdr:row>38</xdr:row>
      <xdr:rowOff>11595</xdr:rowOff>
    </xdr:from>
    <xdr:to>
      <xdr:col>4</xdr:col>
      <xdr:colOff>301487</xdr:colOff>
      <xdr:row>40</xdr:row>
      <xdr:rowOff>94421</xdr:rowOff>
    </xdr:to>
    <xdr:cxnSp macro="">
      <xdr:nvCxnSpPr>
        <xdr:cNvPr id="343" name="Straight Connector 342">
          <a:extLst>
            <a:ext uri="{FF2B5EF4-FFF2-40B4-BE49-F238E27FC236}">
              <a16:creationId xmlns:a16="http://schemas.microsoft.com/office/drawing/2014/main" id="{F14BB90C-A438-4D63-9146-82875A811426}"/>
            </a:ext>
          </a:extLst>
        </xdr:cNvPr>
        <xdr:cNvCxnSpPr/>
      </xdr:nvCxnSpPr>
      <xdr:spPr>
        <a:xfrm flipH="1">
          <a:off x="2098813" y="815008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11596</xdr:colOff>
      <xdr:row>40</xdr:row>
      <xdr:rowOff>94421</xdr:rowOff>
    </xdr:from>
    <xdr:to>
      <xdr:col>3</xdr:col>
      <xdr:colOff>376030</xdr:colOff>
      <xdr:row>40</xdr:row>
      <xdr:rowOff>168964</xdr:rowOff>
    </xdr:to>
    <xdr:cxnSp macro="">
      <xdr:nvCxnSpPr>
        <xdr:cNvPr id="344" name="Straight Connector 343">
          <a:extLst>
            <a:ext uri="{FF2B5EF4-FFF2-40B4-BE49-F238E27FC236}">
              <a16:creationId xmlns:a16="http://schemas.microsoft.com/office/drawing/2014/main" id="{1C32A47D-F95F-4DDC-B498-A5C994986629}"/>
            </a:ext>
          </a:extLst>
        </xdr:cNvPr>
        <xdr:cNvCxnSpPr/>
      </xdr:nvCxnSpPr>
      <xdr:spPr>
        <a:xfrm>
          <a:off x="2073966" y="1303682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318053</xdr:colOff>
      <xdr:row>40</xdr:row>
      <xdr:rowOff>168964</xdr:rowOff>
    </xdr:from>
    <xdr:to>
      <xdr:col>3</xdr:col>
      <xdr:colOff>367748</xdr:colOff>
      <xdr:row>42</xdr:row>
      <xdr:rowOff>202095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B26D3889-B22D-4952-9E1C-12086AC267CF}"/>
            </a:ext>
          </a:extLst>
        </xdr:cNvPr>
        <xdr:cNvCxnSpPr/>
      </xdr:nvCxnSpPr>
      <xdr:spPr>
        <a:xfrm flipH="1">
          <a:off x="1692966" y="1378225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147017</xdr:colOff>
      <xdr:row>39</xdr:row>
      <xdr:rowOff>48868</xdr:rowOff>
    </xdr:from>
    <xdr:to>
      <xdr:col>10</xdr:col>
      <xdr:colOff>367749</xdr:colOff>
      <xdr:row>42</xdr:row>
      <xdr:rowOff>191743</xdr:rowOff>
    </xdr:to>
    <xdr:cxnSp macro="">
      <xdr:nvCxnSpPr>
        <xdr:cNvPr id="346" name="Straight Connector 345">
          <a:extLst>
            <a:ext uri="{FF2B5EF4-FFF2-40B4-BE49-F238E27FC236}">
              <a16:creationId xmlns:a16="http://schemas.microsoft.com/office/drawing/2014/main" id="{32EDA7A4-FD1B-4071-9C9D-2FDA76B723F6}"/>
            </a:ext>
          </a:extLst>
        </xdr:cNvPr>
        <xdr:cNvCxnSpPr/>
      </xdr:nvCxnSpPr>
      <xdr:spPr>
        <a:xfrm flipH="1" flipV="1">
          <a:off x="6334126" y="1059346"/>
          <a:ext cx="908188" cy="73922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147017</xdr:colOff>
      <xdr:row>39</xdr:row>
      <xdr:rowOff>48868</xdr:rowOff>
    </xdr:from>
    <xdr:to>
      <xdr:col>9</xdr:col>
      <xdr:colOff>245839</xdr:colOff>
      <xdr:row>41</xdr:row>
      <xdr:rowOff>71490</xdr:rowOff>
    </xdr:to>
    <xdr:cxnSp macro="">
      <xdr:nvCxnSpPr>
        <xdr:cNvPr id="347" name="Straight Connector 346">
          <a:extLst>
            <a:ext uri="{FF2B5EF4-FFF2-40B4-BE49-F238E27FC236}">
              <a16:creationId xmlns:a16="http://schemas.microsoft.com/office/drawing/2014/main" id="{FCD93C25-22B1-446B-AE71-F90A7304E988}"/>
            </a:ext>
          </a:extLst>
        </xdr:cNvPr>
        <xdr:cNvCxnSpPr/>
      </xdr:nvCxnSpPr>
      <xdr:spPr>
        <a:xfrm>
          <a:off x="6334126" y="1059346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3314</xdr:colOff>
      <xdr:row>38</xdr:row>
      <xdr:rowOff>169379</xdr:rowOff>
    </xdr:from>
    <xdr:to>
      <xdr:col>9</xdr:col>
      <xdr:colOff>231913</xdr:colOff>
      <xdr:row>41</xdr:row>
      <xdr:rowOff>57979</xdr:rowOff>
    </xdr:to>
    <xdr:cxnSp macro="">
      <xdr:nvCxnSpPr>
        <xdr:cNvPr id="348" name="Straight Arrow Connector 347">
          <a:extLst>
            <a:ext uri="{FF2B5EF4-FFF2-40B4-BE49-F238E27FC236}">
              <a16:creationId xmlns:a16="http://schemas.microsoft.com/office/drawing/2014/main" id="{59E02EF0-C8D1-4465-ACC8-8345EF8EE91F}"/>
            </a:ext>
          </a:extLst>
        </xdr:cNvPr>
        <xdr:cNvCxnSpPr/>
      </xdr:nvCxnSpPr>
      <xdr:spPr>
        <a:xfrm flipH="1" flipV="1">
          <a:off x="5502966" y="972792"/>
          <a:ext cx="916056" cy="49323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173935</xdr:colOff>
      <xdr:row>38</xdr:row>
      <xdr:rowOff>190500</xdr:rowOff>
    </xdr:from>
    <xdr:to>
      <xdr:col>11</xdr:col>
      <xdr:colOff>438978</xdr:colOff>
      <xdr:row>41</xdr:row>
      <xdr:rowOff>57979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97F6111-1EE7-40BA-ABB1-77F221306D91}"/>
            </a:ext>
          </a:extLst>
        </xdr:cNvPr>
        <xdr:cNvSpPr txBox="1"/>
      </xdr:nvSpPr>
      <xdr:spPr>
        <a:xfrm>
          <a:off x="7048500" y="993913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2</xdr:col>
      <xdr:colOff>400878</xdr:colOff>
      <xdr:row>37</xdr:row>
      <xdr:rowOff>135836</xdr:rowOff>
    </xdr:from>
    <xdr:to>
      <xdr:col>3</xdr:col>
      <xdr:colOff>665921</xdr:colOff>
      <xdr:row>40</xdr:row>
      <xdr:rowOff>3314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034A72C-2152-48FB-9904-EA8A266C0169}"/>
            </a:ext>
          </a:extLst>
        </xdr:cNvPr>
        <xdr:cNvSpPr txBox="1"/>
      </xdr:nvSpPr>
      <xdr:spPr>
        <a:xfrm>
          <a:off x="1775791" y="740466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4</xdr:col>
      <xdr:colOff>66261</xdr:colOff>
      <xdr:row>39</xdr:row>
      <xdr:rowOff>190501</xdr:rowOff>
    </xdr:from>
    <xdr:to>
      <xdr:col>5</xdr:col>
      <xdr:colOff>331304</xdr:colOff>
      <xdr:row>42</xdr:row>
      <xdr:rowOff>66262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EF6F3C3A-8B76-4E4A-9847-6FA0F87BAF57}"/>
            </a:ext>
          </a:extLst>
        </xdr:cNvPr>
        <xdr:cNvSpPr txBox="1"/>
      </xdr:nvSpPr>
      <xdr:spPr>
        <a:xfrm>
          <a:off x="2816087" y="1200979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8</xdr:col>
      <xdr:colOff>160683</xdr:colOff>
      <xdr:row>40</xdr:row>
      <xdr:rowOff>193814</xdr:rowOff>
    </xdr:from>
    <xdr:to>
      <xdr:col>9</xdr:col>
      <xdr:colOff>425726</xdr:colOff>
      <xdr:row>43</xdr:row>
      <xdr:rowOff>61293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C7BC0D0-F19E-470A-86A0-EF72C420953A}"/>
            </a:ext>
          </a:extLst>
        </xdr:cNvPr>
        <xdr:cNvSpPr txBox="1"/>
      </xdr:nvSpPr>
      <xdr:spPr>
        <a:xfrm>
          <a:off x="5660335" y="1403075"/>
          <a:ext cx="95250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23</xdr:col>
      <xdr:colOff>466725</xdr:colOff>
      <xdr:row>39</xdr:row>
      <xdr:rowOff>19050</xdr:rowOff>
    </xdr:from>
    <xdr:to>
      <xdr:col>24</xdr:col>
      <xdr:colOff>679174</xdr:colOff>
      <xdr:row>42</xdr:row>
      <xdr:rowOff>190500</xdr:rowOff>
    </xdr:to>
    <xdr:cxnSp macro="">
      <xdr:nvCxnSpPr>
        <xdr:cNvPr id="353" name="Straight Connector 352">
          <a:extLst>
            <a:ext uri="{FF2B5EF4-FFF2-40B4-BE49-F238E27FC236}">
              <a16:creationId xmlns:a16="http://schemas.microsoft.com/office/drawing/2014/main" id="{2DE238FD-9F1C-46C4-856F-9552D2E4D34F}"/>
            </a:ext>
          </a:extLst>
        </xdr:cNvPr>
        <xdr:cNvCxnSpPr/>
      </xdr:nvCxnSpPr>
      <xdr:spPr>
        <a:xfrm flipH="1" flipV="1">
          <a:off x="6653834" y="8260246"/>
          <a:ext cx="899905" cy="76779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39</xdr:row>
      <xdr:rowOff>19050</xdr:rowOff>
    </xdr:from>
    <xdr:to>
      <xdr:col>23</xdr:col>
      <xdr:colOff>565547</xdr:colOff>
      <xdr:row>41</xdr:row>
      <xdr:rowOff>41672</xdr:rowOff>
    </xdr:to>
    <xdr:cxnSp macro="">
      <xdr:nvCxnSpPr>
        <xdr:cNvPr id="354" name="Straight Connector 353">
          <a:extLst>
            <a:ext uri="{FF2B5EF4-FFF2-40B4-BE49-F238E27FC236}">
              <a16:creationId xmlns:a16="http://schemas.microsoft.com/office/drawing/2014/main" id="{57022FC1-B483-4317-8065-0F899E04A54B}"/>
            </a:ext>
          </a:extLst>
        </xdr:cNvPr>
        <xdr:cNvCxnSpPr/>
      </xdr:nvCxnSpPr>
      <xdr:spPr>
        <a:xfrm>
          <a:off x="6653834" y="8260246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37</xdr:row>
      <xdr:rowOff>180975</xdr:rowOff>
    </xdr:from>
    <xdr:to>
      <xdr:col>23</xdr:col>
      <xdr:colOff>561975</xdr:colOff>
      <xdr:row>41</xdr:row>
      <xdr:rowOff>47625</xdr:rowOff>
    </xdr:to>
    <xdr:cxnSp macro="">
      <xdr:nvCxnSpPr>
        <xdr:cNvPr id="355" name="Straight Arrow Connector 354">
          <a:extLst>
            <a:ext uri="{FF2B5EF4-FFF2-40B4-BE49-F238E27FC236}">
              <a16:creationId xmlns:a16="http://schemas.microsoft.com/office/drawing/2014/main" id="{C0A1F80E-5F83-46AC-8B32-A2C0D4DEA822}"/>
            </a:ext>
          </a:extLst>
        </xdr:cNvPr>
        <xdr:cNvCxnSpPr/>
      </xdr:nvCxnSpPr>
      <xdr:spPr>
        <a:xfrm flipH="1" flipV="1">
          <a:off x="5499652" y="8016323"/>
          <a:ext cx="1249432" cy="6700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405847</xdr:colOff>
      <xdr:row>38</xdr:row>
      <xdr:rowOff>0</xdr:rowOff>
    </xdr:from>
    <xdr:to>
      <xdr:col>18</xdr:col>
      <xdr:colOff>670891</xdr:colOff>
      <xdr:row>40</xdr:row>
      <xdr:rowOff>82826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769016C7-2CD6-4C4A-BA34-AE6FE3B856E1}"/>
            </a:ext>
          </a:extLst>
        </xdr:cNvPr>
        <xdr:cNvCxnSpPr/>
      </xdr:nvCxnSpPr>
      <xdr:spPr>
        <a:xfrm flipH="1">
          <a:off x="2468217" y="8034130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40</xdr:row>
      <xdr:rowOff>82826</xdr:rowOff>
    </xdr:from>
    <xdr:to>
      <xdr:col>18</xdr:col>
      <xdr:colOff>57978</xdr:colOff>
      <xdr:row>40</xdr:row>
      <xdr:rowOff>157369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777333F7-AD5C-41EB-86BD-60895396CE39}"/>
            </a:ext>
          </a:extLst>
        </xdr:cNvPr>
        <xdr:cNvCxnSpPr/>
      </xdr:nvCxnSpPr>
      <xdr:spPr>
        <a:xfrm>
          <a:off x="2443370" y="8522804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40</xdr:row>
      <xdr:rowOff>157369</xdr:rowOff>
    </xdr:from>
    <xdr:to>
      <xdr:col>18</xdr:col>
      <xdr:colOff>49696</xdr:colOff>
      <xdr:row>42</xdr:row>
      <xdr:rowOff>190500</xdr:rowOff>
    </xdr:to>
    <xdr:cxnSp macro="">
      <xdr:nvCxnSpPr>
        <xdr:cNvPr id="358" name="Straight Arrow Connector 357">
          <a:extLst>
            <a:ext uri="{FF2B5EF4-FFF2-40B4-BE49-F238E27FC236}">
              <a16:creationId xmlns:a16="http://schemas.microsoft.com/office/drawing/2014/main" id="{D0C6935A-E423-457D-A2FB-3CBB37F7E7DE}"/>
            </a:ext>
          </a:extLst>
        </xdr:cNvPr>
        <xdr:cNvCxnSpPr/>
      </xdr:nvCxnSpPr>
      <xdr:spPr>
        <a:xfrm flipH="1">
          <a:off x="2062370" y="8597347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36443</xdr:colOff>
      <xdr:row>38</xdr:row>
      <xdr:rowOff>11595</xdr:rowOff>
    </xdr:from>
    <xdr:to>
      <xdr:col>18</xdr:col>
      <xdr:colOff>301487</xdr:colOff>
      <xdr:row>40</xdr:row>
      <xdr:rowOff>94421</xdr:rowOff>
    </xdr:to>
    <xdr:cxnSp macro="">
      <xdr:nvCxnSpPr>
        <xdr:cNvPr id="359" name="Straight Connector 358">
          <a:extLst>
            <a:ext uri="{FF2B5EF4-FFF2-40B4-BE49-F238E27FC236}">
              <a16:creationId xmlns:a16="http://schemas.microsoft.com/office/drawing/2014/main" id="{485332F3-3939-49DC-97B7-6C42E7977C14}"/>
            </a:ext>
          </a:extLst>
        </xdr:cNvPr>
        <xdr:cNvCxnSpPr/>
      </xdr:nvCxnSpPr>
      <xdr:spPr>
        <a:xfrm flipH="1">
          <a:off x="2098813" y="8045725"/>
          <a:ext cx="952500" cy="48867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11596</xdr:colOff>
      <xdr:row>40</xdr:row>
      <xdr:rowOff>94421</xdr:rowOff>
    </xdr:from>
    <xdr:to>
      <xdr:col>17</xdr:col>
      <xdr:colOff>376030</xdr:colOff>
      <xdr:row>40</xdr:row>
      <xdr:rowOff>168964</xdr:rowOff>
    </xdr:to>
    <xdr:cxnSp macro="">
      <xdr:nvCxnSpPr>
        <xdr:cNvPr id="360" name="Straight Connector 359">
          <a:extLst>
            <a:ext uri="{FF2B5EF4-FFF2-40B4-BE49-F238E27FC236}">
              <a16:creationId xmlns:a16="http://schemas.microsoft.com/office/drawing/2014/main" id="{C49A6E09-A3FD-40BF-9B91-A88D717AB94B}"/>
            </a:ext>
          </a:extLst>
        </xdr:cNvPr>
        <xdr:cNvCxnSpPr/>
      </xdr:nvCxnSpPr>
      <xdr:spPr>
        <a:xfrm>
          <a:off x="2073966" y="8534399"/>
          <a:ext cx="364434" cy="7454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318053</xdr:colOff>
      <xdr:row>40</xdr:row>
      <xdr:rowOff>168964</xdr:rowOff>
    </xdr:from>
    <xdr:to>
      <xdr:col>17</xdr:col>
      <xdr:colOff>367748</xdr:colOff>
      <xdr:row>42</xdr:row>
      <xdr:rowOff>202095</xdr:rowOff>
    </xdr:to>
    <xdr:cxnSp macro="">
      <xdr:nvCxnSpPr>
        <xdr:cNvPr id="361" name="Straight Arrow Connector 360">
          <a:extLst>
            <a:ext uri="{FF2B5EF4-FFF2-40B4-BE49-F238E27FC236}">
              <a16:creationId xmlns:a16="http://schemas.microsoft.com/office/drawing/2014/main" id="{123259E5-406A-4F5B-B54E-2F7B8F6B8415}"/>
            </a:ext>
          </a:extLst>
        </xdr:cNvPr>
        <xdr:cNvCxnSpPr/>
      </xdr:nvCxnSpPr>
      <xdr:spPr>
        <a:xfrm flipH="1">
          <a:off x="1692966" y="8608942"/>
          <a:ext cx="737152" cy="43069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147017</xdr:colOff>
      <xdr:row>39</xdr:row>
      <xdr:rowOff>48868</xdr:rowOff>
    </xdr:from>
    <xdr:to>
      <xdr:col>24</xdr:col>
      <xdr:colOff>367749</xdr:colOff>
      <xdr:row>42</xdr:row>
      <xdr:rowOff>191743</xdr:rowOff>
    </xdr:to>
    <xdr:cxnSp macro="">
      <xdr:nvCxnSpPr>
        <xdr:cNvPr id="362" name="Straight Connector 361">
          <a:extLst>
            <a:ext uri="{FF2B5EF4-FFF2-40B4-BE49-F238E27FC236}">
              <a16:creationId xmlns:a16="http://schemas.microsoft.com/office/drawing/2014/main" id="{5EA4A55E-1780-4D09-905F-FBDED5F64286}"/>
            </a:ext>
          </a:extLst>
        </xdr:cNvPr>
        <xdr:cNvCxnSpPr/>
      </xdr:nvCxnSpPr>
      <xdr:spPr>
        <a:xfrm flipH="1" flipV="1">
          <a:off x="6334126" y="8290064"/>
          <a:ext cx="908188" cy="739222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147017</xdr:colOff>
      <xdr:row>39</xdr:row>
      <xdr:rowOff>48868</xdr:rowOff>
    </xdr:from>
    <xdr:to>
      <xdr:col>23</xdr:col>
      <xdr:colOff>245839</xdr:colOff>
      <xdr:row>41</xdr:row>
      <xdr:rowOff>71490</xdr:rowOff>
    </xdr:to>
    <xdr:cxnSp macro="">
      <xdr:nvCxnSpPr>
        <xdr:cNvPr id="363" name="Straight Connector 362">
          <a:extLst>
            <a:ext uri="{FF2B5EF4-FFF2-40B4-BE49-F238E27FC236}">
              <a16:creationId xmlns:a16="http://schemas.microsoft.com/office/drawing/2014/main" id="{45964781-E811-4DF7-89DC-EBAB7DC41C55}"/>
            </a:ext>
          </a:extLst>
        </xdr:cNvPr>
        <xdr:cNvCxnSpPr/>
      </xdr:nvCxnSpPr>
      <xdr:spPr>
        <a:xfrm>
          <a:off x="6334126" y="8290064"/>
          <a:ext cx="98822" cy="4201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3314</xdr:colOff>
      <xdr:row>38</xdr:row>
      <xdr:rowOff>169379</xdr:rowOff>
    </xdr:from>
    <xdr:to>
      <xdr:col>23</xdr:col>
      <xdr:colOff>231913</xdr:colOff>
      <xdr:row>41</xdr:row>
      <xdr:rowOff>57979</xdr:rowOff>
    </xdr:to>
    <xdr:cxnSp macro="">
      <xdr:nvCxnSpPr>
        <xdr:cNvPr id="364" name="Straight Arrow Connector 363">
          <a:extLst>
            <a:ext uri="{FF2B5EF4-FFF2-40B4-BE49-F238E27FC236}">
              <a16:creationId xmlns:a16="http://schemas.microsoft.com/office/drawing/2014/main" id="{C3BAA166-4931-4B81-BEB9-83DCD424FA8C}"/>
            </a:ext>
          </a:extLst>
        </xdr:cNvPr>
        <xdr:cNvCxnSpPr/>
      </xdr:nvCxnSpPr>
      <xdr:spPr>
        <a:xfrm flipH="1" flipV="1">
          <a:off x="5502966" y="8203509"/>
          <a:ext cx="916056" cy="49323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173935</xdr:colOff>
      <xdr:row>38</xdr:row>
      <xdr:rowOff>190500</xdr:rowOff>
    </xdr:from>
    <xdr:to>
      <xdr:col>25</xdr:col>
      <xdr:colOff>438978</xdr:colOff>
      <xdr:row>41</xdr:row>
      <xdr:rowOff>57979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BB42D305-718E-4496-8532-9D04DF8F706B}"/>
            </a:ext>
          </a:extLst>
        </xdr:cNvPr>
        <xdr:cNvSpPr txBox="1"/>
      </xdr:nvSpPr>
      <xdr:spPr>
        <a:xfrm>
          <a:off x="7048500" y="8224630"/>
          <a:ext cx="952500" cy="47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16</xdr:col>
      <xdr:colOff>400878</xdr:colOff>
      <xdr:row>37</xdr:row>
      <xdr:rowOff>135836</xdr:rowOff>
    </xdr:from>
    <xdr:to>
      <xdr:col>17</xdr:col>
      <xdr:colOff>665921</xdr:colOff>
      <xdr:row>40</xdr:row>
      <xdr:rowOff>3314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C74B2665-98B6-4A50-B528-E34EB4B7567E}"/>
            </a:ext>
          </a:extLst>
        </xdr:cNvPr>
        <xdr:cNvSpPr txBox="1"/>
      </xdr:nvSpPr>
      <xdr:spPr>
        <a:xfrm>
          <a:off x="1775791" y="7971184"/>
          <a:ext cx="952500" cy="4721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Previsione mensile</a:t>
          </a:r>
        </a:p>
      </xdr:txBody>
    </xdr:sp>
    <xdr:clientData/>
  </xdr:twoCellAnchor>
  <xdr:twoCellAnchor>
    <xdr:from>
      <xdr:col>18</xdr:col>
      <xdr:colOff>66261</xdr:colOff>
      <xdr:row>39</xdr:row>
      <xdr:rowOff>190501</xdr:rowOff>
    </xdr:from>
    <xdr:to>
      <xdr:col>19</xdr:col>
      <xdr:colOff>331304</xdr:colOff>
      <xdr:row>42</xdr:row>
      <xdr:rowOff>66262</xdr:rowOff>
    </xdr:to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4C9016FF-F5D6-4039-84E0-EE55799F693D}"/>
            </a:ext>
          </a:extLst>
        </xdr:cNvPr>
        <xdr:cNvSpPr txBox="1"/>
      </xdr:nvSpPr>
      <xdr:spPr>
        <a:xfrm>
          <a:off x="2816087" y="8431697"/>
          <a:ext cx="952500" cy="4721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twoCellAnchor>
    <xdr:from>
      <xdr:col>22</xdr:col>
      <xdr:colOff>160683</xdr:colOff>
      <xdr:row>40</xdr:row>
      <xdr:rowOff>193814</xdr:rowOff>
    </xdr:from>
    <xdr:to>
      <xdr:col>23</xdr:col>
      <xdr:colOff>425726</xdr:colOff>
      <xdr:row>43</xdr:row>
      <xdr:rowOff>61293</xdr:rowOff>
    </xdr:to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8CAB4117-22DE-4056-BBFD-5FFFB783261E}"/>
            </a:ext>
          </a:extLst>
        </xdr:cNvPr>
        <xdr:cNvSpPr txBox="1"/>
      </xdr:nvSpPr>
      <xdr:spPr>
        <a:xfrm>
          <a:off x="5660335" y="8633792"/>
          <a:ext cx="952500" cy="4638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Ordini settimanali</a:t>
          </a:r>
        </a:p>
      </xdr:txBody>
    </xdr:sp>
    <xdr:clientData/>
  </xdr:twoCellAnchor>
  <xdr:oneCellAnchor>
    <xdr:from>
      <xdr:col>6</xdr:col>
      <xdr:colOff>257175</xdr:colOff>
      <xdr:row>51</xdr:row>
      <xdr:rowOff>9525</xdr:rowOff>
    </xdr:from>
    <xdr:ext cx="552587" cy="264560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7337728A-35F5-4E3C-A26C-5CB21773B898}"/>
            </a:ext>
          </a:extLst>
        </xdr:cNvPr>
        <xdr:cNvSpPr txBox="1"/>
      </xdr:nvSpPr>
      <xdr:spPr>
        <a:xfrm>
          <a:off x="4381914" y="3463373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oneCellAnchor>
    <xdr:from>
      <xdr:col>4</xdr:col>
      <xdr:colOff>190500</xdr:colOff>
      <xdr:row>51</xdr:row>
      <xdr:rowOff>0</xdr:rowOff>
    </xdr:from>
    <xdr:ext cx="552587" cy="264560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E2126AA4-AF75-4DED-A35A-E986F451AD5D}"/>
            </a:ext>
          </a:extLst>
        </xdr:cNvPr>
        <xdr:cNvSpPr txBox="1"/>
      </xdr:nvSpPr>
      <xdr:spPr>
        <a:xfrm>
          <a:off x="2940326" y="3453848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oneCellAnchor>
    <xdr:from>
      <xdr:col>20</xdr:col>
      <xdr:colOff>257175</xdr:colOff>
      <xdr:row>51</xdr:row>
      <xdr:rowOff>9525</xdr:rowOff>
    </xdr:from>
    <xdr:ext cx="552587" cy="264560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56C357C3-11AC-446E-8927-C63196E627D4}"/>
            </a:ext>
          </a:extLst>
        </xdr:cNvPr>
        <xdr:cNvSpPr txBox="1"/>
      </xdr:nvSpPr>
      <xdr:spPr>
        <a:xfrm>
          <a:off x="4381914" y="3463373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oneCellAnchor>
    <xdr:from>
      <xdr:col>18</xdr:col>
      <xdr:colOff>190500</xdr:colOff>
      <xdr:row>51</xdr:row>
      <xdr:rowOff>0</xdr:rowOff>
    </xdr:from>
    <xdr:ext cx="552587" cy="264560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665A1757-B039-4A58-87C4-ACDA29508ED7}"/>
            </a:ext>
          </a:extLst>
        </xdr:cNvPr>
        <xdr:cNvSpPr txBox="1"/>
      </xdr:nvSpPr>
      <xdr:spPr>
        <a:xfrm>
          <a:off x="2940326" y="3453848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oneCellAnchor>
    <xdr:from>
      <xdr:col>20</xdr:col>
      <xdr:colOff>257175</xdr:colOff>
      <xdr:row>17</xdr:row>
      <xdr:rowOff>9525</xdr:rowOff>
    </xdr:from>
    <xdr:ext cx="552587" cy="264560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B2721B4-28AE-49F1-AFA0-153BD52D9513}"/>
            </a:ext>
          </a:extLst>
        </xdr:cNvPr>
        <xdr:cNvSpPr txBox="1"/>
      </xdr:nvSpPr>
      <xdr:spPr>
        <a:xfrm>
          <a:off x="4381914" y="3463373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oneCellAnchor>
    <xdr:from>
      <xdr:col>18</xdr:col>
      <xdr:colOff>190500</xdr:colOff>
      <xdr:row>17</xdr:row>
      <xdr:rowOff>0</xdr:rowOff>
    </xdr:from>
    <xdr:ext cx="552587" cy="264560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1EC4F53-D165-4750-86F8-2D52226EA155}"/>
            </a:ext>
          </a:extLst>
        </xdr:cNvPr>
        <xdr:cNvSpPr txBox="1"/>
      </xdr:nvSpPr>
      <xdr:spPr>
        <a:xfrm>
          <a:off x="2940326" y="3453848"/>
          <a:ext cx="5525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100" b="1"/>
            <a:t>giorno</a:t>
          </a:r>
        </a:p>
      </xdr:txBody>
    </xdr:sp>
    <xdr:clientData/>
  </xdr:oneCellAnchor>
  <xdr:twoCellAnchor>
    <xdr:from>
      <xdr:col>17</xdr:col>
      <xdr:colOff>499855</xdr:colOff>
      <xdr:row>16</xdr:row>
      <xdr:rowOff>2484</xdr:rowOff>
    </xdr:from>
    <xdr:to>
      <xdr:col>20</xdr:col>
      <xdr:colOff>14080</xdr:colOff>
      <xdr:row>20</xdr:row>
      <xdr:rowOff>192984</xdr:rowOff>
    </xdr:to>
    <xdr:cxnSp macro="">
      <xdr:nvCxnSpPr>
        <xdr:cNvPr id="377" name="Straight Arrow Connector 376">
          <a:extLst>
            <a:ext uri="{FF2B5EF4-FFF2-40B4-BE49-F238E27FC236}">
              <a16:creationId xmlns:a16="http://schemas.microsoft.com/office/drawing/2014/main" id="{F6046D31-1583-4A61-96EC-BD620EE00B07}"/>
            </a:ext>
          </a:extLst>
        </xdr:cNvPr>
        <xdr:cNvCxnSpPr/>
      </xdr:nvCxnSpPr>
      <xdr:spPr>
        <a:xfrm flipH="1">
          <a:off x="12186616" y="3249267"/>
          <a:ext cx="1576594" cy="99391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23605</xdr:colOff>
      <xdr:row>16</xdr:row>
      <xdr:rowOff>12009</xdr:rowOff>
    </xdr:from>
    <xdr:to>
      <xdr:col>21</xdr:col>
      <xdr:colOff>4555</xdr:colOff>
      <xdr:row>20</xdr:row>
      <xdr:rowOff>183459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1BD809FE-E3BE-489C-92A3-105D39E56D0F}"/>
            </a:ext>
          </a:extLst>
        </xdr:cNvPr>
        <xdr:cNvCxnSpPr/>
      </xdr:nvCxnSpPr>
      <xdr:spPr>
        <a:xfrm>
          <a:off x="13772735" y="3258792"/>
          <a:ext cx="668407" cy="9748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521804</xdr:colOff>
      <xdr:row>50</xdr:row>
      <xdr:rowOff>8282</xdr:rowOff>
    </xdr:from>
    <xdr:to>
      <xdr:col>20</xdr:col>
      <xdr:colOff>36029</xdr:colOff>
      <xdr:row>54</xdr:row>
      <xdr:rowOff>198782</xdr:rowOff>
    </xdr:to>
    <xdr:cxnSp macro="">
      <xdr:nvCxnSpPr>
        <xdr:cNvPr id="379" name="Straight Arrow Connector 378">
          <a:extLst>
            <a:ext uri="{FF2B5EF4-FFF2-40B4-BE49-F238E27FC236}">
              <a16:creationId xmlns:a16="http://schemas.microsoft.com/office/drawing/2014/main" id="{81352DFC-398D-42C1-85C3-985530DD048B}"/>
            </a:ext>
          </a:extLst>
        </xdr:cNvPr>
        <xdr:cNvCxnSpPr/>
      </xdr:nvCxnSpPr>
      <xdr:spPr>
        <a:xfrm flipH="1">
          <a:off x="12208565" y="10146195"/>
          <a:ext cx="1576594" cy="99391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45554</xdr:colOff>
      <xdr:row>50</xdr:row>
      <xdr:rowOff>17807</xdr:rowOff>
    </xdr:from>
    <xdr:to>
      <xdr:col>21</xdr:col>
      <xdr:colOff>26504</xdr:colOff>
      <xdr:row>54</xdr:row>
      <xdr:rowOff>189257</xdr:rowOff>
    </xdr:to>
    <xdr:cxnSp macro="">
      <xdr:nvCxnSpPr>
        <xdr:cNvPr id="380" name="Straight Arrow Connector 379">
          <a:extLst>
            <a:ext uri="{FF2B5EF4-FFF2-40B4-BE49-F238E27FC236}">
              <a16:creationId xmlns:a16="http://schemas.microsoft.com/office/drawing/2014/main" id="{8B2288EC-C8BC-4241-8CF6-D5DDC7640EEB}"/>
            </a:ext>
          </a:extLst>
        </xdr:cNvPr>
        <xdr:cNvCxnSpPr/>
      </xdr:nvCxnSpPr>
      <xdr:spPr>
        <a:xfrm>
          <a:off x="13794684" y="10155720"/>
          <a:ext cx="668407" cy="9748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50</xdr:row>
      <xdr:rowOff>16564</xdr:rowOff>
    </xdr:from>
    <xdr:to>
      <xdr:col>6</xdr:col>
      <xdr:colOff>11182</xdr:colOff>
      <xdr:row>54</xdr:row>
      <xdr:rowOff>207064</xdr:rowOff>
    </xdr:to>
    <xdr:cxnSp macro="">
      <xdr:nvCxnSpPr>
        <xdr:cNvPr id="381" name="Straight Arrow Connector 380">
          <a:extLst>
            <a:ext uri="{FF2B5EF4-FFF2-40B4-BE49-F238E27FC236}">
              <a16:creationId xmlns:a16="http://schemas.microsoft.com/office/drawing/2014/main" id="{2364BE71-3F63-4346-B064-101AE6533DDD}"/>
            </a:ext>
          </a:extLst>
        </xdr:cNvPr>
        <xdr:cNvCxnSpPr/>
      </xdr:nvCxnSpPr>
      <xdr:spPr>
        <a:xfrm flipH="1">
          <a:off x="2559327" y="10154477"/>
          <a:ext cx="1576594" cy="99391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20707</xdr:colOff>
      <xdr:row>50</xdr:row>
      <xdr:rowOff>26089</xdr:rowOff>
    </xdr:from>
    <xdr:to>
      <xdr:col>7</xdr:col>
      <xdr:colOff>1657</xdr:colOff>
      <xdr:row>54</xdr:row>
      <xdr:rowOff>197539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1FEC2A6A-F52A-4ABD-A6F0-E1BE4C0A4709}"/>
            </a:ext>
          </a:extLst>
        </xdr:cNvPr>
        <xdr:cNvCxnSpPr/>
      </xdr:nvCxnSpPr>
      <xdr:spPr>
        <a:xfrm>
          <a:off x="4145446" y="10164002"/>
          <a:ext cx="668407" cy="9748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91109</xdr:colOff>
      <xdr:row>5</xdr:row>
      <xdr:rowOff>16565</xdr:rowOff>
    </xdr:from>
    <xdr:to>
      <xdr:col>6</xdr:col>
      <xdr:colOff>248478</xdr:colOff>
      <xdr:row>14</xdr:row>
      <xdr:rowOff>173935</xdr:rowOff>
    </xdr:to>
    <xdr:cxnSp macro="">
      <xdr:nvCxnSpPr>
        <xdr:cNvPr id="384" name="Straight Arrow Connector 383">
          <a:extLst>
            <a:ext uri="{FF2B5EF4-FFF2-40B4-BE49-F238E27FC236}">
              <a16:creationId xmlns:a16="http://schemas.microsoft.com/office/drawing/2014/main" id="{538077BB-5589-C7A2-CF50-AE21077CBA32}"/>
            </a:ext>
          </a:extLst>
        </xdr:cNvPr>
        <xdr:cNvCxnSpPr/>
      </xdr:nvCxnSpPr>
      <xdr:spPr>
        <a:xfrm flipH="1">
          <a:off x="4215848" y="1027043"/>
          <a:ext cx="157369" cy="197954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149087</xdr:colOff>
      <xdr:row>5</xdr:row>
      <xdr:rowOff>0</xdr:rowOff>
    </xdr:from>
    <xdr:to>
      <xdr:col>20</xdr:col>
      <xdr:colOff>306456</xdr:colOff>
      <xdr:row>14</xdr:row>
      <xdr:rowOff>157370</xdr:rowOff>
    </xdr:to>
    <xdr:cxnSp macro="">
      <xdr:nvCxnSpPr>
        <xdr:cNvPr id="385" name="Straight Arrow Connector 384">
          <a:extLst>
            <a:ext uri="{FF2B5EF4-FFF2-40B4-BE49-F238E27FC236}">
              <a16:creationId xmlns:a16="http://schemas.microsoft.com/office/drawing/2014/main" id="{030A2E22-3C1C-468D-B411-A42AF6000484}"/>
            </a:ext>
          </a:extLst>
        </xdr:cNvPr>
        <xdr:cNvCxnSpPr/>
      </xdr:nvCxnSpPr>
      <xdr:spPr>
        <a:xfrm flipH="1">
          <a:off x="13898217" y="1010478"/>
          <a:ext cx="157369" cy="197954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91109</xdr:colOff>
      <xdr:row>39</xdr:row>
      <xdr:rowOff>33132</xdr:rowOff>
    </xdr:from>
    <xdr:to>
      <xdr:col>20</xdr:col>
      <xdr:colOff>248478</xdr:colOff>
      <xdr:row>48</xdr:row>
      <xdr:rowOff>198784</xdr:rowOff>
    </xdr:to>
    <xdr:cxnSp macro="">
      <xdr:nvCxnSpPr>
        <xdr:cNvPr id="386" name="Straight Arrow Connector 385">
          <a:extLst>
            <a:ext uri="{FF2B5EF4-FFF2-40B4-BE49-F238E27FC236}">
              <a16:creationId xmlns:a16="http://schemas.microsoft.com/office/drawing/2014/main" id="{7E7F60C4-289A-4DC6-89C5-91E7B1976978}"/>
            </a:ext>
          </a:extLst>
        </xdr:cNvPr>
        <xdr:cNvCxnSpPr/>
      </xdr:nvCxnSpPr>
      <xdr:spPr>
        <a:xfrm flipH="1">
          <a:off x="13840239" y="7943023"/>
          <a:ext cx="157369" cy="197954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173935</xdr:colOff>
      <xdr:row>39</xdr:row>
      <xdr:rowOff>24848</xdr:rowOff>
    </xdr:from>
    <xdr:to>
      <xdr:col>6</xdr:col>
      <xdr:colOff>331304</xdr:colOff>
      <xdr:row>48</xdr:row>
      <xdr:rowOff>190500</xdr:rowOff>
    </xdr:to>
    <xdr:cxnSp macro="">
      <xdr:nvCxnSpPr>
        <xdr:cNvPr id="387" name="Straight Arrow Connector 386">
          <a:extLst>
            <a:ext uri="{FF2B5EF4-FFF2-40B4-BE49-F238E27FC236}">
              <a16:creationId xmlns:a16="http://schemas.microsoft.com/office/drawing/2014/main" id="{013E2C8F-7E8B-4E25-BED0-E565E655C94F}"/>
            </a:ext>
          </a:extLst>
        </xdr:cNvPr>
        <xdr:cNvCxnSpPr/>
      </xdr:nvCxnSpPr>
      <xdr:spPr>
        <a:xfrm flipH="1">
          <a:off x="4298674" y="7934739"/>
          <a:ext cx="157369" cy="197954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546652</xdr:colOff>
      <xdr:row>8</xdr:row>
      <xdr:rowOff>99391</xdr:rowOff>
    </xdr:from>
    <xdr:to>
      <xdr:col>6</xdr:col>
      <xdr:colOff>654327</xdr:colOff>
      <xdr:row>9</xdr:row>
      <xdr:rowOff>173935</xdr:rowOff>
    </xdr:to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E736F76D-491F-46F2-BA95-AEB0D76ED68B}"/>
            </a:ext>
          </a:extLst>
        </xdr:cNvPr>
        <xdr:cNvSpPr txBox="1"/>
      </xdr:nvSpPr>
      <xdr:spPr>
        <a:xfrm>
          <a:off x="3983935" y="1706217"/>
          <a:ext cx="795131" cy="28160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 b="1"/>
            <a:t>Settimana</a:t>
          </a:r>
        </a:p>
      </xdr:txBody>
    </xdr:sp>
    <xdr:clientData/>
  </xdr:twoCellAnchor>
  <xdr:twoCellAnchor>
    <xdr:from>
      <xdr:col>19</xdr:col>
      <xdr:colOff>546652</xdr:colOff>
      <xdr:row>8</xdr:row>
      <xdr:rowOff>149087</xdr:rowOff>
    </xdr:from>
    <xdr:to>
      <xdr:col>20</xdr:col>
      <xdr:colOff>654327</xdr:colOff>
      <xdr:row>10</xdr:row>
      <xdr:rowOff>24848</xdr:rowOff>
    </xdr:to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DAF3F47-66E9-4E01-AB8B-F72E82085D70}"/>
            </a:ext>
          </a:extLst>
        </xdr:cNvPr>
        <xdr:cNvSpPr txBox="1"/>
      </xdr:nvSpPr>
      <xdr:spPr>
        <a:xfrm>
          <a:off x="13608326" y="1755913"/>
          <a:ext cx="795131" cy="28160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 b="1"/>
            <a:t>Settimana</a:t>
          </a:r>
        </a:p>
      </xdr:txBody>
    </xdr:sp>
    <xdr:clientData/>
  </xdr:twoCellAnchor>
  <xdr:twoCellAnchor>
    <xdr:from>
      <xdr:col>19</xdr:col>
      <xdr:colOff>480391</xdr:colOff>
      <xdr:row>42</xdr:row>
      <xdr:rowOff>165652</xdr:rowOff>
    </xdr:from>
    <xdr:to>
      <xdr:col>20</xdr:col>
      <xdr:colOff>588066</xdr:colOff>
      <xdr:row>44</xdr:row>
      <xdr:rowOff>49696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8066C43-5793-42F1-935D-D9973D09ED04}"/>
            </a:ext>
          </a:extLst>
        </xdr:cNvPr>
        <xdr:cNvSpPr txBox="1"/>
      </xdr:nvSpPr>
      <xdr:spPr>
        <a:xfrm>
          <a:off x="13542065" y="8671891"/>
          <a:ext cx="795131" cy="28160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 b="1"/>
            <a:t>Settimana</a:t>
          </a:r>
        </a:p>
      </xdr:txBody>
    </xdr:sp>
    <xdr:clientData/>
  </xdr:twoCellAnchor>
  <xdr:twoCellAnchor>
    <xdr:from>
      <xdr:col>5</xdr:col>
      <xdr:colOff>621195</xdr:colOff>
      <xdr:row>42</xdr:row>
      <xdr:rowOff>190500</xdr:rowOff>
    </xdr:from>
    <xdr:to>
      <xdr:col>7</xdr:col>
      <xdr:colOff>41413</xdr:colOff>
      <xdr:row>44</xdr:row>
      <xdr:rowOff>74544</xdr:rowOff>
    </xdr:to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CE2C23D-1062-4B5E-8673-B3496F5EBA3B}"/>
            </a:ext>
          </a:extLst>
        </xdr:cNvPr>
        <xdr:cNvSpPr txBox="1"/>
      </xdr:nvSpPr>
      <xdr:spPr>
        <a:xfrm>
          <a:off x="4058478" y="8696739"/>
          <a:ext cx="795131" cy="28160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 b="1"/>
            <a:t>Settimana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19029</xdr:colOff>
      <xdr:row>17</xdr:row>
      <xdr:rowOff>30138</xdr:rowOff>
    </xdr:from>
    <xdr:to>
      <xdr:col>7</xdr:col>
      <xdr:colOff>556901</xdr:colOff>
      <xdr:row>33</xdr:row>
      <xdr:rowOff>183976</xdr:rowOff>
    </xdr:to>
    <xdr:pic>
      <xdr:nvPicPr>
        <xdr:cNvPr id="2" name="Immagine 2">
          <a:extLst>
            <a:ext uri="{FF2B5EF4-FFF2-40B4-BE49-F238E27FC236}">
              <a16:creationId xmlns:a16="http://schemas.microsoft.com/office/drawing/2014/main" id="{9C55F943-0443-B02D-6840-4A575EE7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358" y="3439085"/>
          <a:ext cx="3496972" cy="3316138"/>
        </a:xfrm>
        <a:prstGeom prst="rect">
          <a:avLst/>
        </a:prstGeom>
      </xdr:spPr>
    </xdr:pic>
    <xdr:clientData/>
  </xdr:twoCellAnchor>
  <xdr:twoCellAnchor editAs="oneCell">
    <xdr:from>
      <xdr:col>9</xdr:col>
      <xdr:colOff>13326</xdr:colOff>
      <xdr:row>17</xdr:row>
      <xdr:rowOff>29449</xdr:rowOff>
    </xdr:from>
    <xdr:to>
      <xdr:col>15</xdr:col>
      <xdr:colOff>1966</xdr:colOff>
      <xdr:row>39</xdr:row>
      <xdr:rowOff>74704</xdr:rowOff>
    </xdr:to>
    <xdr:pic>
      <xdr:nvPicPr>
        <xdr:cNvPr id="4" name="Immagine 1">
          <a:extLst>
            <a:ext uri="{FF2B5EF4-FFF2-40B4-BE49-F238E27FC236}">
              <a16:creationId xmlns:a16="http://schemas.microsoft.com/office/drawing/2014/main" id="{38993E2E-57C5-6E6C-371F-A018500E932B}"/>
            </a:ext>
            <a:ext uri="{147F2762-F138-4A5C-976F-8EAC2B608ADB}">
              <a16:predDERef xmlns:a16="http://schemas.microsoft.com/office/drawing/2014/main" pred="{9C55F943-0443-B02D-6840-4A575EE7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293" y="3438396"/>
          <a:ext cx="4344740" cy="43886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867834</xdr:colOff>
      <xdr:row>9</xdr:row>
      <xdr:rowOff>78894</xdr:rowOff>
    </xdr:from>
    <xdr:to>
      <xdr:col>4</xdr:col>
      <xdr:colOff>836276</xdr:colOff>
      <xdr:row>17</xdr:row>
      <xdr:rowOff>114997</xdr:rowOff>
    </xdr:to>
    <xdr:pic>
      <xdr:nvPicPr>
        <xdr:cNvPr id="4" name="Immagine 1">
          <a:extLst>
            <a:ext uri="{FF2B5EF4-FFF2-40B4-BE49-F238E27FC236}">
              <a16:creationId xmlns:a16="http://schemas.microsoft.com/office/drawing/2014/main" id="{B0A53A23-B345-4247-F3E8-E85B04F3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834" y="1983894"/>
          <a:ext cx="4654742" cy="1661703"/>
        </a:xfrm>
        <a:prstGeom prst="rect">
          <a:avLst/>
        </a:prstGeom>
      </xdr:spPr>
    </xdr:pic>
    <xdr:clientData/>
  </xdr:twoCellAnchor>
  <xdr:twoCellAnchor editAs="oneCell">
    <xdr:from>
      <xdr:col>4</xdr:col>
      <xdr:colOff>1460180</xdr:colOff>
      <xdr:row>8</xdr:row>
      <xdr:rowOff>199481</xdr:rowOff>
    </xdr:from>
    <xdr:to>
      <xdr:col>9</xdr:col>
      <xdr:colOff>141677</xdr:colOff>
      <xdr:row>18</xdr:row>
      <xdr:rowOff>1</xdr:rowOff>
    </xdr:to>
    <xdr:pic>
      <xdr:nvPicPr>
        <xdr:cNvPr id="8" name="Immagine 2">
          <a:extLst>
            <a:ext uri="{FF2B5EF4-FFF2-40B4-BE49-F238E27FC236}">
              <a16:creationId xmlns:a16="http://schemas.microsoft.com/office/drawing/2014/main" id="{ED80A058-2610-BACF-21C1-9E7E0D429F6B}"/>
            </a:ext>
            <a:ext uri="{147F2762-F138-4A5C-976F-8EAC2B608ADB}">
              <a16:predDERef xmlns:a16="http://schemas.microsoft.com/office/drawing/2014/main" pred="{B0A53A23-B345-4247-F3E8-E85B04F3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2624" y="1892814"/>
          <a:ext cx="4764797" cy="1832520"/>
        </a:xfrm>
        <a:prstGeom prst="rect">
          <a:avLst/>
        </a:prstGeom>
      </xdr:spPr>
    </xdr:pic>
    <xdr:clientData/>
  </xdr:twoCellAnchor>
  <xdr:twoCellAnchor editAs="oneCell">
    <xdr:from>
      <xdr:col>0</xdr:col>
      <xdr:colOff>873000</xdr:colOff>
      <xdr:row>8</xdr:row>
      <xdr:rowOff>187320</xdr:rowOff>
    </xdr:from>
    <xdr:to>
      <xdr:col>4</xdr:col>
      <xdr:colOff>438500</xdr:colOff>
      <xdr:row>9</xdr:row>
      <xdr:rowOff>38480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4" name="Input penna 8">
              <a:extLst>
                <a:ext uri="{FF2B5EF4-FFF2-40B4-BE49-F238E27FC236}">
                  <a16:creationId xmlns:a16="http://schemas.microsoft.com/office/drawing/2014/main" id="{D0CB2029-2322-B984-5DEE-F593D3454FC7}"/>
                </a:ext>
                <a:ext uri="{147F2762-F138-4A5C-976F-8EAC2B608ADB}">
                  <a16:predDERef xmlns:a16="http://schemas.microsoft.com/office/drawing/2014/main" pred="{ED80A058-2610-BACF-21C1-9E7E0D429F6B}"/>
                </a:ext>
              </a:extLst>
            </xdr14:cNvPr>
            <xdr14:cNvContentPartPr/>
          </xdr14:nvContentPartPr>
          <xdr14:nvPr macro=""/>
          <xdr14:xfrm>
            <a:off x="873000" y="1863720"/>
            <a:ext cx="4683600" cy="5436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D0CB2029-2322-B984-5DEE-F593D3454FC7}"/>
                </a:ext>
                <a:ext uri="{147F2762-F138-4A5C-976F-8EAC2B608ADB}">
                  <a16:predDERef xmlns:a16="http://schemas.microsoft.com/office/drawing/2014/main" pred="{ED80A058-2610-BACF-21C1-9E7E0D429F6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62200" y="1852920"/>
              <a:ext cx="470484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612740</xdr:colOff>
      <xdr:row>8</xdr:row>
      <xdr:rowOff>193440</xdr:rowOff>
    </xdr:from>
    <xdr:to>
      <xdr:col>4</xdr:col>
      <xdr:colOff>784100</xdr:colOff>
      <xdr:row>9</xdr:row>
      <xdr:rowOff>105080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Input penna 9">
              <a:extLst>
                <a:ext uri="{FF2B5EF4-FFF2-40B4-BE49-F238E27FC236}">
                  <a16:creationId xmlns:a16="http://schemas.microsoft.com/office/drawing/2014/main" id="{93F42167-00CC-BE88-4200-059693E876C0}"/>
                </a:ext>
                <a:ext uri="{147F2762-F138-4A5C-976F-8EAC2B608ADB}">
                  <a16:predDERef xmlns:a16="http://schemas.microsoft.com/office/drawing/2014/main" pred="{D0CB2029-2322-B984-5DEE-F593D3454FC7}"/>
                </a:ext>
              </a:extLst>
            </xdr14:cNvPr>
            <xdr14:cNvContentPartPr/>
          </xdr14:nvContentPartPr>
          <xdr14:nvPr macro=""/>
          <xdr14:xfrm>
            <a:off x="5502240" y="1869840"/>
            <a:ext cx="171360" cy="1148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93F42167-00CC-BE88-4200-059693E876C0}"/>
                </a:ext>
                <a:ext uri="{147F2762-F138-4A5C-976F-8EAC2B608ADB}">
                  <a16:predDERef xmlns:a16="http://schemas.microsoft.com/office/drawing/2014/main" pred="{D0CB2029-2322-B984-5DEE-F593D3454FC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491440" y="1859400"/>
              <a:ext cx="19260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736560</xdr:colOff>
      <xdr:row>8</xdr:row>
      <xdr:rowOff>152400</xdr:rowOff>
    </xdr:from>
    <xdr:to>
      <xdr:col>0</xdr:col>
      <xdr:colOff>900720</xdr:colOff>
      <xdr:row>9</xdr:row>
      <xdr:rowOff>70160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Input penna 10">
              <a:extLst>
                <a:ext uri="{FF2B5EF4-FFF2-40B4-BE49-F238E27FC236}">
                  <a16:creationId xmlns:a16="http://schemas.microsoft.com/office/drawing/2014/main" id="{98CD44E2-8413-C956-B400-2D6072B4C8E6}"/>
                </a:ext>
                <a:ext uri="{147F2762-F138-4A5C-976F-8EAC2B608ADB}">
                  <a16:predDERef xmlns:a16="http://schemas.microsoft.com/office/drawing/2014/main" pred="{93F42167-00CC-BE88-4200-059693E876C0}"/>
                </a:ext>
              </a:extLst>
            </xdr14:cNvPr>
            <xdr14:cNvContentPartPr/>
          </xdr14:nvContentPartPr>
          <xdr14:nvPr macro=""/>
          <xdr14:xfrm>
            <a:off x="736560" y="1828800"/>
            <a:ext cx="164160" cy="120960"/>
          </xdr14:xfrm>
        </xdr:contentPart>
      </mc:Choice>
      <mc:Fallback xmlns="">
        <xdr:pic>
          <xdr:nvPicPr>
            <xdr:cNvPr id="11" name="Input penna 10">
              <a:extLst>
                <a:ext uri="{FF2B5EF4-FFF2-40B4-BE49-F238E27FC236}">
                  <a16:creationId xmlns:a16="http://schemas.microsoft.com/office/drawing/2014/main" id="{98CD44E2-8413-C956-B400-2D6072B4C8E6}"/>
                </a:ext>
                <a:ext uri="{147F2762-F138-4A5C-976F-8EAC2B608ADB}">
                  <a16:predDERef xmlns:a16="http://schemas.microsoft.com/office/drawing/2014/main" pred="{93F42167-00CC-BE88-4200-059693E876C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25760" y="1818000"/>
              <a:ext cx="18540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1309250</xdr:colOff>
      <xdr:row>8</xdr:row>
      <xdr:rowOff>12360</xdr:rowOff>
    </xdr:from>
    <xdr:to>
      <xdr:col>1</xdr:col>
      <xdr:colOff>1425170</xdr:colOff>
      <xdr:row>8</xdr:row>
      <xdr:rowOff>162120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7" name="Input penna 11">
              <a:extLst>
                <a:ext uri="{FF2B5EF4-FFF2-40B4-BE49-F238E27FC236}">
                  <a16:creationId xmlns:a16="http://schemas.microsoft.com/office/drawing/2014/main" id="{4BFDCD1C-F30C-A02A-AA5E-B3E0D8D7C9FB}"/>
                </a:ext>
                <a:ext uri="{147F2762-F138-4A5C-976F-8EAC2B608ADB}">
                  <a16:predDERef xmlns:a16="http://schemas.microsoft.com/office/drawing/2014/main" pred="{98CD44E2-8413-C956-B400-2D6072B4C8E6}"/>
                </a:ext>
              </a:extLst>
            </xdr14:cNvPr>
            <xdr14:cNvContentPartPr/>
          </xdr14:nvContentPartPr>
          <xdr14:nvPr macro=""/>
          <xdr14:xfrm>
            <a:off x="2941200" y="1688760"/>
            <a:ext cx="115920" cy="149760"/>
          </xdr14:xfrm>
        </xdr:contentPart>
      </mc:Choice>
      <mc:Fallback xmlns="">
        <xdr:pic>
          <xdr:nvPicPr>
            <xdr:cNvPr id="12" name="Input penna 11">
              <a:extLst>
                <a:ext uri="{FF2B5EF4-FFF2-40B4-BE49-F238E27FC236}">
                  <a16:creationId xmlns:a16="http://schemas.microsoft.com/office/drawing/2014/main" id="{4BFDCD1C-F30C-A02A-AA5E-B3E0D8D7C9FB}"/>
                </a:ext>
                <a:ext uri="{147F2762-F138-4A5C-976F-8EAC2B608ADB}">
                  <a16:predDERef xmlns:a16="http://schemas.microsoft.com/office/drawing/2014/main" pred="{98CD44E2-8413-C956-B400-2D6072B4C8E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930760" y="1678320"/>
              <a:ext cx="13716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1438130</xdr:colOff>
      <xdr:row>8</xdr:row>
      <xdr:rowOff>6240</xdr:rowOff>
    </xdr:from>
    <xdr:to>
      <xdr:col>1</xdr:col>
      <xdr:colOff>1603730</xdr:colOff>
      <xdr:row>8</xdr:row>
      <xdr:rowOff>158520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8" name="Input penna 12">
              <a:extLst>
                <a:ext uri="{FF2B5EF4-FFF2-40B4-BE49-F238E27FC236}">
                  <a16:creationId xmlns:a16="http://schemas.microsoft.com/office/drawing/2014/main" id="{15EE0C87-B9FC-4294-7A8D-577055D1C12A}"/>
                </a:ext>
                <a:ext uri="{147F2762-F138-4A5C-976F-8EAC2B608ADB}">
                  <a16:predDERef xmlns:a16="http://schemas.microsoft.com/office/drawing/2014/main" pred="{4BFDCD1C-F30C-A02A-AA5E-B3E0D8D7C9FB}"/>
                </a:ext>
              </a:extLst>
            </xdr14:cNvPr>
            <xdr14:cNvContentPartPr/>
          </xdr14:nvContentPartPr>
          <xdr14:nvPr macro=""/>
          <xdr14:xfrm>
            <a:off x="3070080" y="1682640"/>
            <a:ext cx="165600" cy="152280"/>
          </xdr14:xfrm>
        </xdr:contentPart>
      </mc:Choice>
      <mc:Fallback xmlns="">
        <xdr:pic>
          <xdr:nvPicPr>
            <xdr:cNvPr id="13" name="Input penna 12">
              <a:extLst>
                <a:ext uri="{FF2B5EF4-FFF2-40B4-BE49-F238E27FC236}">
                  <a16:creationId xmlns:a16="http://schemas.microsoft.com/office/drawing/2014/main" id="{15EE0C87-B9FC-4294-7A8D-577055D1C12A}"/>
                </a:ext>
                <a:ext uri="{147F2762-F138-4A5C-976F-8EAC2B608ADB}">
                  <a16:predDERef xmlns:a16="http://schemas.microsoft.com/office/drawing/2014/main" pred="{4BFDCD1C-F30C-A02A-AA5E-B3E0D8D7C9F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059280" y="1671840"/>
              <a:ext cx="186840" cy="1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1654130</xdr:colOff>
      <xdr:row>8</xdr:row>
      <xdr:rowOff>46200</xdr:rowOff>
    </xdr:from>
    <xdr:to>
      <xdr:col>2</xdr:col>
      <xdr:colOff>6570</xdr:colOff>
      <xdr:row>8</xdr:row>
      <xdr:rowOff>108120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9" name="Input penna 13">
              <a:extLst>
                <a:ext uri="{FF2B5EF4-FFF2-40B4-BE49-F238E27FC236}">
                  <a16:creationId xmlns:a16="http://schemas.microsoft.com/office/drawing/2014/main" id="{CE978D34-18CE-C52E-ACF5-BC8FEB30EC47}"/>
                </a:ext>
                <a:ext uri="{147F2762-F138-4A5C-976F-8EAC2B608ADB}">
                  <a16:predDERef xmlns:a16="http://schemas.microsoft.com/office/drawing/2014/main" pred="{15EE0C87-B9FC-4294-7A8D-577055D1C12A}"/>
                </a:ext>
              </a:extLst>
            </xdr14:cNvPr>
            <xdr14:cNvContentPartPr/>
          </xdr14:nvContentPartPr>
          <xdr14:nvPr macro=""/>
          <xdr14:xfrm>
            <a:off x="3286080" y="1722600"/>
            <a:ext cx="206640" cy="61920"/>
          </xdr14:xfrm>
        </xdr:contentPart>
      </mc:Choice>
      <mc:Fallback xmlns="">
        <xdr:pic>
          <xdr:nvPicPr>
            <xdr:cNvPr id="14" name="Input penna 13">
              <a:extLst>
                <a:ext uri="{FF2B5EF4-FFF2-40B4-BE49-F238E27FC236}">
                  <a16:creationId xmlns:a16="http://schemas.microsoft.com/office/drawing/2014/main" id="{CE978D34-18CE-C52E-ACF5-BC8FEB30EC47}"/>
                </a:ext>
                <a:ext uri="{147F2762-F138-4A5C-976F-8EAC2B608ADB}">
                  <a16:predDERef xmlns:a16="http://schemas.microsoft.com/office/drawing/2014/main" pred="{15EE0C87-B9FC-4294-7A8D-577055D1C12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275280" y="1711800"/>
              <a:ext cx="22788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1454420</xdr:colOff>
      <xdr:row>8</xdr:row>
      <xdr:rowOff>161760</xdr:rowOff>
    </xdr:from>
    <xdr:to>
      <xdr:col>9</xdr:col>
      <xdr:colOff>70200</xdr:colOff>
      <xdr:row>9</xdr:row>
      <xdr:rowOff>12920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0" name="Input penna 14">
              <a:extLst>
                <a:ext uri="{FF2B5EF4-FFF2-40B4-BE49-F238E27FC236}">
                  <a16:creationId xmlns:a16="http://schemas.microsoft.com/office/drawing/2014/main" id="{CF04EA85-5E2A-9E1C-31BE-B0F61F924D50}"/>
                </a:ext>
                <a:ext uri="{147F2762-F138-4A5C-976F-8EAC2B608ADB}">
                  <a16:predDERef xmlns:a16="http://schemas.microsoft.com/office/drawing/2014/main" pred="{CE978D34-18CE-C52E-ACF5-BC8FEB30EC47}"/>
                </a:ext>
              </a:extLst>
            </xdr14:cNvPr>
            <xdr14:cNvContentPartPr/>
          </xdr14:nvContentPartPr>
          <xdr14:nvPr macro=""/>
          <xdr14:xfrm>
            <a:off x="6343920" y="1838160"/>
            <a:ext cx="4699080" cy="54360"/>
          </xdr14:xfrm>
        </xdr:contentPart>
      </mc:Choice>
      <mc:Fallback xmlns="">
        <xdr:pic>
          <xdr:nvPicPr>
            <xdr:cNvPr id="15" name="Input penna 14">
              <a:extLst>
                <a:ext uri="{FF2B5EF4-FFF2-40B4-BE49-F238E27FC236}">
                  <a16:creationId xmlns:a16="http://schemas.microsoft.com/office/drawing/2014/main" id="{CF04EA85-5E2A-9E1C-31BE-B0F61F924D50}"/>
                </a:ext>
                <a:ext uri="{147F2762-F138-4A5C-976F-8EAC2B608ADB}">
                  <a16:predDERef xmlns:a16="http://schemas.microsoft.com/office/drawing/2014/main" pred="{CE978D34-18CE-C52E-ACF5-BC8FEB30EC4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333120" y="1827360"/>
              <a:ext cx="472032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336370</xdr:colOff>
      <xdr:row>8</xdr:row>
      <xdr:rowOff>107760</xdr:rowOff>
    </xdr:from>
    <xdr:to>
      <xdr:col>9</xdr:col>
      <xdr:colOff>456610</xdr:colOff>
      <xdr:row>9</xdr:row>
      <xdr:rowOff>16160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1" name="Input penna 15">
              <a:extLst>
                <a:ext uri="{FF2B5EF4-FFF2-40B4-BE49-F238E27FC236}">
                  <a16:creationId xmlns:a16="http://schemas.microsoft.com/office/drawing/2014/main" id="{E506DB15-41E8-9632-1534-EAF171BF3F46}"/>
                </a:ext>
                <a:ext uri="{147F2762-F138-4A5C-976F-8EAC2B608ADB}">
                  <a16:predDERef xmlns:a16="http://schemas.microsoft.com/office/drawing/2014/main" pred="{CF04EA85-5E2A-9E1C-31BE-B0F61F924D50}"/>
                </a:ext>
              </a:extLst>
            </xdr14:cNvPr>
            <xdr14:cNvContentPartPr/>
          </xdr14:nvContentPartPr>
          <xdr14:nvPr macro=""/>
          <xdr14:xfrm>
            <a:off x="11086920" y="1784160"/>
            <a:ext cx="120240" cy="111600"/>
          </xdr14:xfrm>
        </xdr:contentPart>
      </mc:Choice>
      <mc:Fallback xmlns="">
        <xdr:pic>
          <xdr:nvPicPr>
            <xdr:cNvPr id="16" name="Input penna 15">
              <a:extLst>
                <a:ext uri="{FF2B5EF4-FFF2-40B4-BE49-F238E27FC236}">
                  <a16:creationId xmlns:a16="http://schemas.microsoft.com/office/drawing/2014/main" id="{E506DB15-41E8-9632-1534-EAF171BF3F46}"/>
                </a:ext>
                <a:ext uri="{147F2762-F138-4A5C-976F-8EAC2B608ADB}">
                  <a16:predDERef xmlns:a16="http://schemas.microsoft.com/office/drawing/2014/main" pred="{CF04EA85-5E2A-9E1C-31BE-B0F61F924D5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076480" y="1773720"/>
              <a:ext cx="14148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1324100</xdr:colOff>
      <xdr:row>8</xdr:row>
      <xdr:rowOff>165000</xdr:rowOff>
    </xdr:from>
    <xdr:to>
      <xdr:col>4</xdr:col>
      <xdr:colOff>1451180</xdr:colOff>
      <xdr:row>9</xdr:row>
      <xdr:rowOff>60440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2" name="Input penna 16">
              <a:extLst>
                <a:ext uri="{FF2B5EF4-FFF2-40B4-BE49-F238E27FC236}">
                  <a16:creationId xmlns:a16="http://schemas.microsoft.com/office/drawing/2014/main" id="{7DCFFDD7-3435-0172-8BD8-C3FFDFD2D972}"/>
                </a:ext>
                <a:ext uri="{147F2762-F138-4A5C-976F-8EAC2B608ADB}">
                  <a16:predDERef xmlns:a16="http://schemas.microsoft.com/office/drawing/2014/main" pred="{E506DB15-41E8-9632-1534-EAF171BF3F46}"/>
                </a:ext>
              </a:extLst>
            </xdr14:cNvPr>
            <xdr14:cNvContentPartPr/>
          </xdr14:nvContentPartPr>
          <xdr14:nvPr macro=""/>
          <xdr14:xfrm>
            <a:off x="6213600" y="1841400"/>
            <a:ext cx="127080" cy="98640"/>
          </xdr14:xfrm>
        </xdr:contentPart>
      </mc:Choice>
      <mc:Fallback xmlns="">
        <xdr:pic>
          <xdr:nvPicPr>
            <xdr:cNvPr id="17" name="Input penna 16">
              <a:extLst>
                <a:ext uri="{FF2B5EF4-FFF2-40B4-BE49-F238E27FC236}">
                  <a16:creationId xmlns:a16="http://schemas.microsoft.com/office/drawing/2014/main" id="{7DCFFDD7-3435-0172-8BD8-C3FFDFD2D972}"/>
                </a:ext>
                <a:ext uri="{147F2762-F138-4A5C-976F-8EAC2B608ADB}">
                  <a16:predDERef xmlns:a16="http://schemas.microsoft.com/office/drawing/2014/main" pred="{E506DB15-41E8-9632-1534-EAF171BF3F4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203160" y="1830600"/>
              <a:ext cx="14832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41380</xdr:colOff>
      <xdr:row>7</xdr:row>
      <xdr:rowOff>107790</xdr:rowOff>
    </xdr:from>
    <xdr:to>
      <xdr:col>7</xdr:col>
      <xdr:colOff>139660</xdr:colOff>
      <xdr:row>8</xdr:row>
      <xdr:rowOff>73070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3" name="Input penna 17">
              <a:extLst>
                <a:ext uri="{FF2B5EF4-FFF2-40B4-BE49-F238E27FC236}">
                  <a16:creationId xmlns:a16="http://schemas.microsoft.com/office/drawing/2014/main" id="{EBD1289B-FC25-B868-9F8F-537BC549EC03}"/>
                </a:ext>
                <a:ext uri="{147F2762-F138-4A5C-976F-8EAC2B608ADB}">
                  <a16:predDERef xmlns:a16="http://schemas.microsoft.com/office/drawing/2014/main" pred="{7DCFFDD7-3435-0172-8BD8-C3FFDFD2D972}"/>
                </a:ext>
              </a:extLst>
            </xdr14:cNvPr>
            <xdr14:cNvContentPartPr/>
          </xdr14:nvContentPartPr>
          <xdr14:nvPr macro=""/>
          <xdr14:xfrm>
            <a:off x="8182080" y="1574640"/>
            <a:ext cx="98280" cy="168480"/>
          </xdr14:xfrm>
        </xdr:contentPart>
      </mc:Choice>
      <mc:Fallback xmlns="">
        <xdr:pic>
          <xdr:nvPicPr>
            <xdr:cNvPr id="18" name="Input penna 17">
              <a:extLst>
                <a:ext uri="{FF2B5EF4-FFF2-40B4-BE49-F238E27FC236}">
                  <a16:creationId xmlns:a16="http://schemas.microsoft.com/office/drawing/2014/main" id="{EBD1289B-FC25-B868-9F8F-537BC549EC03}"/>
                </a:ext>
                <a:ext uri="{147F2762-F138-4A5C-976F-8EAC2B608ADB}">
                  <a16:predDERef xmlns:a16="http://schemas.microsoft.com/office/drawing/2014/main" pred="{7DCFFDD7-3435-0172-8BD8-C3FFDFD2D972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171640" y="1563840"/>
              <a:ext cx="11952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163420</xdr:colOff>
      <xdr:row>7</xdr:row>
      <xdr:rowOff>104550</xdr:rowOff>
    </xdr:from>
    <xdr:to>
      <xdr:col>7</xdr:col>
      <xdr:colOff>260620</xdr:colOff>
      <xdr:row>8</xdr:row>
      <xdr:rowOff>57230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4" name="Input penna 18">
              <a:extLst>
                <a:ext uri="{FF2B5EF4-FFF2-40B4-BE49-F238E27FC236}">
                  <a16:creationId xmlns:a16="http://schemas.microsoft.com/office/drawing/2014/main" id="{42E1F121-08AC-6A6C-1E88-324A75CD8544}"/>
                </a:ext>
                <a:ext uri="{147F2762-F138-4A5C-976F-8EAC2B608ADB}">
                  <a16:predDERef xmlns:a16="http://schemas.microsoft.com/office/drawing/2014/main" pred="{EBD1289B-FC25-B868-9F8F-537BC549EC03}"/>
                </a:ext>
              </a:extLst>
            </xdr14:cNvPr>
            <xdr14:cNvContentPartPr/>
          </xdr14:nvContentPartPr>
          <xdr14:nvPr macro=""/>
          <xdr14:xfrm>
            <a:off x="8304120" y="1571400"/>
            <a:ext cx="97200" cy="155880"/>
          </xdr14:xfrm>
        </xdr:contentPart>
      </mc:Choice>
      <mc:Fallback xmlns="">
        <xdr:pic>
          <xdr:nvPicPr>
            <xdr:cNvPr id="19" name="Input penna 18">
              <a:extLst>
                <a:ext uri="{FF2B5EF4-FFF2-40B4-BE49-F238E27FC236}">
                  <a16:creationId xmlns:a16="http://schemas.microsoft.com/office/drawing/2014/main" id="{42E1F121-08AC-6A6C-1E88-324A75CD8544}"/>
                </a:ext>
                <a:ext uri="{147F2762-F138-4A5C-976F-8EAC2B608ADB}">
                  <a16:predDERef xmlns:a16="http://schemas.microsoft.com/office/drawing/2014/main" pred="{EBD1289B-FC25-B868-9F8F-537BC549EC03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293680" y="1560960"/>
              <a:ext cx="11844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234700</xdr:colOff>
      <xdr:row>8</xdr:row>
      <xdr:rowOff>41160</xdr:rowOff>
    </xdr:from>
    <xdr:to>
      <xdr:col>7</xdr:col>
      <xdr:colOff>285820</xdr:colOff>
      <xdr:row>8</xdr:row>
      <xdr:rowOff>82920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5" name="Input penna 19">
              <a:extLst>
                <a:ext uri="{FF2B5EF4-FFF2-40B4-BE49-F238E27FC236}">
                  <a16:creationId xmlns:a16="http://schemas.microsoft.com/office/drawing/2014/main" id="{BC462A22-9581-DF48-C736-BBE9D673D169}"/>
                </a:ext>
                <a:ext uri="{147F2762-F138-4A5C-976F-8EAC2B608ADB}">
                  <a16:predDERef xmlns:a16="http://schemas.microsoft.com/office/drawing/2014/main" pred="{42E1F121-08AC-6A6C-1E88-324A75CD8544}"/>
                </a:ext>
              </a:extLst>
            </xdr14:cNvPr>
            <xdr14:cNvContentPartPr/>
          </xdr14:nvContentPartPr>
          <xdr14:nvPr macro=""/>
          <xdr14:xfrm>
            <a:off x="8375400" y="1717560"/>
            <a:ext cx="51120" cy="41760"/>
          </xdr14:xfrm>
        </xdr:contentPart>
      </mc:Choice>
      <mc:Fallback xmlns="">
        <xdr:pic>
          <xdr:nvPicPr>
            <xdr:cNvPr id="20" name="Input penna 19">
              <a:extLst>
                <a:ext uri="{FF2B5EF4-FFF2-40B4-BE49-F238E27FC236}">
                  <a16:creationId xmlns:a16="http://schemas.microsoft.com/office/drawing/2014/main" id="{BC462A22-9581-DF48-C736-BBE9D673D169}"/>
                </a:ext>
                <a:ext uri="{147F2762-F138-4A5C-976F-8EAC2B608ADB}">
                  <a16:predDERef xmlns:a16="http://schemas.microsoft.com/office/drawing/2014/main" pred="{42E1F121-08AC-6A6C-1E88-324A75CD854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364960" y="1706760"/>
              <a:ext cx="72360" cy="6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319660</xdr:colOff>
      <xdr:row>7</xdr:row>
      <xdr:rowOff>101310</xdr:rowOff>
    </xdr:from>
    <xdr:to>
      <xdr:col>7</xdr:col>
      <xdr:colOff>444220</xdr:colOff>
      <xdr:row>8</xdr:row>
      <xdr:rowOff>34910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6" name="Input penna 20">
              <a:extLst>
                <a:ext uri="{FF2B5EF4-FFF2-40B4-BE49-F238E27FC236}">
                  <a16:creationId xmlns:a16="http://schemas.microsoft.com/office/drawing/2014/main" id="{D58F09FC-F344-9046-6F6E-61B933181393}"/>
                </a:ext>
                <a:ext uri="{147F2762-F138-4A5C-976F-8EAC2B608ADB}">
                  <a16:predDERef xmlns:a16="http://schemas.microsoft.com/office/drawing/2014/main" pred="{BC462A22-9581-DF48-C736-BBE9D673D169}"/>
                </a:ext>
              </a:extLst>
            </xdr14:cNvPr>
            <xdr14:cNvContentPartPr/>
          </xdr14:nvContentPartPr>
          <xdr14:nvPr macro=""/>
          <xdr14:xfrm>
            <a:off x="8460360" y="1568160"/>
            <a:ext cx="124560" cy="136800"/>
          </xdr14:xfrm>
        </xdr:contentPart>
      </mc:Choice>
      <mc:Fallback xmlns="">
        <xdr:pic>
          <xdr:nvPicPr>
            <xdr:cNvPr id="21" name="Input penna 20">
              <a:extLst>
                <a:ext uri="{FF2B5EF4-FFF2-40B4-BE49-F238E27FC236}">
                  <a16:creationId xmlns:a16="http://schemas.microsoft.com/office/drawing/2014/main" id="{D58F09FC-F344-9046-6F6E-61B933181393}"/>
                </a:ext>
                <a:ext uri="{147F2762-F138-4A5C-976F-8EAC2B608ADB}">
                  <a16:predDERef xmlns:a16="http://schemas.microsoft.com/office/drawing/2014/main" pred="{BC462A22-9581-DF48-C736-BBE9D673D16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8449920" y="1557720"/>
              <a:ext cx="14580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479500</xdr:colOff>
      <xdr:row>7</xdr:row>
      <xdr:rowOff>153870</xdr:rowOff>
    </xdr:from>
    <xdr:to>
      <xdr:col>7</xdr:col>
      <xdr:colOff>692260</xdr:colOff>
      <xdr:row>8</xdr:row>
      <xdr:rowOff>44630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7" name="Input penna 21">
              <a:extLst>
                <a:ext uri="{FF2B5EF4-FFF2-40B4-BE49-F238E27FC236}">
                  <a16:creationId xmlns:a16="http://schemas.microsoft.com/office/drawing/2014/main" id="{485F9C49-D6D9-4D2A-BAAF-680B9F161FF3}"/>
                </a:ext>
                <a:ext uri="{147F2762-F138-4A5C-976F-8EAC2B608ADB}">
                  <a16:predDERef xmlns:a16="http://schemas.microsoft.com/office/drawing/2014/main" pred="{D58F09FC-F344-9046-6F6E-61B933181393}"/>
                </a:ext>
              </a:extLst>
            </xdr14:cNvPr>
            <xdr14:cNvContentPartPr/>
          </xdr14:nvContentPartPr>
          <xdr14:nvPr macro=""/>
          <xdr14:xfrm>
            <a:off x="8620200" y="1620720"/>
            <a:ext cx="212760" cy="93960"/>
          </xdr14:xfrm>
        </xdr:contentPart>
      </mc:Choice>
      <mc:Fallback xmlns="">
        <xdr:pic>
          <xdr:nvPicPr>
            <xdr:cNvPr id="22" name="Input penna 21">
              <a:extLst>
                <a:ext uri="{FF2B5EF4-FFF2-40B4-BE49-F238E27FC236}">
                  <a16:creationId xmlns:a16="http://schemas.microsoft.com/office/drawing/2014/main" id="{485F9C49-D6D9-4D2A-BAAF-680B9F161FF3}"/>
                </a:ext>
                <a:ext uri="{147F2762-F138-4A5C-976F-8EAC2B608ADB}">
                  <a16:predDERef xmlns:a16="http://schemas.microsoft.com/office/drawing/2014/main" pred="{D58F09FC-F344-9046-6F6E-61B93318139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609760" y="1610280"/>
              <a:ext cx="234000" cy="11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615600</xdr:colOff>
      <xdr:row>9</xdr:row>
      <xdr:rowOff>179010</xdr:rowOff>
    </xdr:from>
    <xdr:to>
      <xdr:col>0</xdr:col>
      <xdr:colOff>644400</xdr:colOff>
      <xdr:row>20</xdr:row>
      <xdr:rowOff>108130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8" name="Input penna 22">
              <a:extLst>
                <a:ext uri="{FF2B5EF4-FFF2-40B4-BE49-F238E27FC236}">
                  <a16:creationId xmlns:a16="http://schemas.microsoft.com/office/drawing/2014/main" id="{357FE89F-1BF7-CFE0-6726-EE4B4629ADC0}"/>
                </a:ext>
                <a:ext uri="{147F2762-F138-4A5C-976F-8EAC2B608ADB}">
                  <a16:predDERef xmlns:a16="http://schemas.microsoft.com/office/drawing/2014/main" pred="{485F9C49-D6D9-4D2A-BAAF-680B9F161FF3}"/>
                </a:ext>
              </a:extLst>
            </xdr14:cNvPr>
            <xdr14:cNvContentPartPr/>
          </xdr14:nvContentPartPr>
          <xdr14:nvPr macro=""/>
          <xdr14:xfrm>
            <a:off x="615600" y="2064960"/>
            <a:ext cx="28800" cy="2164320"/>
          </xdr14:xfrm>
        </xdr:contentPart>
      </mc:Choice>
      <mc:Fallback xmlns="">
        <xdr:pic>
          <xdr:nvPicPr>
            <xdr:cNvPr id="23" name="Input penna 22">
              <a:extLst>
                <a:ext uri="{FF2B5EF4-FFF2-40B4-BE49-F238E27FC236}">
                  <a16:creationId xmlns:a16="http://schemas.microsoft.com/office/drawing/2014/main" id="{357FE89F-1BF7-CFE0-6726-EE4B4629ADC0}"/>
                </a:ext>
                <a:ext uri="{147F2762-F138-4A5C-976F-8EAC2B608ADB}">
                  <a16:predDERef xmlns:a16="http://schemas.microsoft.com/office/drawing/2014/main" pred="{485F9C49-D6D9-4D2A-BAAF-680B9F161FF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05160" y="2054520"/>
              <a:ext cx="50040" cy="218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568080</xdr:colOff>
      <xdr:row>20</xdr:row>
      <xdr:rowOff>10200</xdr:rowOff>
    </xdr:from>
    <xdr:to>
      <xdr:col>0</xdr:col>
      <xdr:colOff>689040</xdr:colOff>
      <xdr:row>20</xdr:row>
      <xdr:rowOff>143040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9" name="Input penna 23">
              <a:extLst>
                <a:ext uri="{FF2B5EF4-FFF2-40B4-BE49-F238E27FC236}">
                  <a16:creationId xmlns:a16="http://schemas.microsoft.com/office/drawing/2014/main" id="{40230A9B-FBFC-44DD-DD47-C02D6E08C917}"/>
                </a:ext>
                <a:ext uri="{147F2762-F138-4A5C-976F-8EAC2B608ADB}">
                  <a16:predDERef xmlns:a16="http://schemas.microsoft.com/office/drawing/2014/main" pred="{357FE89F-1BF7-CFE0-6726-EE4B4629ADC0}"/>
                </a:ext>
              </a:extLst>
            </xdr14:cNvPr>
            <xdr14:cNvContentPartPr/>
          </xdr14:nvContentPartPr>
          <xdr14:nvPr macro=""/>
          <xdr14:xfrm>
            <a:off x="568080" y="4201200"/>
            <a:ext cx="120960" cy="132840"/>
          </xdr14:xfrm>
        </xdr:contentPart>
      </mc:Choice>
      <mc:Fallback xmlns="">
        <xdr:pic>
          <xdr:nvPicPr>
            <xdr:cNvPr id="24" name="Input penna 23">
              <a:extLst>
                <a:ext uri="{FF2B5EF4-FFF2-40B4-BE49-F238E27FC236}">
                  <a16:creationId xmlns:a16="http://schemas.microsoft.com/office/drawing/2014/main" id="{40230A9B-FBFC-44DD-DD47-C02D6E08C917}"/>
                </a:ext>
                <a:ext uri="{147F2762-F138-4A5C-976F-8EAC2B608ADB}">
                  <a16:predDERef xmlns:a16="http://schemas.microsoft.com/office/drawing/2014/main" pred="{357FE89F-1BF7-CFE0-6726-EE4B4629ADC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57640" y="4190400"/>
              <a:ext cx="142200" cy="15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549000</xdr:colOff>
      <xdr:row>9</xdr:row>
      <xdr:rowOff>112410</xdr:rowOff>
    </xdr:from>
    <xdr:to>
      <xdr:col>0</xdr:col>
      <xdr:colOff>647640</xdr:colOff>
      <xdr:row>10</xdr:row>
      <xdr:rowOff>12890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0" name="Input penna 24">
              <a:extLst>
                <a:ext uri="{FF2B5EF4-FFF2-40B4-BE49-F238E27FC236}">
                  <a16:creationId xmlns:a16="http://schemas.microsoft.com/office/drawing/2014/main" id="{585502D2-E3AE-D66C-390A-18C7EA0D4784}"/>
                </a:ext>
                <a:ext uri="{147F2762-F138-4A5C-976F-8EAC2B608ADB}">
                  <a16:predDERef xmlns:a16="http://schemas.microsoft.com/office/drawing/2014/main" pred="{40230A9B-FBFC-44DD-DD47-C02D6E08C917}"/>
                </a:ext>
              </a:extLst>
            </xdr14:cNvPr>
            <xdr14:cNvContentPartPr/>
          </xdr14:nvContentPartPr>
          <xdr14:nvPr macro=""/>
          <xdr14:xfrm>
            <a:off x="549000" y="1998360"/>
            <a:ext cx="98640" cy="103680"/>
          </xdr14:xfrm>
        </xdr:contentPart>
      </mc:Choice>
      <mc:Fallback xmlns="">
        <xdr:pic>
          <xdr:nvPicPr>
            <xdr:cNvPr id="25" name="Input penna 24">
              <a:extLst>
                <a:ext uri="{FF2B5EF4-FFF2-40B4-BE49-F238E27FC236}">
                  <a16:creationId xmlns:a16="http://schemas.microsoft.com/office/drawing/2014/main" id="{585502D2-E3AE-D66C-390A-18C7EA0D4784}"/>
                </a:ext>
                <a:ext uri="{147F2762-F138-4A5C-976F-8EAC2B608ADB}">
                  <a16:predDERef xmlns:a16="http://schemas.microsoft.com/office/drawing/2014/main" pred="{40230A9B-FBFC-44DD-DD47-C02D6E08C917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38560" y="1987560"/>
              <a:ext cx="119880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73080</xdr:colOff>
      <xdr:row>12</xdr:row>
      <xdr:rowOff>27000</xdr:rowOff>
    </xdr:from>
    <xdr:to>
      <xdr:col>0</xdr:col>
      <xdr:colOff>192240</xdr:colOff>
      <xdr:row>12</xdr:row>
      <xdr:rowOff>190275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1" name="Input penna 25">
              <a:extLst>
                <a:ext uri="{FF2B5EF4-FFF2-40B4-BE49-F238E27FC236}">
                  <a16:creationId xmlns:a16="http://schemas.microsoft.com/office/drawing/2014/main" id="{D6FE23C3-0E6C-F4D2-6B00-9EF618FEA8F3}"/>
                </a:ext>
                <a:ext uri="{147F2762-F138-4A5C-976F-8EAC2B608ADB}">
                  <a16:predDERef xmlns:a16="http://schemas.microsoft.com/office/drawing/2014/main" pred="{585502D2-E3AE-D66C-390A-18C7EA0D4784}"/>
                </a:ext>
              </a:extLst>
            </xdr14:cNvPr>
            <xdr14:cNvContentPartPr/>
          </xdr14:nvContentPartPr>
          <xdr14:nvPr macro=""/>
          <xdr14:xfrm>
            <a:off x="73080" y="2541600"/>
            <a:ext cx="119160" cy="172800"/>
          </xdr14:xfrm>
        </xdr:contentPart>
      </mc:Choice>
      <mc:Fallback xmlns="">
        <xdr:pic>
          <xdr:nvPicPr>
            <xdr:cNvPr id="26" name="Input penna 25">
              <a:extLst>
                <a:ext uri="{FF2B5EF4-FFF2-40B4-BE49-F238E27FC236}">
                  <a16:creationId xmlns:a16="http://schemas.microsoft.com/office/drawing/2014/main" id="{D6FE23C3-0E6C-F4D2-6B00-9EF618FEA8F3}"/>
                </a:ext>
                <a:ext uri="{147F2762-F138-4A5C-976F-8EAC2B608ADB}">
                  <a16:predDERef xmlns:a16="http://schemas.microsoft.com/office/drawing/2014/main" pred="{585502D2-E3AE-D66C-390A-18C7EA0D478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2640" y="2530800"/>
              <a:ext cx="140400" cy="19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73080</xdr:colOff>
      <xdr:row>12</xdr:row>
      <xdr:rowOff>142560</xdr:rowOff>
    </xdr:from>
    <xdr:to>
      <xdr:col>0</xdr:col>
      <xdr:colOff>168480</xdr:colOff>
      <xdr:row>12</xdr:row>
      <xdr:rowOff>158760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32" name="Input penna 26">
              <a:extLst>
                <a:ext uri="{FF2B5EF4-FFF2-40B4-BE49-F238E27FC236}">
                  <a16:creationId xmlns:a16="http://schemas.microsoft.com/office/drawing/2014/main" id="{BC52DBFB-745F-7ACC-FF2D-1A9792F9F443}"/>
                </a:ext>
                <a:ext uri="{147F2762-F138-4A5C-976F-8EAC2B608ADB}">
                  <a16:predDERef xmlns:a16="http://schemas.microsoft.com/office/drawing/2014/main" pred="{D6FE23C3-0E6C-F4D2-6B00-9EF618FEA8F3}"/>
                </a:ext>
              </a:extLst>
            </xdr14:cNvPr>
            <xdr14:cNvContentPartPr/>
          </xdr14:nvContentPartPr>
          <xdr14:nvPr macro=""/>
          <xdr14:xfrm>
            <a:off x="73080" y="2657160"/>
            <a:ext cx="95400" cy="16200"/>
          </xdr14:xfrm>
        </xdr:contentPart>
      </mc:Choice>
      <mc:Fallback xmlns="">
        <xdr:pic>
          <xdr:nvPicPr>
            <xdr:cNvPr id="27" name="Input penna 26">
              <a:extLst>
                <a:ext uri="{FF2B5EF4-FFF2-40B4-BE49-F238E27FC236}">
                  <a16:creationId xmlns:a16="http://schemas.microsoft.com/office/drawing/2014/main" id="{BC52DBFB-745F-7ACC-FF2D-1A9792F9F443}"/>
                </a:ext>
                <a:ext uri="{147F2762-F138-4A5C-976F-8EAC2B608ADB}">
                  <a16:predDERef xmlns:a16="http://schemas.microsoft.com/office/drawing/2014/main" pred="{D6FE23C3-0E6C-F4D2-6B00-9EF618FEA8F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2640" y="2646720"/>
              <a:ext cx="11664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181080</xdr:colOff>
      <xdr:row>12</xdr:row>
      <xdr:rowOff>31680</xdr:rowOff>
    </xdr:from>
    <xdr:to>
      <xdr:col>0</xdr:col>
      <xdr:colOff>291960</xdr:colOff>
      <xdr:row>12</xdr:row>
      <xdr:rowOff>187560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33" name="Input penna 27">
              <a:extLst>
                <a:ext uri="{FF2B5EF4-FFF2-40B4-BE49-F238E27FC236}">
                  <a16:creationId xmlns:a16="http://schemas.microsoft.com/office/drawing/2014/main" id="{E4A74AB0-04AA-22D5-9EBB-2D9B67B1BDCC}"/>
                </a:ext>
                <a:ext uri="{147F2762-F138-4A5C-976F-8EAC2B608ADB}">
                  <a16:predDERef xmlns:a16="http://schemas.microsoft.com/office/drawing/2014/main" pred="{BC52DBFB-745F-7ACC-FF2D-1A9792F9F443}"/>
                </a:ext>
              </a:extLst>
            </xdr14:cNvPr>
            <xdr14:cNvContentPartPr/>
          </xdr14:nvContentPartPr>
          <xdr14:nvPr macro=""/>
          <xdr14:xfrm>
            <a:off x="181080" y="2546280"/>
            <a:ext cx="110880" cy="155880"/>
          </xdr14:xfrm>
        </xdr:contentPart>
      </mc:Choice>
      <mc:Fallback xmlns="">
        <xdr:pic>
          <xdr:nvPicPr>
            <xdr:cNvPr id="28" name="Input penna 27">
              <a:extLst>
                <a:ext uri="{FF2B5EF4-FFF2-40B4-BE49-F238E27FC236}">
                  <a16:creationId xmlns:a16="http://schemas.microsoft.com/office/drawing/2014/main" id="{E4A74AB0-04AA-22D5-9EBB-2D9B67B1BDCC}"/>
                </a:ext>
                <a:ext uri="{147F2762-F138-4A5C-976F-8EAC2B608ADB}">
                  <a16:predDERef xmlns:a16="http://schemas.microsoft.com/office/drawing/2014/main" pred="{BC52DBFB-745F-7ACC-FF2D-1A9792F9F44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70640" y="2535480"/>
              <a:ext cx="13212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228600</xdr:colOff>
      <xdr:row>12</xdr:row>
      <xdr:rowOff>174600</xdr:rowOff>
    </xdr:from>
    <xdr:to>
      <xdr:col>0</xdr:col>
      <xdr:colOff>276480</xdr:colOff>
      <xdr:row>13</xdr:row>
      <xdr:rowOff>38360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34" name="Input penna 28">
              <a:extLst>
                <a:ext uri="{FF2B5EF4-FFF2-40B4-BE49-F238E27FC236}">
                  <a16:creationId xmlns:a16="http://schemas.microsoft.com/office/drawing/2014/main" id="{37CFA6B1-583C-E7DB-DED3-B873C0964F4D}"/>
                </a:ext>
                <a:ext uri="{147F2762-F138-4A5C-976F-8EAC2B608ADB}">
                  <a16:predDERef xmlns:a16="http://schemas.microsoft.com/office/drawing/2014/main" pred="{E4A74AB0-04AA-22D5-9EBB-2D9B67B1BDCC}"/>
                </a:ext>
              </a:extLst>
            </xdr14:cNvPr>
            <xdr14:cNvContentPartPr/>
          </xdr14:nvContentPartPr>
          <xdr14:nvPr macro=""/>
          <xdr14:xfrm>
            <a:off x="228600" y="2689200"/>
            <a:ext cx="47880" cy="66960"/>
          </xdr14:xfrm>
        </xdr:contentPart>
      </mc:Choice>
      <mc:Fallback xmlns="">
        <xdr:pic>
          <xdr:nvPicPr>
            <xdr:cNvPr id="29" name="Input penna 28">
              <a:extLst>
                <a:ext uri="{FF2B5EF4-FFF2-40B4-BE49-F238E27FC236}">
                  <a16:creationId xmlns:a16="http://schemas.microsoft.com/office/drawing/2014/main" id="{37CFA6B1-583C-E7DB-DED3-B873C0964F4D}"/>
                </a:ext>
                <a:ext uri="{147F2762-F138-4A5C-976F-8EAC2B608ADB}">
                  <a16:predDERef xmlns:a16="http://schemas.microsoft.com/office/drawing/2014/main" pred="{E4A74AB0-04AA-22D5-9EBB-2D9B67B1BDCC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17800" y="2678400"/>
              <a:ext cx="69120" cy="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297360</xdr:colOff>
      <xdr:row>12</xdr:row>
      <xdr:rowOff>47520</xdr:rowOff>
    </xdr:from>
    <xdr:to>
      <xdr:col>0</xdr:col>
      <xdr:colOff>387720</xdr:colOff>
      <xdr:row>12</xdr:row>
      <xdr:rowOff>187755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35" name="Input penna 29">
              <a:extLst>
                <a:ext uri="{FF2B5EF4-FFF2-40B4-BE49-F238E27FC236}">
                  <a16:creationId xmlns:a16="http://schemas.microsoft.com/office/drawing/2014/main" id="{CEE3646A-F4EB-9FA3-D55C-D492450AFB86}"/>
                </a:ext>
                <a:ext uri="{147F2762-F138-4A5C-976F-8EAC2B608ADB}">
                  <a16:predDERef xmlns:a16="http://schemas.microsoft.com/office/drawing/2014/main" pred="{37CFA6B1-583C-E7DB-DED3-B873C0964F4D}"/>
                </a:ext>
              </a:extLst>
            </xdr14:cNvPr>
            <xdr14:cNvContentPartPr/>
          </xdr14:nvContentPartPr>
          <xdr14:nvPr macro=""/>
          <xdr14:xfrm>
            <a:off x="297360" y="2562120"/>
            <a:ext cx="90360" cy="149760"/>
          </xdr14:xfrm>
        </xdr:contentPart>
      </mc:Choice>
      <mc:Fallback xmlns="">
        <xdr:pic>
          <xdr:nvPicPr>
            <xdr:cNvPr id="30" name="Input penna 29">
              <a:extLst>
                <a:ext uri="{FF2B5EF4-FFF2-40B4-BE49-F238E27FC236}">
                  <a16:creationId xmlns:a16="http://schemas.microsoft.com/office/drawing/2014/main" id="{CEE3646A-F4EB-9FA3-D55C-D492450AFB86}"/>
                </a:ext>
                <a:ext uri="{147F2762-F138-4A5C-976F-8EAC2B608ADB}">
                  <a16:predDERef xmlns:a16="http://schemas.microsoft.com/office/drawing/2014/main" pred="{37CFA6B1-583C-E7DB-DED3-B873C0964F4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86560" y="2551320"/>
              <a:ext cx="11160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404280</xdr:colOff>
      <xdr:row>12</xdr:row>
      <xdr:rowOff>93600</xdr:rowOff>
    </xdr:from>
    <xdr:to>
      <xdr:col>0</xdr:col>
      <xdr:colOff>523800</xdr:colOff>
      <xdr:row>12</xdr:row>
      <xdr:rowOff>190440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6" name="Input penna 30">
              <a:extLst>
                <a:ext uri="{FF2B5EF4-FFF2-40B4-BE49-F238E27FC236}">
                  <a16:creationId xmlns:a16="http://schemas.microsoft.com/office/drawing/2014/main" id="{859C59F4-CFB5-9332-248F-7923827682BE}"/>
                </a:ext>
                <a:ext uri="{147F2762-F138-4A5C-976F-8EAC2B608ADB}">
                  <a16:predDERef xmlns:a16="http://schemas.microsoft.com/office/drawing/2014/main" pred="{CEE3646A-F4EB-9FA3-D55C-D492450AFB86}"/>
                </a:ext>
              </a:extLst>
            </xdr14:cNvPr>
            <xdr14:cNvContentPartPr/>
          </xdr14:nvContentPartPr>
          <xdr14:nvPr macro=""/>
          <xdr14:xfrm>
            <a:off x="404280" y="2608200"/>
            <a:ext cx="119520" cy="96840"/>
          </xdr14:xfrm>
        </xdr:contentPart>
      </mc:Choice>
      <mc:Fallback xmlns="">
        <xdr:pic>
          <xdr:nvPicPr>
            <xdr:cNvPr id="31" name="Input penna 30">
              <a:extLst>
                <a:ext uri="{FF2B5EF4-FFF2-40B4-BE49-F238E27FC236}">
                  <a16:creationId xmlns:a16="http://schemas.microsoft.com/office/drawing/2014/main" id="{859C59F4-CFB5-9332-248F-7923827682BE}"/>
                </a:ext>
                <a:ext uri="{147F2762-F138-4A5C-976F-8EAC2B608ADB}">
                  <a16:predDERef xmlns:a16="http://schemas.microsoft.com/office/drawing/2014/main" pred="{CEE3646A-F4EB-9FA3-D55C-D492450AFB86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93840" y="2597760"/>
              <a:ext cx="140760" cy="11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466690</xdr:colOff>
      <xdr:row>9</xdr:row>
      <xdr:rowOff>110970</xdr:rowOff>
    </xdr:from>
    <xdr:to>
      <xdr:col>9</xdr:col>
      <xdr:colOff>577930</xdr:colOff>
      <xdr:row>20</xdr:row>
      <xdr:rowOff>79690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7" name="Input penna 31">
              <a:extLst>
                <a:ext uri="{FF2B5EF4-FFF2-40B4-BE49-F238E27FC236}">
                  <a16:creationId xmlns:a16="http://schemas.microsoft.com/office/drawing/2014/main" id="{21F79743-08CC-6E0A-A7DC-0D3B505B296A}"/>
                </a:ext>
                <a:ext uri="{147F2762-F138-4A5C-976F-8EAC2B608ADB}">
                  <a16:predDERef xmlns:a16="http://schemas.microsoft.com/office/drawing/2014/main" pred="{859C59F4-CFB5-9332-248F-7923827682BE}"/>
                </a:ext>
              </a:extLst>
            </xdr14:cNvPr>
            <xdr14:cNvContentPartPr/>
          </xdr14:nvContentPartPr>
          <xdr14:nvPr macro=""/>
          <xdr14:xfrm>
            <a:off x="11217240" y="1996920"/>
            <a:ext cx="111240" cy="2203920"/>
          </xdr14:xfrm>
        </xdr:contentPart>
      </mc:Choice>
      <mc:Fallback xmlns="">
        <xdr:pic>
          <xdr:nvPicPr>
            <xdr:cNvPr id="32" name="Input penna 31">
              <a:extLst>
                <a:ext uri="{FF2B5EF4-FFF2-40B4-BE49-F238E27FC236}">
                  <a16:creationId xmlns:a16="http://schemas.microsoft.com/office/drawing/2014/main" id="{21F79743-08CC-6E0A-A7DC-0D3B505B296A}"/>
                </a:ext>
                <a:ext uri="{147F2762-F138-4A5C-976F-8EAC2B608ADB}">
                  <a16:predDERef xmlns:a16="http://schemas.microsoft.com/office/drawing/2014/main" pred="{859C59F4-CFB5-9332-248F-7923827682BE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1206440" y="1986120"/>
              <a:ext cx="132480" cy="22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436450</xdr:colOff>
      <xdr:row>9</xdr:row>
      <xdr:rowOff>10170</xdr:rowOff>
    </xdr:from>
    <xdr:to>
      <xdr:col>9</xdr:col>
      <xdr:colOff>549490</xdr:colOff>
      <xdr:row>9</xdr:row>
      <xdr:rowOff>136890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8" name="Input penna 32">
              <a:extLst>
                <a:ext uri="{FF2B5EF4-FFF2-40B4-BE49-F238E27FC236}">
                  <a16:creationId xmlns:a16="http://schemas.microsoft.com/office/drawing/2014/main" id="{38772CAD-A1BF-F269-0B14-326B34EC4FB4}"/>
                </a:ext>
                <a:ext uri="{147F2762-F138-4A5C-976F-8EAC2B608ADB}">
                  <a16:predDERef xmlns:a16="http://schemas.microsoft.com/office/drawing/2014/main" pred="{21F79743-08CC-6E0A-A7DC-0D3B505B296A}"/>
                </a:ext>
              </a:extLst>
            </xdr14:cNvPr>
            <xdr14:cNvContentPartPr/>
          </xdr14:nvContentPartPr>
          <xdr14:nvPr macro=""/>
          <xdr14:xfrm>
            <a:off x="11187000" y="1896120"/>
            <a:ext cx="113040" cy="126720"/>
          </xdr14:xfrm>
        </xdr:contentPart>
      </mc:Choice>
      <mc:Fallback xmlns="">
        <xdr:pic>
          <xdr:nvPicPr>
            <xdr:cNvPr id="33" name="Input penna 32">
              <a:extLst>
                <a:ext uri="{FF2B5EF4-FFF2-40B4-BE49-F238E27FC236}">
                  <a16:creationId xmlns:a16="http://schemas.microsoft.com/office/drawing/2014/main" id="{38772CAD-A1BF-F269-0B14-326B34EC4FB4}"/>
                </a:ext>
                <a:ext uri="{147F2762-F138-4A5C-976F-8EAC2B608ADB}">
                  <a16:predDERef xmlns:a16="http://schemas.microsoft.com/office/drawing/2014/main" pred="{21F79743-08CC-6E0A-A7DC-0D3B505B296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1176560" y="1885320"/>
              <a:ext cx="134280" cy="1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603130</xdr:colOff>
      <xdr:row>11</xdr:row>
      <xdr:rowOff>55470</xdr:rowOff>
    </xdr:from>
    <xdr:to>
      <xdr:col>9</xdr:col>
      <xdr:colOff>725530</xdr:colOff>
      <xdr:row>12</xdr:row>
      <xdr:rowOff>69710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9" name="Input penna 33">
              <a:extLst>
                <a:ext uri="{FF2B5EF4-FFF2-40B4-BE49-F238E27FC236}">
                  <a16:creationId xmlns:a16="http://schemas.microsoft.com/office/drawing/2014/main" id="{2445EB0F-3069-FF81-634D-4C72E5F3D2A3}"/>
                </a:ext>
                <a:ext uri="{147F2762-F138-4A5C-976F-8EAC2B608ADB}">
                  <a16:predDERef xmlns:a16="http://schemas.microsoft.com/office/drawing/2014/main" pred="{38772CAD-A1BF-F269-0B14-326B34EC4FB4}"/>
                </a:ext>
              </a:extLst>
            </xdr14:cNvPr>
            <xdr14:cNvContentPartPr/>
          </xdr14:nvContentPartPr>
          <xdr14:nvPr macro=""/>
          <xdr14:xfrm>
            <a:off x="11353680" y="2360520"/>
            <a:ext cx="122400" cy="217440"/>
          </xdr14:xfrm>
        </xdr:contentPart>
      </mc:Choice>
      <mc:Fallback xmlns="">
        <xdr:pic>
          <xdr:nvPicPr>
            <xdr:cNvPr id="34" name="Input penna 33">
              <a:extLst>
                <a:ext uri="{FF2B5EF4-FFF2-40B4-BE49-F238E27FC236}">
                  <a16:creationId xmlns:a16="http://schemas.microsoft.com/office/drawing/2014/main" id="{2445EB0F-3069-FF81-634D-4C72E5F3D2A3}"/>
                </a:ext>
                <a:ext uri="{147F2762-F138-4A5C-976F-8EAC2B608ADB}">
                  <a16:predDERef xmlns:a16="http://schemas.microsoft.com/office/drawing/2014/main" pred="{38772CAD-A1BF-F269-0B14-326B34EC4FB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1342880" y="2350080"/>
              <a:ext cx="14364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612850</xdr:colOff>
      <xdr:row>11</xdr:row>
      <xdr:rowOff>203070</xdr:rowOff>
    </xdr:from>
    <xdr:to>
      <xdr:col>9</xdr:col>
      <xdr:colOff>711130</xdr:colOff>
      <xdr:row>12</xdr:row>
      <xdr:rowOff>19310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40" name="Input penna 34">
              <a:extLst>
                <a:ext uri="{FF2B5EF4-FFF2-40B4-BE49-F238E27FC236}">
                  <a16:creationId xmlns:a16="http://schemas.microsoft.com/office/drawing/2014/main" id="{3D093D67-E4CA-E9DB-5C8F-3DFEFF6B4959}"/>
                </a:ext>
                <a:ext uri="{147F2762-F138-4A5C-976F-8EAC2B608ADB}">
                  <a16:predDERef xmlns:a16="http://schemas.microsoft.com/office/drawing/2014/main" pred="{2445EB0F-3069-FF81-634D-4C72E5F3D2A3}"/>
                </a:ext>
              </a:extLst>
            </xdr14:cNvPr>
            <xdr14:cNvContentPartPr/>
          </xdr14:nvContentPartPr>
          <xdr14:nvPr macro=""/>
          <xdr14:xfrm>
            <a:off x="11363400" y="2508120"/>
            <a:ext cx="98280" cy="19440"/>
          </xdr14:xfrm>
        </xdr:contentPart>
      </mc:Choice>
      <mc:Fallback xmlns="">
        <xdr:pic>
          <xdr:nvPicPr>
            <xdr:cNvPr id="35" name="Input penna 34">
              <a:extLst>
                <a:ext uri="{FF2B5EF4-FFF2-40B4-BE49-F238E27FC236}">
                  <a16:creationId xmlns:a16="http://schemas.microsoft.com/office/drawing/2014/main" id="{3D093D67-E4CA-E9DB-5C8F-3DFEFF6B4959}"/>
                </a:ext>
                <a:ext uri="{147F2762-F138-4A5C-976F-8EAC2B608ADB}">
                  <a16:predDERef xmlns:a16="http://schemas.microsoft.com/office/drawing/2014/main" pred="{2445EB0F-3069-FF81-634D-4C72E5F3D2A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1352960" y="2497320"/>
              <a:ext cx="119520" cy="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28570</xdr:colOff>
      <xdr:row>11</xdr:row>
      <xdr:rowOff>56910</xdr:rowOff>
    </xdr:from>
    <xdr:to>
      <xdr:col>10</xdr:col>
      <xdr:colOff>199570</xdr:colOff>
      <xdr:row>12</xdr:row>
      <xdr:rowOff>56750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42" name="Input penna 36">
              <a:extLst>
                <a:ext uri="{FF2B5EF4-FFF2-40B4-BE49-F238E27FC236}">
                  <a16:creationId xmlns:a16="http://schemas.microsoft.com/office/drawing/2014/main" id="{8E5FD811-D819-59FE-98B4-6C2B93671AF0}"/>
                </a:ext>
                <a:ext uri="{147F2762-F138-4A5C-976F-8EAC2B608ADB}">
                  <a16:predDERef xmlns:a16="http://schemas.microsoft.com/office/drawing/2014/main" pred="{3D093D67-E4CA-E9DB-5C8F-3DFEFF6B4959}"/>
                </a:ext>
              </a:extLst>
            </xdr14:cNvPr>
            <xdr14:cNvContentPartPr/>
          </xdr14:nvContentPartPr>
          <xdr14:nvPr macro=""/>
          <xdr14:xfrm>
            <a:off x="11464920" y="2361960"/>
            <a:ext cx="171000" cy="203040"/>
          </xdr14:xfrm>
        </xdr:contentPart>
      </mc:Choice>
      <mc:Fallback xmlns="">
        <xdr:pic>
          <xdr:nvPicPr>
            <xdr:cNvPr id="37" name="Input penna 36">
              <a:extLst>
                <a:ext uri="{FF2B5EF4-FFF2-40B4-BE49-F238E27FC236}">
                  <a16:creationId xmlns:a16="http://schemas.microsoft.com/office/drawing/2014/main" id="{8E5FD811-D819-59FE-98B4-6C2B93671AF0}"/>
                </a:ext>
                <a:ext uri="{147F2762-F138-4A5C-976F-8EAC2B608ADB}">
                  <a16:predDERef xmlns:a16="http://schemas.microsoft.com/office/drawing/2014/main" pred="{3D093D67-E4CA-E9DB-5C8F-3DFEFF6B495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454480" y="2351520"/>
              <a:ext cx="192240" cy="22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152050</xdr:colOff>
      <xdr:row>12</xdr:row>
      <xdr:rowOff>47520</xdr:rowOff>
    </xdr:from>
    <xdr:to>
      <xdr:col>10</xdr:col>
      <xdr:colOff>203170</xdr:colOff>
      <xdr:row>12</xdr:row>
      <xdr:rowOff>109800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43" name="Input penna 37">
              <a:extLst>
                <a:ext uri="{FF2B5EF4-FFF2-40B4-BE49-F238E27FC236}">
                  <a16:creationId xmlns:a16="http://schemas.microsoft.com/office/drawing/2014/main" id="{16099928-7CF5-854C-2D02-FE8A33C0C9CA}"/>
                </a:ext>
                <a:ext uri="{147F2762-F138-4A5C-976F-8EAC2B608ADB}">
                  <a16:predDERef xmlns:a16="http://schemas.microsoft.com/office/drawing/2014/main" pred="{8E5FD811-D819-59FE-98B4-6C2B93671AF0}"/>
                </a:ext>
              </a:extLst>
            </xdr14:cNvPr>
            <xdr14:cNvContentPartPr/>
          </xdr14:nvContentPartPr>
          <xdr14:nvPr macro=""/>
          <xdr14:xfrm>
            <a:off x="11588400" y="2562120"/>
            <a:ext cx="51120" cy="62280"/>
          </xdr14:xfrm>
        </xdr:contentPart>
      </mc:Choice>
      <mc:Fallback xmlns="">
        <xdr:pic>
          <xdr:nvPicPr>
            <xdr:cNvPr id="38" name="Input penna 37">
              <a:extLst>
                <a:ext uri="{FF2B5EF4-FFF2-40B4-BE49-F238E27FC236}">
                  <a16:creationId xmlns:a16="http://schemas.microsoft.com/office/drawing/2014/main" id="{16099928-7CF5-854C-2D02-FE8A33C0C9CA}"/>
                </a:ext>
                <a:ext uri="{147F2762-F138-4A5C-976F-8EAC2B608ADB}">
                  <a16:predDERef xmlns:a16="http://schemas.microsoft.com/office/drawing/2014/main" pred="{8E5FD811-D819-59FE-98B4-6C2B93671AF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1577960" y="2551320"/>
              <a:ext cx="7236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251050</xdr:colOff>
      <xdr:row>11</xdr:row>
      <xdr:rowOff>69510</xdr:rowOff>
    </xdr:from>
    <xdr:to>
      <xdr:col>10</xdr:col>
      <xdr:colOff>355090</xdr:colOff>
      <xdr:row>12</xdr:row>
      <xdr:rowOff>34790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4" name="Input penna 38">
              <a:extLst>
                <a:ext uri="{FF2B5EF4-FFF2-40B4-BE49-F238E27FC236}">
                  <a16:creationId xmlns:a16="http://schemas.microsoft.com/office/drawing/2014/main" id="{56559BE2-2B91-9A86-907D-E38053CE3F8B}"/>
                </a:ext>
                <a:ext uri="{147F2762-F138-4A5C-976F-8EAC2B608ADB}">
                  <a16:predDERef xmlns:a16="http://schemas.microsoft.com/office/drawing/2014/main" pred="{16099928-7CF5-854C-2D02-FE8A33C0C9CA}"/>
                </a:ext>
              </a:extLst>
            </xdr14:cNvPr>
            <xdr14:cNvContentPartPr/>
          </xdr14:nvContentPartPr>
          <xdr14:nvPr macro=""/>
          <xdr14:xfrm>
            <a:off x="11687400" y="2374560"/>
            <a:ext cx="104040" cy="168480"/>
          </xdr14:xfrm>
        </xdr:contentPart>
      </mc:Choice>
      <mc:Fallback xmlns="">
        <xdr:pic>
          <xdr:nvPicPr>
            <xdr:cNvPr id="39" name="Input penna 38">
              <a:extLst>
                <a:ext uri="{FF2B5EF4-FFF2-40B4-BE49-F238E27FC236}">
                  <a16:creationId xmlns:a16="http://schemas.microsoft.com/office/drawing/2014/main" id="{56559BE2-2B91-9A86-907D-E38053CE3F8B}"/>
                </a:ext>
                <a:ext uri="{147F2762-F138-4A5C-976F-8EAC2B608ADB}">
                  <a16:predDERef xmlns:a16="http://schemas.microsoft.com/office/drawing/2014/main" pred="{16099928-7CF5-854C-2D02-FE8A33C0C9C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676600" y="2364120"/>
              <a:ext cx="12528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401530</xdr:colOff>
      <xdr:row>11</xdr:row>
      <xdr:rowOff>106230</xdr:rowOff>
    </xdr:from>
    <xdr:to>
      <xdr:col>10</xdr:col>
      <xdr:colOff>622210</xdr:colOff>
      <xdr:row>12</xdr:row>
      <xdr:rowOff>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45" name="Input penna 39">
              <a:extLst>
                <a:ext uri="{FF2B5EF4-FFF2-40B4-BE49-F238E27FC236}">
                  <a16:creationId xmlns:a16="http://schemas.microsoft.com/office/drawing/2014/main" id="{EEA5ECAC-7A20-C90D-3C87-448A7621C69A}"/>
                </a:ext>
                <a:ext uri="{147F2762-F138-4A5C-976F-8EAC2B608ADB}">
                  <a16:predDERef xmlns:a16="http://schemas.microsoft.com/office/drawing/2014/main" pred="{56559BE2-2B91-9A86-907D-E38053CE3F8B}"/>
                </a:ext>
              </a:extLst>
            </xdr14:cNvPr>
            <xdr14:cNvContentPartPr/>
          </xdr14:nvContentPartPr>
          <xdr14:nvPr macro=""/>
          <xdr14:xfrm>
            <a:off x="11837880" y="2411280"/>
            <a:ext cx="220680" cy="97200"/>
          </xdr14:xfrm>
        </xdr:contentPart>
      </mc:Choice>
      <mc:Fallback xmlns="">
        <xdr:pic>
          <xdr:nvPicPr>
            <xdr:cNvPr id="40" name="Input penna 39">
              <a:extLst>
                <a:ext uri="{FF2B5EF4-FFF2-40B4-BE49-F238E27FC236}">
                  <a16:creationId xmlns:a16="http://schemas.microsoft.com/office/drawing/2014/main" id="{EEA5ECAC-7A20-C90D-3C87-448A7621C69A}"/>
                </a:ext>
                <a:ext uri="{147F2762-F138-4A5C-976F-8EAC2B608ADB}">
                  <a16:predDERef xmlns:a16="http://schemas.microsoft.com/office/drawing/2014/main" pred="{56559BE2-2B91-9A86-907D-E38053CE3F8B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827440" y="2400840"/>
              <a:ext cx="241920" cy="118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55789</xdr:colOff>
      <xdr:row>63</xdr:row>
      <xdr:rowOff>133349</xdr:rowOff>
    </xdr:from>
    <xdr:to>
      <xdr:col>11</xdr:col>
      <xdr:colOff>309185</xdr:colOff>
      <xdr:row>92</xdr:row>
      <xdr:rowOff>145444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1CD87D19-0E01-E018-7569-83CB6FC73C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58"/>
        <a:stretch/>
      </xdr:blipFill>
      <xdr:spPr>
        <a:xfrm>
          <a:off x="4646839" y="13554074"/>
          <a:ext cx="7572830" cy="6150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1150620</xdr:colOff>
      <xdr:row>85</xdr:row>
      <xdr:rowOff>129540</xdr:rowOff>
    </xdr:from>
    <xdr:to>
      <xdr:col>22</xdr:col>
      <xdr:colOff>511098</xdr:colOff>
      <xdr:row>165</xdr:row>
      <xdr:rowOff>120015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92305D-6E32-790A-E2DA-63CA13F1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26140" y="17449800"/>
          <a:ext cx="10752378" cy="158400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596265</xdr:colOff>
      <xdr:row>23</xdr:row>
      <xdr:rowOff>142875</xdr:rowOff>
    </xdr:from>
    <xdr:ext cx="65" cy="172227"/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22FB51BD-D9C4-86BE-8F84-4CEBD1642709}"/>
            </a:ext>
          </a:extLst>
        </xdr:cNvPr>
        <xdr:cNvSpPr txBox="1"/>
      </xdr:nvSpPr>
      <xdr:spPr>
        <a:xfrm>
          <a:off x="6631305" y="252031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olitoit-my.sharepoint.com/personal/s307084_studenti_polito_it/Documents/$$_ESIMP_PLANCIA%20A1%20e%20B_rev4_gruppi.xlsx" TargetMode="External"/><Relationship Id="rId1" Type="http://schemas.openxmlformats.org/officeDocument/2006/relationships/externalLinkPath" Target="https://politoit-my.sharepoint.com/personal/s307084_studenti_polito_it/Documents/$$_ESIMP_PLANCIA%20A1%20e%20B_rev4_gruppi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palmi/Desktop/$$_ESIMP_PLANCIA%20A2%20e%20D%20rev4_gruppi%20(1).xlsx" TargetMode="External"/><Relationship Id="rId1" Type="http://schemas.openxmlformats.org/officeDocument/2006/relationships/externalLinkPath" Target="file:///C:/Users/palmi/Desktop/$$_ESIMP_PLANCIA%20A2%20e%20D%20rev4_gruppi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olitoit-my.sharepoint.com/personal/s307084_studenti_polito_it/Documents/A1_B_optimisation_copy.xlsx" TargetMode="External"/><Relationship Id="rId1" Type="http://schemas.openxmlformats.org/officeDocument/2006/relationships/externalLinkPath" Target="https://politoit-my.sharepoint.com/personal/s307084_studenti_polito_it/Documents/A1_B_optimisation_cop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danie/OneDrive/Desktop/$$_ESIMP_PLANCIA%20A1%20e%20B_rev4_gruppi.xlsx" TargetMode="External"/><Relationship Id="rId1" Type="http://schemas.openxmlformats.org/officeDocument/2006/relationships/externalLinkPath" Target="file:///C:/Users/danie/OneDrive/Desktop/$$_ESIMP_PLANCIA%20A1%20e%20B_rev4_gruppi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olitoit-my.sharepoint.com/personal/s311364_studenti_polito_it/Documents/$$_ESIMP_PLANCIA%20A2%20e%20D%20rev4_gruppi%20(1).xlsx" TargetMode="External"/><Relationship Id="rId1" Type="http://schemas.openxmlformats.org/officeDocument/2006/relationships/externalLinkPath" Target="https://politoit-my.sharepoint.com/personal/s311364_studenti_polito_it/Documents/$$_ESIMP_PLANCIA%20A2%20e%20D%20rev4_gruppi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MFI81VdvxkayIP--TN32mK6t6b2fhYdBnDQZ4CrMsRmkebigQOAhRr3g-mLhTToS" itemId="016FM666EVLT2HYG3S4JE2DT64F7DMPBQ5">
      <xxl21:absoluteUrl r:id="rId2"/>
    </xxl21:alternateUrls>
    <sheetNames>
      <sheetName val="$_DATI_DI_BASE"/>
      <sheetName val="$_FABBISOGNI"/>
      <sheetName val="$_MACCHINE"/>
      <sheetName val="$_MAG_BUFFER"/>
      <sheetName val="$_MOV_MATERIALI"/>
      <sheetName val="$_OP_MONTAGGIO (TIPO A1)"/>
      <sheetName val="$_OP_MONTAGGIO (TIPO B)"/>
    </sheetNames>
    <sheetDataSet>
      <sheetData sheetId="0">
        <row r="6">
          <cell r="N6">
            <v>22</v>
          </cell>
        </row>
        <row r="39">
          <cell r="F39" t="str">
            <v>INT_ASS_001</v>
          </cell>
          <cell r="I39" t="str">
            <v>PLANCIA SEGMENTO A1</v>
          </cell>
        </row>
        <row r="40">
          <cell r="F40" t="str">
            <v>INT_SAL_001</v>
          </cell>
          <cell r="I40" t="str">
            <v>(CORPO + INSERTO) PLANCIA SEGMENTO A1</v>
          </cell>
        </row>
        <row r="41">
          <cell r="F41" t="str">
            <v>EST_STAMP_001</v>
          </cell>
          <cell r="I41" t="str">
            <v>CORPO PLANCIA A1</v>
          </cell>
        </row>
        <row r="42">
          <cell r="F42" t="str">
            <v>EST_STAMP_003</v>
          </cell>
          <cell r="I42" t="str">
            <v>INSERTO PLANCIA A1</v>
          </cell>
        </row>
        <row r="43">
          <cell r="F43" t="str">
            <v>EST_STAMP_009</v>
          </cell>
          <cell r="I43" t="str">
            <v>CUPOLOTTO</v>
          </cell>
        </row>
        <row r="44">
          <cell r="F44" t="str">
            <v>EST_SICUR_001</v>
          </cell>
          <cell r="I44" t="str">
            <v>CORPO AIR BAG</v>
          </cell>
        </row>
        <row r="45">
          <cell r="F45" t="str">
            <v>EST_SICUR_002</v>
          </cell>
          <cell r="I45" t="str">
            <v>CORNICE AIR BAG</v>
          </cell>
        </row>
        <row r="46">
          <cell r="F46" t="str">
            <v>EST_ELETTR_001</v>
          </cell>
          <cell r="I46" t="str">
            <v>CENTRALINA ELETTRONICA A1</v>
          </cell>
        </row>
        <row r="49">
          <cell r="F49" t="str">
            <v>INT_ASS_002</v>
          </cell>
          <cell r="I49" t="str">
            <v>PLANCIA SEGMENTO B</v>
          </cell>
        </row>
        <row r="50">
          <cell r="F50" t="str">
            <v>INT_SAL_002</v>
          </cell>
          <cell r="I50" t="str">
            <v>(CORPO + INSERTO) PLANCIA SEGMENTO B</v>
          </cell>
        </row>
        <row r="51">
          <cell r="F51" t="str">
            <v>EST_STAMP_002</v>
          </cell>
          <cell r="I51" t="str">
            <v>CORPO PLANCIA B</v>
          </cell>
        </row>
        <row r="52">
          <cell r="F52" t="str">
            <v>EST_STAMP_004</v>
          </cell>
          <cell r="I52" t="str">
            <v>INSERTO PLANCIA B</v>
          </cell>
        </row>
        <row r="56">
          <cell r="F56" t="str">
            <v>EST_ELETTR_003</v>
          </cell>
          <cell r="I56" t="str">
            <v>CENTRALINA ELETTRONICA B</v>
          </cell>
        </row>
        <row r="57">
          <cell r="F57" t="str">
            <v>EST_ELETTR_005</v>
          </cell>
          <cell r="I57" t="str">
            <v>CAVO ELETTRICO COMPLETO</v>
          </cell>
        </row>
        <row r="65">
          <cell r="D65" t="str">
            <v>PED+SCA</v>
          </cell>
          <cell r="E65" t="str">
            <v>PLANCIA SEGMENTO A1</v>
          </cell>
          <cell r="J65" t="str">
            <v>1800x800x800</v>
          </cell>
          <cell r="L65">
            <v>4</v>
          </cell>
        </row>
        <row r="66">
          <cell r="D66" t="str">
            <v>PED+SCA</v>
          </cell>
          <cell r="E66" t="str">
            <v>PLANCIA SEGMENTO B</v>
          </cell>
          <cell r="J66" t="str">
            <v>1800x800x800</v>
          </cell>
          <cell r="L66">
            <v>3</v>
          </cell>
        </row>
        <row r="67">
          <cell r="D67"/>
          <cell r="E67"/>
          <cell r="J67"/>
          <cell r="L67"/>
        </row>
        <row r="68">
          <cell r="D68" t="str">
            <v>SPEC</v>
          </cell>
          <cell r="E68" t="str">
            <v>(CORPO + INSERTO) PLANCIA SEGMENTO A1</v>
          </cell>
          <cell r="J68" t="str">
            <v>1600x800x600</v>
          </cell>
          <cell r="L68">
            <v>6</v>
          </cell>
        </row>
        <row r="69">
          <cell r="D69" t="str">
            <v>SPEC</v>
          </cell>
          <cell r="E69" t="str">
            <v>(CORPO + INSERTO) PLANCIA SEGMENTO B</v>
          </cell>
          <cell r="J69" t="str">
            <v>1600x800x600</v>
          </cell>
          <cell r="L69">
            <v>4</v>
          </cell>
        </row>
        <row r="70">
          <cell r="D70"/>
          <cell r="E70"/>
          <cell r="J70"/>
          <cell r="L70"/>
        </row>
        <row r="71">
          <cell r="D71" t="str">
            <v>PED+SCA</v>
          </cell>
          <cell r="E71" t="str">
            <v>CORPO PLANCIA A1</v>
          </cell>
          <cell r="J71" t="str">
            <v>1400x800x600</v>
          </cell>
          <cell r="L71">
            <v>6</v>
          </cell>
        </row>
        <row r="72">
          <cell r="D72" t="str">
            <v>PED+SCA</v>
          </cell>
          <cell r="E72" t="str">
            <v>CORPO PLANCIA B</v>
          </cell>
          <cell r="J72" t="str">
            <v>1400x800x600</v>
          </cell>
          <cell r="L72">
            <v>4</v>
          </cell>
        </row>
        <row r="73">
          <cell r="D73" t="str">
            <v>PED+SCA</v>
          </cell>
          <cell r="E73" t="str">
            <v>INSERTO PLANCIA A1</v>
          </cell>
          <cell r="J73" t="str">
            <v>1400x800x600</v>
          </cell>
          <cell r="L73">
            <v>10</v>
          </cell>
        </row>
        <row r="74">
          <cell r="D74" t="str">
            <v>PED+SCA</v>
          </cell>
          <cell r="E74" t="str">
            <v>INSERTO PLANCIA B</v>
          </cell>
          <cell r="J74" t="str">
            <v>1400x800x600</v>
          </cell>
          <cell r="L74">
            <v>8</v>
          </cell>
        </row>
        <row r="75">
          <cell r="D75" t="str">
            <v>PED+SCA</v>
          </cell>
          <cell r="E75" t="str">
            <v>CUPOLOTTO</v>
          </cell>
          <cell r="J75" t="str">
            <v>1000x800x800</v>
          </cell>
          <cell r="L75">
            <v>100</v>
          </cell>
        </row>
        <row r="76">
          <cell r="D76"/>
          <cell r="E76"/>
          <cell r="J76"/>
          <cell r="L76"/>
        </row>
        <row r="77">
          <cell r="D77" t="str">
            <v>ODETTE</v>
          </cell>
          <cell r="E77" t="str">
            <v>CORPO AIR BAG</v>
          </cell>
          <cell r="J77" t="str">
            <v>600x400x320</v>
          </cell>
          <cell r="L77">
            <v>20</v>
          </cell>
        </row>
        <row r="78">
          <cell r="D78" t="str">
            <v>ODETTE</v>
          </cell>
          <cell r="E78" t="str">
            <v>CORNICE AIR BAG</v>
          </cell>
          <cell r="J78" t="str">
            <v>600x400x320</v>
          </cell>
          <cell r="L78">
            <v>50</v>
          </cell>
        </row>
        <row r="79">
          <cell r="D79" t="str">
            <v>ODETTE</v>
          </cell>
          <cell r="E79" t="str">
            <v>CENTRALINA ELETTRONICA A1</v>
          </cell>
          <cell r="J79" t="str">
            <v>600x400x320</v>
          </cell>
          <cell r="L79">
            <v>50</v>
          </cell>
        </row>
        <row r="80">
          <cell r="D80" t="str">
            <v>ODETTE</v>
          </cell>
          <cell r="E80" t="str">
            <v>CENTRALINA ELETTRONICA B</v>
          </cell>
          <cell r="J80" t="str">
            <v>600x400x320</v>
          </cell>
          <cell r="L80">
            <v>50</v>
          </cell>
        </row>
        <row r="81">
          <cell r="D81" t="str">
            <v>ODETTE</v>
          </cell>
          <cell r="E81" t="str">
            <v>CAVO ELETTRICO COMPLETO</v>
          </cell>
          <cell r="J81" t="str">
            <v>600x400x320</v>
          </cell>
          <cell r="L81">
            <v>16</v>
          </cell>
        </row>
      </sheetData>
      <sheetData sheetId="1">
        <row r="3">
          <cell r="H3" t="str">
            <v>PLANCIA SEGMENTO A1</v>
          </cell>
          <cell r="P3">
            <v>25581.599999999999</v>
          </cell>
        </row>
        <row r="4">
          <cell r="H4" t="str">
            <v>(CORPO + INSERTO) PLANCIA SEGMENTO A1</v>
          </cell>
          <cell r="P4">
            <v>26103.673469387755</v>
          </cell>
        </row>
        <row r="5">
          <cell r="H5" t="str">
            <v>CORPO PLANCIA A1</v>
          </cell>
          <cell r="P5">
            <v>26103.673469387755</v>
          </cell>
        </row>
        <row r="6">
          <cell r="H6" t="str">
            <v>INSERTO PLANCIA A1</v>
          </cell>
          <cell r="P6">
            <v>26103.673469387755</v>
          </cell>
        </row>
        <row r="7">
          <cell r="H7" t="str">
            <v>CUPOLOTTO</v>
          </cell>
          <cell r="P7">
            <v>25581.599999999999</v>
          </cell>
        </row>
        <row r="8">
          <cell r="H8" t="str">
            <v>CORPO AIR BAG</v>
          </cell>
          <cell r="P8">
            <v>25581.599999999999</v>
          </cell>
        </row>
        <row r="9">
          <cell r="H9" t="str">
            <v>CORNICE AIR BAG</v>
          </cell>
          <cell r="P9">
            <v>25581.599999999999</v>
          </cell>
        </row>
        <row r="10">
          <cell r="H10" t="str">
            <v>CENTRALINA ELETTRONICA A1</v>
          </cell>
          <cell r="P10">
            <v>25581.599999999999</v>
          </cell>
        </row>
        <row r="11">
          <cell r="H11" t="str">
            <v>CAVO ELETTRICO COMPLETO</v>
          </cell>
          <cell r="P11">
            <v>25581.599999999999</v>
          </cell>
        </row>
        <row r="12">
          <cell r="H12" t="str">
            <v>PLANCIA SEGMENTO B</v>
          </cell>
          <cell r="P12">
            <v>17054.400000000001</v>
          </cell>
        </row>
        <row r="13">
          <cell r="H13" t="str">
            <v>(CORPO + INSERTO) PLANCIA SEGMENTO B</v>
          </cell>
          <cell r="P13">
            <v>17402.448979591838</v>
          </cell>
        </row>
        <row r="14">
          <cell r="H14" t="str">
            <v>CORPO PLANCIA B</v>
          </cell>
          <cell r="P14">
            <v>17402.448979591838</v>
          </cell>
        </row>
        <row r="15">
          <cell r="H15" t="str">
            <v>INSERTO PLANCIA B</v>
          </cell>
          <cell r="P15">
            <v>17402.448979591838</v>
          </cell>
        </row>
        <row r="16">
          <cell r="H16" t="str">
            <v>CUPOLOTTO</v>
          </cell>
          <cell r="P16">
            <v>34108.800000000003</v>
          </cell>
        </row>
        <row r="17">
          <cell r="H17" t="str">
            <v>CORPO AIR BAG</v>
          </cell>
          <cell r="P17">
            <v>34108.800000000003</v>
          </cell>
        </row>
        <row r="18">
          <cell r="H18" t="str">
            <v>CORNICE AIR BAG</v>
          </cell>
          <cell r="P18">
            <v>34108.800000000003</v>
          </cell>
        </row>
        <row r="19">
          <cell r="H19" t="str">
            <v>CENTRALINA ELETTRONICA B</v>
          </cell>
          <cell r="P19">
            <v>17054.400000000001</v>
          </cell>
        </row>
        <row r="20">
          <cell r="H20" t="str">
            <v>CAVO ELETTRICO COMPLETO</v>
          </cell>
          <cell r="P20">
            <v>17054.400000000001</v>
          </cell>
        </row>
      </sheetData>
      <sheetData sheetId="2"/>
      <sheetData sheetId="3">
        <row r="6">
          <cell r="I6">
            <v>26103.673469387755</v>
          </cell>
        </row>
        <row r="7">
          <cell r="J7">
            <v>17402.448979591838</v>
          </cell>
        </row>
        <row r="8">
          <cell r="I8">
            <v>26103.673469387755</v>
          </cell>
        </row>
        <row r="9">
          <cell r="J9">
            <v>17402.448979591838</v>
          </cell>
        </row>
        <row r="10">
          <cell r="I10">
            <v>25581.599999999999</v>
          </cell>
          <cell r="J10">
            <v>34108.800000000003</v>
          </cell>
        </row>
        <row r="11">
          <cell r="I11">
            <v>25581.599999999999</v>
          </cell>
          <cell r="J11">
            <v>34108.800000000003</v>
          </cell>
        </row>
        <row r="12">
          <cell r="I12">
            <v>25581.599999999999</v>
          </cell>
          <cell r="J12">
            <v>34108.800000000003</v>
          </cell>
        </row>
        <row r="13">
          <cell r="I13">
            <v>25581.599999999999</v>
          </cell>
        </row>
        <row r="14">
          <cell r="J14">
            <v>17054.400000000001</v>
          </cell>
        </row>
        <row r="15">
          <cell r="I15">
            <v>25581.599999999999</v>
          </cell>
          <cell r="J15">
            <v>17054.400000000001</v>
          </cell>
        </row>
        <row r="17">
          <cell r="I17">
            <v>25581.599999999999</v>
          </cell>
        </row>
        <row r="18">
          <cell r="J18">
            <v>17054.400000000001</v>
          </cell>
        </row>
        <row r="20">
          <cell r="P20">
            <v>6395.4</v>
          </cell>
        </row>
        <row r="21">
          <cell r="P21">
            <v>4263.6000000000004</v>
          </cell>
        </row>
      </sheetData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fbn0nk2Jyke5MFPXOOf1e2Cn5YrSethFrQ4CSSm_EeyOlQ9hSIRGQpDs4qJEpbCO" itemId="01N4JSIW4HHG7JHWJ5WFHYSGDXM3TRQTWW">
      <xxl21:absoluteUrl r:id="rId2"/>
    </xxl21:alternateUrls>
    <sheetNames>
      <sheetName val="$_DATI_DI_BASE"/>
      <sheetName val="$_FABBISOGNI"/>
      <sheetName val="$_MACCHINE"/>
      <sheetName val="$_MAG_BUFFER"/>
      <sheetName val="$_MOV_MATERIALI"/>
      <sheetName val="$_OP_MONTAGGIO (TIPO A2)"/>
      <sheetName val="$_OP_MONTAGGIO (TIPO D)"/>
      <sheetName val="Foglio1"/>
    </sheetNames>
    <sheetDataSet>
      <sheetData sheetId="0" refreshError="1"/>
      <sheetData sheetId="1" refreshError="1">
        <row r="24">
          <cell r="Q24">
            <v>3366</v>
          </cell>
        </row>
        <row r="25">
          <cell r="Q25">
            <v>1442.5714285714287</v>
          </cell>
        </row>
      </sheetData>
      <sheetData sheetId="2" refreshError="1"/>
      <sheetData sheetId="3" refreshError="1">
        <row r="6">
          <cell r="J6">
            <v>24042.857142857145</v>
          </cell>
        </row>
        <row r="7">
          <cell r="K7">
            <v>10304.081632653062</v>
          </cell>
        </row>
        <row r="8">
          <cell r="J8">
            <v>24042.857142857145</v>
          </cell>
        </row>
        <row r="9">
          <cell r="K9">
            <v>10304.081632653062</v>
          </cell>
        </row>
        <row r="10">
          <cell r="J10">
            <v>23562</v>
          </cell>
          <cell r="K10">
            <v>20196</v>
          </cell>
        </row>
        <row r="11">
          <cell r="J11">
            <v>23562</v>
          </cell>
          <cell r="K11">
            <v>20196</v>
          </cell>
        </row>
        <row r="12">
          <cell r="J12">
            <v>23562</v>
          </cell>
          <cell r="K12">
            <v>20196</v>
          </cell>
        </row>
        <row r="13">
          <cell r="J13">
            <v>23562</v>
          </cell>
        </row>
        <row r="14">
          <cell r="K14">
            <v>10098</v>
          </cell>
        </row>
        <row r="15">
          <cell r="J15">
            <v>23562</v>
          </cell>
          <cell r="K15">
            <v>10098</v>
          </cell>
        </row>
        <row r="17">
          <cell r="J17">
            <v>23562</v>
          </cell>
        </row>
        <row r="18">
          <cell r="K18">
            <v>10098</v>
          </cell>
        </row>
        <row r="20">
          <cell r="Q20">
            <v>6010.7142857142862</v>
          </cell>
        </row>
        <row r="21">
          <cell r="Q21">
            <v>2576.0204081632655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$_DATI_DI_BASE"/>
      <sheetName val="$_FABBISOGNI"/>
      <sheetName val="$_MACCHINE"/>
      <sheetName val="$_MAG_BUFFER"/>
      <sheetName val="$_MOV_MATERIALI"/>
      <sheetName val="$_OP_MONTAGGIO (TIPO A1)"/>
      <sheetName val="$_OP_MONTAGGIO (TIPO B)"/>
    </sheetNames>
    <sheetDataSet>
      <sheetData sheetId="0"/>
      <sheetData sheetId="1">
        <row r="24">
          <cell r="P24">
            <v>3654.5142857142855</v>
          </cell>
        </row>
        <row r="25">
          <cell r="P25">
            <v>2436.3428571428572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$_DATI_DI_BASE"/>
      <sheetName val="$_FABBISOGNI"/>
      <sheetName val="$_MACCHINE"/>
      <sheetName val="$_MAG_BUFFER"/>
      <sheetName val="$_MOV_MATERIALI"/>
      <sheetName val="$_OP_MONTAGGIO (TIPO A1)"/>
      <sheetName val="$_OP_MONTAGGIO (TIPO B)"/>
    </sheetNames>
    <sheetDataSet>
      <sheetData sheetId="0">
        <row r="8">
          <cell r="N8">
            <v>330</v>
          </cell>
        </row>
        <row r="17">
          <cell r="K17">
            <v>1</v>
          </cell>
        </row>
        <row r="39">
          <cell r="I39" t="str">
            <v>PLANCIA SEGMENTO A1</v>
          </cell>
        </row>
        <row r="40">
          <cell r="F40" t="str">
            <v>INT_SAL_001</v>
          </cell>
        </row>
        <row r="49">
          <cell r="F49" t="str">
            <v>INT_ASS_002</v>
          </cell>
          <cell r="I49" t="str">
            <v>PLANCIA SEGMENTO B</v>
          </cell>
        </row>
        <row r="50">
          <cell r="F50" t="str">
            <v>INT_SAL_002</v>
          </cell>
        </row>
        <row r="106">
          <cell r="E106" t="str">
            <v>PLANCIA SEGMENTO A1</v>
          </cell>
          <cell r="N106">
            <v>90</v>
          </cell>
          <cell r="P106">
            <v>2.5</v>
          </cell>
        </row>
        <row r="107">
          <cell r="E107" t="str">
            <v>PLANCIA SEGMENTO B</v>
          </cell>
          <cell r="N107">
            <v>120</v>
          </cell>
          <cell r="P107">
            <v>2.5</v>
          </cell>
        </row>
        <row r="108">
          <cell r="E108" t="str">
            <v>(CORPO + INSERTO) PLANCIA SEGMENTO A1</v>
          </cell>
          <cell r="N108">
            <v>45</v>
          </cell>
          <cell r="P108">
            <v>2</v>
          </cell>
        </row>
        <row r="109">
          <cell r="E109" t="str">
            <v>(CORPO + INSERTO) PLANCIA SEGMENTO B</v>
          </cell>
          <cell r="N109">
            <v>60</v>
          </cell>
          <cell r="P109">
            <v>2</v>
          </cell>
        </row>
      </sheetData>
      <sheetData sheetId="1">
        <row r="3">
          <cell r="F3" t="str">
            <v>INT_ASS_001</v>
          </cell>
          <cell r="H3" t="str">
            <v>PLANCIA SEGMENTO A1</v>
          </cell>
          <cell r="P3">
            <v>25581.599999999999</v>
          </cell>
        </row>
        <row r="4">
          <cell r="H4" t="str">
            <v>(CORPO + INSERTO) PLANCIA SEGMENTO A1</v>
          </cell>
          <cell r="P4">
            <v>26103.673469387755</v>
          </cell>
        </row>
        <row r="5">
          <cell r="H5" t="str">
            <v>CORPO PLANCIA A1</v>
          </cell>
          <cell r="P5">
            <v>26103.673469387755</v>
          </cell>
        </row>
        <row r="6">
          <cell r="H6" t="str">
            <v>INSERTO PLANCIA A1</v>
          </cell>
          <cell r="P6">
            <v>26103.673469387755</v>
          </cell>
        </row>
        <row r="7">
          <cell r="H7" t="str">
            <v>CUPOLOTTO</v>
          </cell>
          <cell r="P7">
            <v>25581.599999999999</v>
          </cell>
        </row>
        <row r="8">
          <cell r="H8" t="str">
            <v>CORPO AIR BAG</v>
          </cell>
          <cell r="P8">
            <v>25581.599999999999</v>
          </cell>
        </row>
        <row r="9">
          <cell r="H9" t="str">
            <v>CORNICE AIR BAG</v>
          </cell>
          <cell r="P9">
            <v>25581.599999999999</v>
          </cell>
        </row>
        <row r="10">
          <cell r="H10" t="str">
            <v>CENTRALINA ELETTRONICA A1</v>
          </cell>
          <cell r="P10">
            <v>25581.599999999999</v>
          </cell>
        </row>
        <row r="11">
          <cell r="H11" t="str">
            <v>CAVO ELETTRICO COMPLETO</v>
          </cell>
          <cell r="P11">
            <v>25581.599999999999</v>
          </cell>
        </row>
        <row r="12">
          <cell r="H12" t="str">
            <v>PLANCIA SEGMENTO B</v>
          </cell>
          <cell r="P12">
            <v>17054.400000000001</v>
          </cell>
        </row>
        <row r="13">
          <cell r="H13" t="str">
            <v>(CORPO + INSERTO) PLANCIA SEGMENTO B</v>
          </cell>
          <cell r="P13">
            <v>17402.448979591838</v>
          </cell>
        </row>
        <row r="14">
          <cell r="H14" t="str">
            <v>CORPO PLANCIA B</v>
          </cell>
          <cell r="P14">
            <v>17402.448979591838</v>
          </cell>
        </row>
        <row r="15">
          <cell r="H15" t="str">
            <v>INSERTO PLANCIA B</v>
          </cell>
          <cell r="P15">
            <v>17402.448979591838</v>
          </cell>
        </row>
        <row r="16">
          <cell r="H16" t="str">
            <v>CUPOLOTTO</v>
          </cell>
          <cell r="P16">
            <v>34108.800000000003</v>
          </cell>
        </row>
        <row r="17">
          <cell r="H17" t="str">
            <v>CORPO AIR BAG</v>
          </cell>
          <cell r="P17">
            <v>34108.800000000003</v>
          </cell>
        </row>
        <row r="18">
          <cell r="H18" t="str">
            <v>CORNICE AIR BAG</v>
          </cell>
          <cell r="P18">
            <v>34108.800000000003</v>
          </cell>
        </row>
        <row r="19">
          <cell r="H19" t="str">
            <v>CENTRALINA ELETTRONICA B</v>
          </cell>
          <cell r="P19">
            <v>17054.400000000001</v>
          </cell>
        </row>
        <row r="20">
          <cell r="H20" t="str">
            <v>CAVO ELETTRICO COMPLETO</v>
          </cell>
          <cell r="P20">
            <v>17054.400000000001</v>
          </cell>
        </row>
        <row r="24">
          <cell r="H24" t="str">
            <v>PLANCIA SEGMENTO A1</v>
          </cell>
          <cell r="O24">
            <v>7</v>
          </cell>
          <cell r="P24">
            <v>3654.5142857142855</v>
          </cell>
        </row>
        <row r="25">
          <cell r="H25" t="str">
            <v>PLANCIA SEGMENTO B</v>
          </cell>
          <cell r="O25">
            <v>7</v>
          </cell>
          <cell r="P25">
            <v>2436.3428571428572</v>
          </cell>
        </row>
        <row r="26">
          <cell r="H26" t="str">
            <v>(CORPO + INSERTO) PLANCIA SEGMENTO A1</v>
          </cell>
          <cell r="O26">
            <v>4</v>
          </cell>
          <cell r="P26">
            <v>6525.9183673469388</v>
          </cell>
        </row>
        <row r="27">
          <cell r="H27" t="str">
            <v>(CORPO + INSERTO) PLANCIA SEGMENTO B</v>
          </cell>
          <cell r="O27">
            <v>4</v>
          </cell>
          <cell r="P27">
            <v>4350.6122448979595</v>
          </cell>
        </row>
      </sheetData>
      <sheetData sheetId="2"/>
      <sheetData sheetId="3"/>
      <sheetData sheetId="4"/>
      <sheetData sheetId="5">
        <row r="22">
          <cell r="P22">
            <v>9.1608160000000005</v>
          </cell>
        </row>
      </sheetData>
      <sheetData sheetId="6">
        <row r="26">
          <cell r="P26">
            <v>13.410319999999999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$_DATI_DI_BASE"/>
      <sheetName val="$_FABBISOGNI"/>
      <sheetName val="$_MACCHINE"/>
      <sheetName val="$_MAG_BUFFER"/>
      <sheetName val="$_MOV_MATERIALI"/>
      <sheetName val="$_OP_MONTAGGIO (TIPO A2)"/>
      <sheetName val="$_OP_MONTAGGIO (TIPO D)"/>
      <sheetName val="Foglio1"/>
    </sheetNames>
    <sheetDataSet>
      <sheetData sheetId="0"/>
      <sheetData sheetId="1"/>
      <sheetData sheetId="2"/>
      <sheetData sheetId="3"/>
      <sheetData sheetId="4"/>
      <sheetData sheetId="5">
        <row r="22">
          <cell r="P22">
            <v>9.1608160000000005</v>
          </cell>
        </row>
      </sheetData>
      <sheetData sheetId="6">
        <row r="26">
          <cell r="P26">
            <v>17.102511999999997</v>
          </cell>
        </row>
      </sheetData>
      <sheetData sheetId="7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0:54.382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18 83 7548,'-9'0'-509,"4"0"653,1-3 1,4 1-59,0-4-81,0 4 0,3-2 0,1 2 2,1 0 1,-2-1 0,3 3-1,1 0 0,-2 0 0,1 0 0,0 0 12,2 0 0,1 0 0,0 0 1,1 0-7,2 0 1,-1 0-1,4 0 1,1 0-11,0 0 0,2 0 0,0 0 0,-1 0-25,1 0 1,-3 0-1,-1 0 1,2 0-26,2 0 1,-2 0 0,0 0 0,-2 1 9,-2 2 1,1-3-1,-1 3 1,2-2 23,-1-1 0,3 0 0,-3 0 1,0 0 33,3 0 1,1 0 0,-2 0 0,0 0 29,1 0 1,0 0 0,-1 0 0,0 0-44,1 0 0,-3 0 1,1 0-1,-1 1-20,-2 1 0,2-1 0,2 2 0,-1-2-4,-3-1 1,0 0 0,0 0 0,2 0 1,0 0 0,-1 3 1,3-1-1,0 0 5,-2-1 0,4-1 0,-2 0 1,2 0 9,1 0 0,0 0 0,-1 0 1,1 0 2,0 0 1,-4 0-1,0 0 1,0 0-4,-1 0 1,1 0-1,1 0 1,-1 0-2,-2 0 1,-2 0-1,3 0 1,0 0-2,1 0 0,0 0 1,1 0-1,0 0-7,2 0 1,5 0 0,0 0-1,3 0-7,-2 0 0,1 0 1,2 0-1,1 0 9,-1 0 1,1 0 0,0 0 0,-1 0 3,1 0 0,-2 0 1,0 0-1,-3 0 2,0 0 1,2 0 0,-2 0 0,1 0 3,1 0 0,-2 0 0,-1 0 1,1 0-4,1 0 1,3 0 0,1-1-1,0-1-1,-1 0 0,1-1 1,0 3-1,1 0 4,3 0 1,-3-3 0,-3 1 0,-3 0 13,0 1 1,1 1 0,-3 0 0,-2 0-14,-3 0 1,0 3 0,2-1-1,-2 0-5,1-1 1,3 2 0,-5-1 0,4 0-2,3-1 0,-2-1 0,4 0 0,0 0-3,0 0 0,0 0 0,4 0 0,-1 0 2,1 0 0,-4 0 0,1 0 1,0 0 23,-1 0 0,1 0 0,-3 0 0,-2 0 9,0 0 1,-1 0 0,-2 0-1,1 0-30,2 0 1,-7 0-1,6 0 1,-1 0-1,-1 0 1,3 0 0,1 0-1,0 0-4,0 0 1,-1 0 0,3 0 0,1 0-5,3 0 1,-3 0 0,0 0 0,0 0 2,-1 0 1,-1 0-1,2 0 1,-1 0 16,-3 0 1,-1 0-1,-2 0 1,-1 0 26,4 0 1,-4 0 0,2 0 0,-1 0-26,-1 0 0,2 0 1,0 0-1,3 0 6,-1 0 0,3 0 0,-1 0 0,3 0-27,3 0 0,-2 0 0,1 0 0,0 0-1,-1 0 1,-1-3-1,-1 1 1,1 0-2,-2 1 0,1 1 0,-5 0 1,0 0 4,3 0 1,-3-1 0,3-1 0,-2 0 5,2 0 0,-1 1 0,4 1 0,0-1 10,-2-2 0,3 3 0,-4-3 0,2 2-2,1 1 0,-1 0 1,0 0-1,0 0-10,-1 0 0,-1 0 0,2 0 0,-2 0-11,-1 0 0,1 0 0,2 0 0,-1 0 6,3 0 0,-3 0 0,2 0 0,0 0-13,2 0 0,1 0 0,3 0 1,-1 0-6,0 0 0,1 0 0,-1 0 0,1 0 31,1 0 1,-3-3-1,1 0 1,-2 1 2,0 1 1,0 1 0,1 0 0,0 0-6,-2 0 0,-6 0 1,2 0-1,-1 0-3,3 0 0,-2 0 0,1 0 1,1 0-6,-2 0 1,2 0 0,2 0 0,1 0 29,-1 0 1,-1 0 0,1 0-1,-3 0 0,2 0 1,-2 0-1,-1 0 1,0 0-21,-3 0 0,3 1 1,0 1-1,0 1-31,-1-1 0,3-1 0,-2-1 0,0 0-24,3 0 1,0 0 0,2 0-1,0 0 11,-1 0 0,2 0 1,0 0-1,2 0 33,-2 0 0,1 0 0,-2 0 0,1 0 0,2 0 1,-1 0 0,-2 0-1,-1 0 35,-2 0 1,1-3 0,-2 0 0,0 1 16,1 1 1,-5 1 0,3-1 0,0-1-10,2 0 1,-2-1-1,2 3 1,0 0-38,2 0 0,1 0 0,2 0 0,1 0-10,-1 0 1,1 0-1,0 0 1,2 0-6,1 0 1,-2 0 0,0 0 0,-2 0-12,1 0 0,0 0 1,-3 0-1,2 0 21,-4 0 0,0 0 1,1 0-1,1 0 26,-1 0 1,1 0 0,0 0-1,0 0-25,-1 0 1,1 0 0,2 0 0,0 0-10,0 0 1,2 0-1,-2 0 1,1 0-42,0 0 0,-3 0 0,0 0 1,-1-1 38,-2-2 0,-1 2 1,0-2-1,1 2 9,-2 1 0,1 0 0,-4 0 0,4 0 3,0 0 0,-4 0 0,3 0 1,-2 0 7,1 0 1,1-3 0,0 0 0,2 2 43,2 0 0,-2 1 1,3 0-1,-1 0-30,1 0 1,-1 0 0,1 0-1,0 0-21,0 0 0,-1-1 0,1 0 0,-1-2-5,0 1 0,0 1 0,-1 1 1,-1 0-5,0 0 1,2 0 0,-1 0 0,0 0-1,-2 0 1,2 0 0,1 0-1,1 0 6,-1 0 1,-2 0 0,-1 0-1,2 0 0,1 0 1,0 0 0,-2 0 0,-1 0 6,-2 0 1,4 0-1,-2 0 1,2 0 1,-1 0 1,1 0-1,-4 0 1,2 0-4,2 0 0,-3 0 1,2 0-1,0 0 34,3 0 1,0 0-1,1 0 1,2 0-32,-2 0 0,3 0 1,0 0-1,0 0-80,3 0 1,0 0 0,0 0 0,0 0 13,-1 0 1,-4-3 0,3 0-1,-2 1 45,-2 2 0,0 0 0,-2 0 0,0 0 25,0 0 1,-5 0 0,3 0-1,-2 0 21,-1 0 0,3 0 0,0 0 0,-1-1 11,1-2 0,-2 2 0,3-2 0,-1 2-10,4 1 0,-1 0 1,3 0-1,0 0 8,-1 0 0,3 0 1,-2 0-1,3 0 3,-2 0 0,0 0 1,-1 0-1,2 0 2,1 0 1,-1 0-1,1 0 1,0 0-67,1 0 1,0 0 0,-1 0 0,1 0 15,-3 0 1,0 3 0,-1 0 0,1-1-9,-1-1 1,1-1-1,-5 2 1,1 1-19,-1-1 1,0-1-1,1-1 1,0 1 37,0 2 1,-1-2 0,1 1 0,-1-1 0,1-1 0,-1 0 0,2 0 0,-3 1-7,-1 1 0,1-1 0,-2 2 0,-1-2-32,-1-1 1,-4 0 0,-1 0 0,-1 0 1,-3 0 1,0 0 0,-2 0 0,1 0 12,1 0 0,4 0 0,1 0 1,3 0 15,3 0 1,-2 0-1,3 0 1,2 0-1,2 0 0,-1 0 0,3 0 1,-4 0 2,-2 0 1,2 0-1,-3 0 1,0 0-4,1 0 1,-7 0-1,0 1 1,1 1 0,1 1 1,-3 0-1,2-3 1,-2 0-2,-2 0 1,4 3-1,-2-1 1,4 0 13,0-1 0,-2 2 1,1 0-1,1-1-15,4-1 0,2-1 1,0 1-1,-2 1 6,0 0 0,-1 1 0,4-3 0,-2 0 34,0 0 0,-1 3 1,-2-1-1,1 0 3,1-1 1,-1-1-1,-1 0 1,1 0-20,0 0 0,1 1 0,2 1 0,1 0-21,-1 0 0,1-1 0,-1-1 1,1 1-6,0 2 1,-2-2 0,0 2 0,-2-2-31,2-1 1,0 1 0,3 1 0,-3 1 23,-1-2 1,0 0-1,-3-1 1,-1 1-38,2 2 1,-3-2 0,2 2-1,1-1 29,-2 1 1,2-2-1,-2 1 1,1-2 14,2 0 0,-4 0 1,3 1-1,-1 1-19,0 1 1,0 0 0,-4-3-1,0 0 0,-2 0 1,0 0 0,-3-1 0,-1-1 16,-1-1 1,-2 0-1,1 3 2,0-2 1,0 1-1,1-2 1,-2 2 22,1 1 1,1 0-1,1 0 1,2 0-18,0 0 1,-1 0-1,3 0 1,-1 1-57,0 2 0,3-2 0,-3 1 1,0 1-15,1 0 0,-2 0 0,0-2 0,0 1 1,-2 1 1,-1 0-1,-1-3-103,-1 0 5,1 0-297,-4 0-356,-1 0 814,-4 0 0,0 3 0,0 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0:55.016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0 1 8373,'9'0'-90,"0"0"27,0 0 0,-1 0 1,1 0 281,0 0 0,0 0 0,0 0 0,-1 0-19,1 0 1,4 0-1,2 0 1,0 1-76,0 2 0,3-1 0,-2 2 1,5 1-49,2 0 1,-1 1-1,3 2 1,-3-1-202,0-1 1,-1 0 0,-1 2 0,0 0 44,0-2 1,-4 1 0,-3-3 0,0 0-352,-2 0 0,-1 2-283,-1-3 726,-5-1 1,-1-2-1,-6 0 1,-2 0 148,-3 0 1,-2 3-1,-2 1 1,-3 1 57,-1 2 0,-5 1 1,0 1-1,-1 0-7,1-1 0,-3 2 1,2 1-1,1 1-2,-1-1 0,2 1 1,2 1-1,0 0-201,1-1 0,3 1 1,2-2-433,3 1 0,4 0-1495,2-4 1917,2-3 0,1-1 0,0-4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0:56.19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344 0 8548,'6'3'-44,"0"0"0,-3 0 150,3-3 0,0 0-16,2 0 1,-2 0 0,0 0 135,1 0 1,1 0 0,1 0-53,-1 0 1,-2-1 0,0-1 76,1-1 1,-2 0 188,1 3-346,-4 0 0,-2 3 0,-7 0 1,-3 0-113,-2 1 1,-3-2 0,-1 4 0,-3-1-15,-1 0 0,-4 2 0,3-3 0,-2 0 37,-1 0 0,-5 3 0,0-1 0,0 1 156,2-2 0,2 3 0,0-2 0,4 2-8,2 1 1,0 0 0,8-1 0,0 1 1,1 0 1,5 0-1,2 0-166,2 0 1,5-1 0,2 1-1,3-1-26,2-2 0,0 2 1,4-2-1,1 1 57,0-2 0,5 3 1,-1-3-1,1 1-74,1 0 0,-4-3 1,4 3-1,-2 1-76,1 0 1,-1-1 0,-5 0-1,-1 1 26,-1 1 1,-2-2-1,-2-1 1,-1 0-562,-2-1 1,-2-1-417,-4 3 0,-1-4 1081,-2 1 0,-2-2 0,-4-1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0:59.398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76 27 7756,'-6'0'-34,"0"0"220,0 0 1,2-1 0,0-1 469,0 0 1,3-2-30,-2 1 1,3 1-470,3-4 0,-1 4 0,4-1 0,2 2 25,2 1 0,1 0 0,4 0 1,0 0-124,2 0 1,1 0-1,-1 0 1,1 0-201,0 0 1,-2 1 0,0 1 0,-1 2-11,0 1 0,-5 1 0,-2 2 1,-2 1 122,-1 0 0,-3 3 1,0 0-1,-4-1 42,-4 2 1,-3-3 0,-2 3 0,-1-2 81,-2 1 1,2 0 0,-2-3 0,1-1 1,-1-3 0,3 3 0,-1-3 0,3 1-111,0 0 0,1-3 0,1 3-166,1 1 0,5-3 0,1-2 23,5-1 1,3-1 0,2 0 0,1 0 44,4 0 0,2 0 0,-1 0 1,0 0 33,-1 0 0,0 0 1,1 1-1,-1 1 67,-3 1 0,-3 4 1,-1-1 97,-2 2 1,-3 4-1,-6-1 1,-4 1 176,-3 1 0,-4-3 0,-5 2 1,0 0-8,-2 0 1,-1 0 0,2-3 0,-3-1-111,1 1 1,-3 0 0,4-1 0,-1-1-100,1-1 0,1-4 0,5 0 311,4-1-780,5-1 0,10-1 1,7 0-1,5-3-3049,2-1 3468,-1-1 0,5-3 0,0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00.032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388 18 7789,'9'0'-557,"0"0"1,-1-1-1,-1-1 633,-1-1 1,0 0 421,2 3 0,-2-1 720,0-2-107,-4 2-739,2-3 0,-5 4 1,-2 1-155,-3 2 1,-2-2 0,-1 2-127,-3-2 1,1 2 0,-4 1 0,0 1-100,-2 2 1,-4 1-1,0 0 1,-3 2-15,-3 2 0,-2 3 1,-4 4-1,-1 3 33,1 0 0,3 2 0,2 2 0,3 1-25,5-1 0,6 0 0,5-3 0,5-2-17,3-3 1,6 0 0,4-1-1,6-3-91,4-2 0,1-3 1,3-2-1,2-2-108,0-1 1,1-2-1,-2-4 1,0-2 136,0-1 1,-1-4-1,-1-4 1,-1 1 80,-4-1 0,-2-3 1,-5 2-1,-3 0 89,-2-1 0,-2 3 0,-4-1 0,-2 0 171,-3 2 0,-6 4 0,-3 2 0,-5 1-71,-4 2 1,-1 1-1,-1 2 1,-2 2-156,-1 3 0,1-1 1,-1 2-1,2 2-102,4 2 1,-2 1 0,6-1 0,3 2-429,6 1 1,5-4 506,5 2 0,4 2 0,1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01.682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0 154 12240,'3'-6'0,"1"1"100,1 1 1,4-3-1,3 0 1,2-2-74,2-3 0,1-1 0,0 2 1,1 0-225,-1 0 1,0-2 0,-2 2 0,-3 3 68,-3 1 1,0 2-1,-1-2 169,-2 1 1,-2 5 74,-4 1 1,-4 4 0,-2 5-1,-2 1-57,-1 1 1,1 0-1,-1 3 1,-1 0-84,-2-1 0,5-1 1,-2 2-1,2-2-180,-1-1 0,3-1 74,2-1 0,3-4 0,3-2 0,3-2 51,2-1 1,4-7 0,2-3-1,1-2 39,-1 0 1,1-4 0,3 2 0,-1-1 44,1 1 0,-3 3 0,-1-1 0,1 2 59,-1 2 1,-1-1-52,-5 0 1,-3 5 49,-2 4 1,-5 4 0,-2 6-1,0 1 10,-3 0 0,-1 2 1,-1-2-1,0 1-6,0-2 1,1 3-1,-1-1 1,1-1-14,2-2 0,-1 0 1,3 0-1,0 0-72,0 0 1,2-4-222,5-2 0,2-2 0,5-3 0,1-3-59,1-4 1,3-3-1,0 1 1,2-1 103,0-2 0,1 2 0,-1-2 0,-2 1 130,0-1 1,-1 3 0,0-1 0,-2 4 78,-2 2 1,-1-1 0,0 4 223,-1 1 0,-3 2 11,-2 3 0,-2 2 1,-1 4-1,0 0 60,0 3 0,0-2 1,0 3-1,0-2-17,0 1 0,-1 0 0,-1-3 0,-1 0-177,1-1 1,1 1 0,2-1-273,2-2 1,2 1-1,4-4 1,0-2-609,0-3 1,2 0 0,1-4 763,-1-1 0,3-5 0,-1-1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08.980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52 142 7214,'-6'0'96,"0"0"1,3 0-36,-2 0 374,-1 0 50,-3 0-94,0-4-356,4 3 0,2-2 43,6 3 1,3 0 0,5 0 0,2 0-10,0 0 0,6 0 1,4 0-1,5 0-30,1-3 1,3 2 0,4-3-1,3 0-23,5-2 0,4 2 1,3-2-1,-1 0-49,1 2 1,2-3-1,1 2 1,0 0-8,-1-1 0,4 3 0,-5-2 0,3 1 24,3-1 1,5 3-1,3-1 1,0 2 129,4 1 0,4-1 1,7-1-1,5 0-83,1 1 0,2-3 0,-4 1 0,3 1-36,2 1 1,3 1 0,1 0 0,-1 0-12,-1 0 1,2 0 0,1 0 0,2 0 23,3 0 1,-3 0 0,2 0-1,2 0-21,-51 0 1,0 0 0,3 0-1,-1 0 1,2 0 0,-1 1 0,2 0-1,-2 0 24,-1 0 0,1 1 1,1-1-1,0 1 1,0-2-1,1 0 1,2 0-1,-1 1-13,2 0 1,0-1 0,0 1 0,-1-1 0,2 2 0,1-1-1,-2 0 1,1-1-4,-1 1 1,2-2-1,1 0 1,0-1 0,3 1-1,-1 0 1,0 0-1,0 1 1,-1-1 0,-1 1 1,0-2-1,1 1 1,-2-1-1,0 1 1,2 0-1,1 0 0,0 0 0,0 1 1,-3 0-1,0 0 1,0 0-1,0 0 1,1 0-1,-1 0-11,-1 0 1,1 0 0,2 0 0,0 0 0,-2 0 0,1 0-1,0 0 1,0 0-38,0 0 0,-2 0 0,-1 0 1,0 0-1,3 0 0,-1 0 1,1 0-1,2 1 27,0 0 1,-1 1-1,-2-2 1,-1 1-1,0 0 1,0 1-1,1-2 1,-2 1 21,0-1 1,1 0 0,3 0 0,-1 1 0,0-1 0,0 1 0,-1 0 0,-1 0 9,-2 1 1,1-2-1,-2 1 1,1-1-1,-1 0 1,-1 0-1,1 0 1,0 0 25,1 0 0,-1 0 0,-4 2 0,1-1 0,0 1 0,0-1 1,-2 0-1,0 0 3,1 0 1,-1-1 0,0 2-1,-1-1 1,3 0 0,-2 0 0,0 0-1,-1 1-119,46 2 1,-1-3-1,0 2 1,2-2-1,4-1 1,-7 0-1,0 0 1,-2 0 51,-4 0 0,2 0 1,-1 0-1,0-1 27,-4-2 1,-4 2-1,-2-3 1,-1 1 39,-2 1 0,-5-4 0,-2 3 1,-3 1-3,-4 1 1,-1 0 0,-4-1 0,0 0-37,-4 1 1,-2 0 0,2 0 0,1-1-41,-1-1 0,-1 0 0,-1 2 0,0-1 33,0-1 1,-2 0 0,0 1 0,-1-1 42,-1 1 1,-2 1 0,-2 0 0,-1-1 59,-1-1 0,-4 1 0,0 2 1,-5 0-46,-2 0 1,3-3-1,-4 0 1,1 1-20,-3 1 1,-1 1-1,1 0 1,0 0-20,3 0 0,-2 0 1,4 0-1,3 0-25,-1 0 0,2 0 1,1 0-1,-1 0-9,-2 0 1,3 1 0,2 1 0,-1 1 27,1-1 0,-3-1 0,4-1 1,-4 2 0,-1 1 0,0 0 0,1-2 0,-2 1-1,-1 1 0,-2 0 1,-5-3-1,1 1-7,-1 1 0,-1-1 1,-1 2-1,-2-2-17,0-1 1,-3 0 0,0 0 0,-2 0-63,-2 0 0,-5 0 255,2 0 525,-6 0-492,-2 0 1,-5 0-185,-2 0-312,2 0-102,-3 0-130,4 0-269,0 0 1,0 0-1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09.515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 89 8090,'4'-9'36,"0"0"191,-4 0 0,0 0-164,0 1 0,0-1 34,0 0 0,0 3 291,0 0 1,0 3 283,0-3-503,0 4-331,0-1 0,1 4 164,2 1 0,-1 0 1,4 4-1,1 1 19,1 1 1,4-2-1,0 0 1,3 2-25,4 2 0,-2-3 1,5 3-1,-2-1-31,1-1 1,2 2 0,-1-4 0,0 2-17,-1 1 0,-3-1 0,-4-1 0,-2-2-77,-1-1 145,-1 2 1,-5-4-1,-3 3 1,-4-1 240,-4-2 1,-6 2 0,-3 0 0,-2 0-96,-4 0 0,-1 3 1,-4-1-1,2 0-123,0 0 1,2 2 0,-2-2 0,3 2-82,3 1 1,1-3 0,3-1-1,2 2-408,2 1 0,2 1 448,2 0 0,-2 3 0,4 2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10.49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308 36 7903,'9'-5'-1537,"0"-3"2157,0 2 1,-3 1 439,0-1-418,-4 4-234,1-2-701,-6 4 330,2 0 0,-4 1 192,2 2 0,-2-1 0,-5 3 0,-2 0-47,-2 0 0,-4 1 0,-3 3 0,-3-1-4,-5 1 1,2 3 0,-3 0 0,0-1-85,1 2 0,2-3 0,6 2 0,2-2-141,5-2 1,8-2 0,3 0-1,4 1 7,4 1 0,5-2 0,9 0 1,1-1 73,4 0 1,2 3 0,3-3-1,0 1-16,0 0 1,-5-3 0,-1 3 0,-2 0-174,-1-2 1,-5 3 0,-5-3-97,-3 1 0,-3-2 1,-5 2 336,-2-1 1,-2-1 0,-3-3-159,-1 0 1,-1 0 0,-1 1 0,-1 1-187,2 1 1,0 0-1,1-3 1,0 0 257,0 0 0,1 0 0,-1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13.081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238 18 7938,'9'0'-781,"-3"-3"1,-1 0 1417,2 1 1,-3 0 605,-1-1-560,-2 2-513,-1-3 1,-1 4 0,-1 1-53,-1 2 0,-3-1 1,2 3-1,0 0-6,-3 0 1,-1 1-1,-1 3 1,0 0-47,0-1 1,-3 2 0,-2 1 0,-1 2 26,1 0 1,-4 1-1,-3 2 1,2-2-18,0 2 0,1 1 1,2-1-1,1 0-34,3-1 0,4-4 0,2 0-68,3-1 0,7-2 1,4-2-1,6-3-88,3-2 1,1-1 0,2 0-1,2-1-41,0-2 0,1 1 0,0-3 0,-2 0 31,-3 0 1,-4 2 0,-2-2-1,-2 2-325,-2 1 565,-3 1 1,-2 1 0,-6 1 0,-3 1 95,-1 4 1,-5 2-1,0 1 1,0 1-31,0 2 0,1-3 0,-3 4 0,1-1-117,3 0 1,-3 2 0,1-1-1,1 0-151,2 0 1,0 1 0,0-2 0,1 0-283,2 1 1,-1-7-1,4 3-741,1-1 0,2-4 1109,3-1 0,2-2 0,4-1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13.813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190 18 7870,'-9'0'-42,"0"0"1,0-3 316,1 0 0,2 0 215,0 3 1,4-1-170,-1-1 1,3 1-1,3-2-92,3 2 0,2 1 0,0 0 0,1 0-123,0 0 0,0 0 1,0 1-1,0 1-68,-1 1 1,1 0 0,0-1-1,-1 2 12,-2 1 1,1-2-1,-4 3 1,1 1-29,0 1 1,-1 1 0,-3-1-1,0 1-20,0 0 0,-3 0 1,-2 0-1,-1-1-40,-4 1 1,-1 0 0,2-1 0,0-1-68,1-1 0,-5-1 0,-1 1 21,0 0 0,5-4-36,3 1 1,4-1 7,-1 1 0,6-2 0,3 2 0,1-2 71,2-1 0,0 3 0,0 1 1,0 0 61,0 0 1,-1 3 0,1-2 0,0 3 133,0 1 1,-3 0 0,-1 0 0,-2 0 89,-1-1 0,-1 2 0,-2 1 0,-1 1-11,-4-1 1,-5-1-1,-2 1 1,-1 1-209,-1-1 1,-2 1-1,-1 0 1,0-1-156,-3-1 1,0-1 0,-3-1-1,4 0-209,1-2 0,5 1 0,2-4-381,3-1 0,5-1 0,4-1 122,5 0 0,6 0 0,5-1 0,3-1 597,1-1 0,5-4 0,-3 2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14.079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133 0 7840,'5'0'1794,"-1"0"-998,-4 0-395,0 0 0,-1 3-223,-2 0 1,1 3 0,-4-2 0,-1 1-152,-1 2 0,0 1 0,-2 0 0,-1 1-55,-1 0 0,0-3 0,3 0 1,-2 1-560,-1 1 1,0-1 0,4 0-1887,3-1 2473,1-4 0,8 2 0,1-4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14.74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232 27 6366,'6'-3'107,"0"0"1,-3 0 349,3 3 1,-3-2-27,3-1 1,-1 0-101,4 3 0,0-3-124,0 0 0,0 0 1,0 3 28,-1 0 1,1 0 397,0 0-489,-4 0 0,-2 0 0,-6 0-195,-3 0 0,-3 0 1,-3 1-1,-2 1 2,-3 1 0,-1 1 0,0-2 0,-2 1 12,0 2 0,-2-2 1,2 2-1,0 0 22,0 0 1,5 1 0,1 2 0,2-1 9,4-2 1,3 1-1,5 3 1,2-1-60,4-2 0,4 2 1,9-2-1,0 1-17,2 2 0,0 0 0,-1-1 0,1 0 0,-2 1 1,-1-5 0,-3 6 0,-2 0 240,-3 0 1,1-2 0,-6 3 0,0 0 162,-2 1 1,-3-2-1,-3 3 1,-3-2-170,-2 1 1,-2 1-1,-2-2 1,-2 0-57,-3 0 0,-1-1 0,0-2 0,-2-1-168,0-1 0,-5-2 1,2 2-1,0-2-89,-1 0 0,6-3 1,-1 2-297,4-2 1,7-1 0,1 0-264,5 0 0,8 0 0,9 0 0,4-1 717,2-2 0,7-2 0,-1-4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15.563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53 199 7903,'-9'-4'269,"0"3"729,0-2 20,0 2-393,1 1-401,3 0 0,2 0 1,6 0-1,3-1-33,1-2 0,3 1 1,1-3-1,2 0-178,0 0 0,2-1 1,3-5-1,-1-1-104,1 1 0,3-3 0,0 1 0,1-2 12,-1 0 1,0 4-1,-3-3 1,-2 1-17,-1 2 0,-2 3 1,-6 1 47,-1 1 1,-3 5 163,-6 1 0,-3 4 1,-4 6-1,-3 0-70,-1 2 1,2 4 0,-1-3 0,-1 2 9,0 0 1,4-1 0,-2 1-1,2-1-16,1-1 0,1-2 0,2-2 0,4 0-100,1 0 1,2-4 0,1-2-1,5-3-155,4-3 1,3-2 0,3-5-1,2-1 66,2 0 1,-3-5 0,4 1 0,-2 0 43,1 0 1,0-1 0,-5 4 0,-1 2 66,-3 0 0,-2 1 1,1 1 63,1 2 52,-4 2 0,-5 5 0,-6 2 0,-4 4 111,-4 4 0,1 0 1,-2 2-1,0 1-144,0 0 0,-3-3 0,4 1 0,-1 0-66,-1 0 0,6 0 1,-1-4-1,3 0-308,0-2 1,4 1 168,1-4 0,5-1 0,6-6 0,5-5-83,4-4 1,-1-1 0,5-1-1,0-1-40,2 0 0,-1-2 1,-1 1-1,-4 3 154,-1 2 1,-2 2-1,-3 2 54,-2 2 1,-6 4-1,-3 4 302,-2 4 1,-5 5-1,-3 2 1,-3 1 147,-1 1 0,-1 1 1,3 0-1,0-2-32,0 2 1,1 0 0,0-1 0,2-1-94,3-1 1,2 0 0,2-3-262,2 2 0,2-1 1,4-4-1,0-2-363,3-1 0,-1-1 1,3-3-1,-2-1 373,-1-2 0,-1-2 0,-1-4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2.080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45 5 8004,'9'0'4,"-3"0"-197,0 0-117,0-3 342,-2 2 1,0 1 41,-4 5 1,0 3-1,-1 1 1,-1-1 26,-1 1 1,1 0-1,2 0 1,-1 2 21,-2 1 1,2 3-1,-3-1 1,1 3-16,0 1 1,0 2 0,2 5 0,-1 2-4,-1 5 0,-1 3 0,2 3 0,-1 4-18,1 6 0,-2 4 1,0 10-1,0 4-68,1 4 0,-1 2 1,2 8-1,-1 1-114,1 6 1,1-1-1,0 4 1,-1 0-18,-1-1 1,0 4-1,3 2 1,0-2 58,0-4 0,0-4 0,0 0 0,0-1 74,0 0 0,0 1 0,0-1 0,0-3 8,0-2 1,0 3 0,0 3-1,0 2-45,0 0 1,3-2-1,0-4 1,-1-1 100,-1 0 0,-1 2 1,0-4-1,1-5-50,2-1 1,-2-5-1,2-2 1,-2-1-8,-1-4-1,0-4 1,0-4 0,0 0 57,0 0 0,0 3 1,0-2-1,0-3-81,0-2 1,0 2 0,0-1 0,0 2-27,0-2 0,0-1 1,0-3-1,1 2-13,2-2 0,-2 2 0,4 0 0,0 0-105,0 1 0,0 1 0,2-2 0,-2-1 103,-1-1 1,2-4 0,-3-7 0,-1-1 69,-1-2 1,-1 1 0,0 0 0,0-1 68,0-1 0,0 2 0,0-3 0,0 2-24,0-2 1,0 0-1,0-3 1,0 0-42,0 1 0,0 0 0,0 1 0,0-4-110,0 2 0,0-2 1,0 3-1,0-1-16,0 0 1,0-3 0,0-1 0,0-1 47,0-1 1,-1-3 0,-1 1 0,-1 0 47,1-1 0,1-4 0,0 0 0,-1-2-1,-1 1 1,0 0-1,3-4 1,0 1-2,0-1 0,0 4 0,0 0 0,-1-1 0,-2-2 0,2-1 0,-2 2 1,2 1-30,1 1 1,0-1 0,0-3 0,0 1 1,0 0 1,0 0 0,0 0 18,0-1 0,0 1 104,0-1 0,-1-3 35,-2-2-76,2-2-6,-3-1-108,4 0-33,0 0 126,-4 0 0,3 1-135,-2 2-46,2-2 37,1 3 131,0-4 0,-1 0 124,-1 0-55,1 0-50,-3 0-126,4 0-415,0 0 0,-4 4 0,-1 1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2.696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36 60 7199,'-6'-9'0,"1"0"-40,1 0 0,-2 4 1,2 0 1447,0 1-991,2 1-326,-2-1 0,4 2 93,0-4 1,1 4 0,2 0 47,2 4 0,0 3 0,0 5 0,0 2-117,0 2 0,0 4 0,2 2 0,-1 4-34,1 1 1,-1 1 0,1-2 0,-1 0-116,1 0 0,1 2 1,0-1-1,-1-1-43,-2-4 0,1-5 0,3-3 1,0-3 102,0-3 0,1-2 0,0-5 1,2-2 62,-1-3 0,2-6 1,-2-3-1,0-1-16,-1-2 1,-1 0-1,1 0 1,0-2-32,2 0 0,-1 2 1,-4 4-1,-1 0-316,1 1 1,-1 2-425,0-1 0,-2 7 379,-4 5 0,0 4 0,0 6 0,0 1-117,0 1 0,1-1 0,1-2 436,1 0 0,4 0 0,-2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3.69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98 226 7927,'-6'-6'0,"0"0"-518,-1-1 0,2 3 0,-1 1 479,0 2 0,1 1 1,-1 0 256,-1 0 1,2 0 47,-1 0 1,3 0 0,-2 1 107,1 2 1,0-2 311,1 2-413,3-2 0,-7 0 111,4 2-263,0-2-59,3 7 1,1-7 0,2 1 7,3-4 0,4-3 0,3-4 0,1-1-38,1-1 0,2-3 1,2-4-1,0 1-49,2-1 0,0 0 1,-4 1-1,0-1 17,-2 0 0,0 5 0,-4 1 0,-2 2-191,-2 1 334,-5 4 0,2 5 0,-5 7 0,-1 4 10,-1 4 0,-3 1 0,3 3 0,0 1-100,-1 0 0,3 1 0,-2-3 1,2 2-104,1 1 0,0-4 1,1-3-1,1 0-343,1-1 1,4-2 0,-1 1-565,2-2 0,-3-5 957,1-3 0,-4-1 0,2-1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4.94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70 110 7227,'0'-5'1167,"0"1"0,-1 4-924,-2 0 1,2 0 0,-4-1 8,1-2 0,-2 2 1,2-4-91,-1 1 0,2-2 0,-2 2 1,1-1-43,2-2 0,-2 2 0,1-1 1,0 0-84,0 2 0,2-4 1,-3 3 12,0 0 0,3-3-107,-2 2 1,3 2-1,3 1 67,3 2 1,5 1-1,4 0 1,2 0-91,0 0 0,2 1 0,2 1 1,2 1 12,3-1 0,0-1 0,1-1 0,-2 0 25,-1 0 0,-3-1 0,-4-1 0,-3-1 50,-2 1 152,-6-3 1,-7 5 0,-8 0-1,-4 5 65,-4 3 1,-1 6-1,1 3 1,-1 3-101,0 3 0,1 0 0,0 4 0,2-1-74,4 1 0,1 2 1,1 0-1,0 1-202,0 0 1,4-2 0,2 0 0,3-3 16,0-1 1,0-7 0,0-1 0,0-2-811,0-3 320,0-5 0,0-3 0,0-6-97,0-3 0,0-2 1,-1-1 36,-2 0 1,2 1 683,-2-1 0,-2 0 0,0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5.196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26 27 7946,'0'-6'593,"-1"2"-309,-2 0 0,1 1 0,-2 2 0,-1-1 1304,0-1-1268,3 0 0,-1 3 0,6 0-123,3 0 0,1 0 0,3 0 0,2 0-90,3 0 1,2 3 0,3 0 0,2-1-337,0-1 0,-1 0 1,1 1-1,-1 1-512,-5-1 1,1 1 0,-6 1 0,-2 0 740,-2 0 0,-5 3 0,1-2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6.04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88 168 7908,'5'-6'-349,"-2"0"1,1 3 516,-1-3 1,0 3-1,-3-3 113,0 0 1,0 1 82,0-1 1,0 3 118,0-3 0,0 3-14,0-3 1,0 5-383,0 1 0,0 4 1,0 5-1,0 1-106,0 1 1,0 0-1,1 4 1,0 1-61,2 0 0,3 2 0,-2 0 1,0 2-4,0 1 0,2 0 1,-2-1-1,0 0 70,0 0 1,-1-2 0,-3-4 0,0-1 60,0 0 1,-4-4 0,-3-1 9,-4-4 1,0-3 0,-2-1-1,-1 0 27,0 0 0,2-4 1,-1-1-1,-1-3 81,0-1 1,6 0-1,1 0 1,2 0-157,3 1 0,2-1 1,3-1-1,3-1-44,5-1 0,3 0 0,5 0 0,0-3-115,2-1 1,3-2 0,0 0-1,1 1-84,2-1 1,-4-1 0,0 0-1,-3-3 85,-3 0 1,-3 2 0,-6 0 0,-3 1 209,-2 1 1,-4 5 0,-4 1 0,-7 3 110,-4 3 0,-5 2 0,-2 4 0,-1 0-50,1 0 0,0 5 0,-1 3 0,1 4-76,2 1 1,1 2-1,6 2 1,2-2-403,2 0 1,5-3 0,2 2 0,2-1-2185,1 1 2538,4-3 0,5 2 0,5-5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6.39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132 27 7888,'-4'-9'138,"3"3"0,-3 1 1093,1 1 378,2 1-1341,-7 3 0,6 4 0,-3 2-122,1 2 0,0 3 0,1 1 0,-2 0-157,0 1 0,-3-2 1,3 2-1,-3 0-230,-1-2 0,3 1 0,0 0 0,-1-1-428,-1-1 1,3-2 0,0-1-1404,1-2 2072,-3-3 0,6 2 0,-3-4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7.280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144 44 7350,'0'-5'-807,"0"-1"1568,0 0 0,0 0 118,0 0-499,0 4 0,1-5-183,2 4 1,-1 0 0,4 3-97,1 0 1,-2 0 0,1 0 0,0 0-71,2 0 1,-2 0 0,0 0 0,1 0-41,1 0 0,-2 1 0,-1 1 144,2 1 0,-2 0 0,0-2 661,-1 2-726,-1-2 1,-7 3 0,-2-4 0,-2 0-70,0 0 1,-1 0 0,-1 0 0,-1 0-88,-1 0 1,0 0 0,1 1-1,-1 2 15,1 3 0,2 1 1,-1-1-1,0 0 17,1 1 0,-2 2 0,6 2 1,0 1 36,-1-2 1,4 1-1,-1 0 1,2 1 37,1-2 0,4 0 1,2-1-1,2 0 99,4 0 0,-1-3 0,3-1 0,-1 2 43,1 1 0,-3 1 0,2-1 0,-2-1 30,1-1 0,-3-1 0,-3 4 0,0 0-14,-1 0 0,-1 3 1,-4-1-1,-1 1-14,-2 1 1,-5-2-1,-5 2 1,-1 1-54,-1 0 0,-5-3 1,-2 0-1,1-1-139,-1-1 1,2-4 0,2-2 0,1-2-1685,3-1 430,1 0 0,10-1 0,6-1 1281,8-1 0,4-8 0,3 1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28.096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41 172 7884,'-6'0'0,"0"0"613,1 0 243,-4 0 1,3 3-235,0 0-340,4 0 0,2-3 0,5-1-189,0-2 1,3-2 0,-2-4-1,2 1-113,4-1 1,-2 0-1,3-1 1,-2-1-56,1 0 0,3-5 0,-2 2 0,-1 0 3,1 3 1,-1-2 0,-3 1-28,-1 1 128,1 2 1,-4 5-1,-3 4 35,-4 5 1,-2 5-1,-3 3 1,2 0-65,-2 0 0,2 2 0,-1-1 0,0 1 46,1-1 1,-2-2-1,3 2 1,0-1-38,0-3 1,2 0-277,2-1 1,1-5 90,1-4 1,3-4 0,4-6 0,1-2 5,2-2 1,-2-3 0,1 0-1,-1 2 110,-1 0 0,-1 1 0,-1 0 0,-2 2 76,2 2 0,-2 2 0,0 1 79,-1 1 1,-1 5 0,-3 1 91,0 5 0,-1 6 0,-1 2 1,-2 1-105,-1 1 0,0 1 0,-2 0 0,3-2-54,0 2 1,-2-2-1,2-1 1,0 1 31,0 0 0,1-3 0,3 0-132,0-1 0,1-2 1,1-3-113,1-5 1,4-5-1,0-6 1,2-1-26,3-2 0,1-2 0,-2-3 0,1-2 69,-2 1 1,3 2 0,-1 0 0,-2 1 21,-4 3 0,1 1 227,-4 4 1,0 5 0,-3 4-1,-1 5 158,-2 3 1,1 4 0,-4 1 0,1 0 13,0 3 0,-2 1 0,3 0 0,0 1-193,0 0 1,-2-4 0,2 1 0,0 0-195,0-2 0,1 3 1,3-4-1,0-1-538,0-2 1,1-4 642,2-2 0,2-10 0,4-2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1.730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71 0 7298,'0'9'-585,"0"0"2690,0-4-2024,0-1-104,0-4 1,0-1 494,0-2 267,0-2-687,0 0 1,0 5 0,-1 6 0,-1 3 4,-1 2 1,-1 3 0,2 8 0,-2 3-36,-1 7 0,2 3 0,-2 6 1,0 5 25,0 4 1,2 6 0,-1 4 0,-1 6 38,0 10 1,3 1-1,-1 4 1,1 3-28,-1 3 0,2 1 1,-2 5-1,2-1-58,1-1 0,0-3 0,0 5 0,0 1-37,0 4 0,0-6 0,0 0 1,1-6-14,2-2 0,2 1 0,4 3 0,0 0 48,-1-2 0,0-3 0,-1 2 1,-1 0 20,1 3 1,0-4-1,-1 2 1,-3 1-18,1-1 0,-3 2 0,2 3 0,-2 1-52,-1-1 1,-1-2-1,-1 1 1,-2 1-16,0 4 1,2-9 0,-1 3 0,1-4 36,-1-2 0,2-2 0,-2 1 0,2-4 63,1-3 1,0-3 0,1 0-1,1 0-12,1 0 0,1-6 0,-2-3 0,2-1-10,0-1 1,1-2 0,1 0 0,-2-1-53,0-5 1,-3 0-1,2-5 1,-2 1-5,-1 1 0,3-9 0,0-2 1,-1-4 2,-1-3 0,2-3 1,0 0-1,0 0 40,0-5 1,-1-2-1,3 0 1,-1 0 3,-2 1 1,2-5-1,0 0 1,0-3 6,0-3 0,2 3 0,-3-3 0,0-3-25,1 1 1,-2-1 0,2 0-383,0 0 156,3-4 238,-6-1 407,3-4 1,-5 0-78,-2 0 1,1 2-245,-4 1 1,3 2-157,-2-2-225,3 0 9,-2-3 399,4 0-325,0 0 0,-3-1-976,0-2-625,0 2 528,3-2 1285,0 3 0,-1 0 0,-1-1 0,-1-2 0,-1 2-39,1-1 0,2 0 0,-3 0-86,0-1 1,-1-3 0,-2 2 223,1-1 0,-2-1-74,2-3 0,-1 0 0,0 2 0,2 1-72,1 0 1,-2 0 78,0-3 1,-1 0 45,1 1 1,1 0-1,3 1 45,-1 2 0,0 2 0,3-3 66,0-1 1,0 2 0,-1 0 55,-2-2 0,2-1 1,-2-1 15,2 0 1,-2 1 0,0 0-7,2-1 1,-3 0 0,1 0 569,1 0-669,1 4 1,1 6-1,0 8 1,0 6-138,0 4 1,1 3 0,2 5-1,3 1-3,1 1 1,2 3-1,0-3 1,0-1 72,0-1 0,2-1 1,2-1-1,1-3 70,2-4 1,-3-3-1,1-6 1,0-2-23,-1-2 0,-2-2 0,2-4 0,-2-3-69,-2-5 1,1 0-1,-4-5 1,2-2-64,1 0 1,0-2 0,-1 1-1,-2 0-33,0-1 1,-1 1 0,1 1 0,-2 1-143,0 3 1,-3 2 0,2 3 0,-3-1-589,-3 2 1,1-1 757,-4 4 0,0-4 0,-3 2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2.84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49 245 7211,'0'-5'779,"-1"1"-857,-2 4 121,2 0 205,-7 0 1,6 0-35,-4 0 1,3 0-29,-3 0 1,4 1 14,0 2 1,-2-1-86,1 4 0,-1-4-147,1 1 0,3-2 14,0-1 0,2-1 0,6-2 1,2-4 7,3-4 0,2 1 0,3-6 0,2-2 10,1-1 0,2-5 1,-2 3-1,-2-1 45,0 1 1,-2-2 0,-3 5 0,-2 5 451,-2 2-242,-5 2 1,-2 4 0,-6 3-166,-3 4 0,2 3 1,0 4-1,1 1-29,0 1 0,-1 3 0,2 5 0,-1 1-47,1 4 0,1-2 1,1 1-1,1-1-182,2 1 1,2 0 0,4 0-1,0-2-87,0-3 1,-1-1-1,1-2 1,0-4-220,0-1 1,-3-5 0,0-2-1212,1-2 1684,-4-1 0,1-4 0,-4-1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3.879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27 349 7719,'5'0'793,"-1"-1"-466,-4-2 0,0 1-141,0-4 1,-1 4-1,-1-2 94,-1 0 0,-1 3 1,2-3-43,-1 0 1,0-1 0,2-4-167,-2-3 1,2 2 0,-2-3 0,2 0-77,1-5 0,0-1 0,0-4 1,0-2-18,0 0 0,-1-4 0,-1 3 1,-1 3 166,1 4 1,1 2-1,1 2-156,0 4 1,1 6-8,2 5 0,2 4 1,5 5-1,2 2 8,2 1 1,4 4-1,3-2 1,2 2-85,3-1 0,0-3 1,1-6-1,-1-1-12,0-1 0,0 2 1,-3-3-1,-3-1 44,-4-1 0,-6-1 190,-5 0 0,-4 0 1,-2 0 253,-6 0 0,-2 5 0,-4 3 0,0 3-261,-1 3 1,0-2-1,-1 4 1,0 1-66,2 3 0,-3 4 0,3 0 0,1 1-149,-1 2 0,0 2 0,2 1 0,1-2-149,2-1 1,0 0 0,4-1 0,0-1-150,0-5 1,1 0 0,3-8-1503,0-1 1100,4-6 1,-3-2-1,2-6 792,-2-2 0,-5-7 0,-1-2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4.128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9 53 9225,'-5'0'2052,"2"0"-1841,6 0 1,-1-1-1,5-1 1,2-2-65,5 0 0,3-1 0,1-2 0,2 1-340,1-1 1,3 2 0,-1 0 0,-1 1-354,-1 2 1,-4 1 0,-2 1 0,-3 0 545,-2 0 0,-2 0 0,1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7.147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150 265 7831,'0'-9'-1486,"0"4"1882,0-1 0,0 0 131,0-3 0,0 0-193,0 0 1,0 1 92,0-1 1,0 3 556,0 0-29,0 0-731,0 1 0,0 2 1,0 6-1,1 3-67,2 2 0,-1 5 1,5 2-1,2 5-155,1 3 1,3 3-1,-2 0 1,2 1-147,0-1 0,-2 1 0,1-2 0,-2 0-47,-2-2 0,-3-3 0,-1 0 1,-1-2 143,0-3 0,-4-4 0,-5-4 0,-3-2 76,-2-1 0,-2-2 0,-3-5 0,2-4 104,-2-3 1,-4 0-1,0-3 1,0 1 241,1 0 1,3 0 0,1 1 0,3-1-79,3 1 0,0 3 0,1 1 0,2 1-329,3-1 0,6-1 0,4-2 0,4 0-71,3-2 1,10-4 0,3 1 0,4-2-10,2-4 0,4 2 1,1-5-1,0 0-141,-2-2 0,-2 0 0,-1-1 1,-6 2-36,-5 1 1,-10 3 0,-9 3 0,-4 1 164,-5 3 1,-8-2-1,-13 4 1,-5 2 124,-5 4 1,-6 2 0,-4 5 0,0 2 168,2 2 0,5 7 1,3 3-1,5 2-227,5 0 0,9 1 0,7 0 1,4-2-539,4-1 1,10-1 0,6-4 593,5 2 0,5 4 0,3-2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7.645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124 9 7842,'6'-3'1231,"0"0"-514,-4 0 1,2 4-391,-4 2 0,0-1 1,-1 4-1,-1 1-53,-1 1 0,-4 2 0,1 0 1,-1 3-169,-2 1 0,-3-2 0,0 1 0,1 1-389,-2 0 0,3-4 0,-2 2 0,2-2-1056,2-1 1339,-1-4 0,4-5 0,1-5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8.246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158 54 7780,'9'-3'40,"0"0"0,0 0 0,-1 2 238,1-2 1,0 2-1,0-2-86,0 2 0,-1 0 0,-2-1 1,0-1 98,1 1 1,-2 1 0,1 1-11,1 0 0,-3-1 0,0-1-21,0 0 0,-4-2 0,2 2-118,-4-1 1,0 0 0,-6 2 0,-3-1-20,-2-1 0,1 0 0,-3 3 1,-3 0 16,-1 0 0,-5 3 0,3 1 0,1 1-114,-2 2 1,4 0 0,-3 3 0,3 1 1,4 1 0,1 0 0,5-1 0,2 2-187,3 1 1,7-3 0,5 3 0,6-1-116,4-2 0,4-1 0,3-1 1,1 1 121,-1-1 1,-3 2 0,-3-5 0,-1 1 329,-1 2 1,-5 3 0,-1 0 0,-3 0 102,-3 0 0,-2 1 1,-5 3-1,-2-2 15,-3 2 1,-5-2-1,-2 0 1,1 1-83,-1-1 0,0-1 1,2-5-1,-1 1-109,-2 0 1,-1-1-1,-2-1 1,-1-2-125,0-1 1,-1-1-1,0-2 1,3 0-501,3 2 1,1 0-1109,3-3 1627,8 0 0,6-4 0,9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16T10:11:39.229"/>
    </inkml:context>
    <inkml:brush xml:id="br0">
      <inkml:brushProperty name="width" value="0.06" units="cm"/>
      <inkml:brushProperty name="height" value="0.06" units="cm"/>
    </inkml:brush>
  </inkml:definitions>
  <inkml:trace contextRef="#ctx0" brushRef="#br0">49 208 7780,'-9'0'-1087,"0"0"2356,0 0 1226,1 0-1861,-1 0 0,5 0-299,4 0 1,4-1 0,5-2-171,-1-3 1,1 1-1,0-1 0,0 0-77,0 1 1,2-3-1,1 2 1,0-4-60,1-2 0,0-3 0,5 3 0,-1-1-89,-3 0 0,3-2 0,-2 3 0,1-1-103,2 0 1,-4 1 0,-3 4 9,-1-1 1,-6 5 179,-4 4 1,-2 5 0,-6 6-1,-1 1 48,-1 2 1,-3 1 0,1 2 0,2 1 85,0 0 1,-1-1-1,1 1 1,2-1-64,0-3 0,5 2 1,-1-3-1,1-1-135,0 1 0,1-5 0,5-5 1,4-2-99,3-1 1,3-2 0,4-4 0,-1-6 9,3-3 1,1-3 0,-2 0 0,2 1-132,0-1 0,-3 1 0,-4 3 0,-1 2 102,-1 2 1,-2 1 230,-3 1 1,-5 4 86,-1 4 0,-4 4 0,-5 4 1,0 2-25,1 2 0,-4 1 0,0 2 1,1 0-112,2 1 0,0-3 0,0 2 0,0 0-31,0-1 1,3-2 0,2-3 0,0 0-150,2 0 1,3-4-1,4-2-135,3-2 0,7-9 1,0-4-1,1-4-37,2-1 1,0-1-1,0 0 1,2 1 185,0-1 1,1-2 0,-3 3 0,-2 2 132,-1 1 0,-2 6 1,-4-2 168,-1 3 1,-3 6-1,-2 1 269,-2 5 1,-5 6 0,-2 1 0,-1 1 33,-2 0 0,0 3 1,0-2-1,1 3-98,2 1 1,0-2-1,3 0 1,1-2-335,1-2 1,1 3 0,2-3-395,4-1 0,0-6 0,9-2 1,1-2-179,0-1 1,2-5-1,0-3 1,-1-5-2019,1-1 2554,-4-2 0,-2 2 0,-3-4 0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PALANDRI DANIELE" id="{12A81571-F7CC-4E05-AAF6-FD5377518505}" userId="S::S307084@studenti.polito.it::ccb48d08-f05d-45de-9b8c-435b066e597f" providerId="AD"/>
  <person displayName="PALMISANO ALESSIO" id="{7B0FA336-A306-4AFF-8516-494C0BCFA276}" userId="S::S310880@studenti.polito.it::34798df5-3c27-42a6-b0d3-b61eabb78f8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5" dT="2025-04-11T09:48:40.84" personId="{7B0FA336-A306-4AFF-8516-494C0BCFA276}" id="{A4852BB6-FC76-4F46-939A-96820B7C0891}">
    <text>Sia a carico che a vuoto</text>
  </threadedComment>
  <threadedComment ref="L32" dT="2025-04-11T09:48:40.84" personId="{7B0FA336-A306-4AFF-8516-494C0BCFA276}" id="{2631D2E1-C4D8-4141-9051-664D48D18BD9}">
    <text>Sia a carico che a vuoto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36" dT="2025-04-11T08:11:34.21" personId="{7B0FA336-A306-4AFF-8516-494C0BCFA276}" id="{A2A69826-8E22-4918-9709-363883DF3971}">
    <text>Calcolate a mano</text>
  </threadedComment>
  <threadedComment ref="H36" dT="2025-04-09T19:35:38.44" personId="{12A81571-F7CC-4E05-AAF6-FD5377518505}" id="{87B2E08A-0104-44DF-AAE4-FE53A070023B}">
    <text xml:space="preserve">Siamo molto sovrappeso
</text>
  </threadedComment>
  <threadedComment ref="H36" dT="2025-04-11T08:28:51.86" personId="{7B0FA336-A306-4AFF-8516-494C0BCFA276}" id="{41695674-DA94-489A-A144-EC52B3EE1A08}" parentId="{87B2E08A-0104-44DF-AAE4-FE53A070023B}">
    <text>Se fosse trasportato tutto in un camion (66 UDC a camion), avremmo un peso max di  63360 kg (TROPPO ALTO), quindi dimezzo il numero di UDC per cambion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2" dT="2025-04-11T16:30:24.65" personId="{7B0FA336-A306-4AFF-8516-494C0BCFA276}" id="{77061D42-407B-4630-8E41-B887B45C0B48}">
    <text>GIA’ CAMBIATO</text>
  </threadedComment>
  <threadedComment ref="S18" dT="2025-04-11T16:28:57.92" personId="{7B0FA336-A306-4AFF-8516-494C0BCFA276}" id="{E1745FC7-41E4-432F-B5F4-24FBA6A9B735}">
    <text>DA DIVIDERE ANCHE PER M17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C345B-BBFD-CB43-8AE9-897A21F6CF3B}">
  <dimension ref="A1:BL75"/>
  <sheetViews>
    <sheetView topLeftCell="K1" zoomScale="87" zoomScaleNormal="56" workbookViewId="0">
      <selection activeCell="K53" sqref="K53"/>
    </sheetView>
  </sheetViews>
  <sheetFormatPr baseColWidth="10" defaultColWidth="11" defaultRowHeight="15.75" customHeight="1" x14ac:dyDescent="0.2"/>
  <cols>
    <col min="3" max="3" width="14.5" bestFit="1" customWidth="1"/>
    <col min="7" max="7" width="10" customWidth="1"/>
    <col min="8" max="8" width="12" customWidth="1"/>
    <col min="11" max="11" width="11.5" customWidth="1"/>
    <col min="14" max="14" width="8" bestFit="1" customWidth="1"/>
    <col min="15" max="15" width="9" bestFit="1" customWidth="1"/>
    <col min="16" max="16" width="13" bestFit="1" customWidth="1"/>
    <col min="19" max="19" width="13" bestFit="1" customWidth="1"/>
    <col min="28" max="28" width="12" bestFit="1" customWidth="1"/>
    <col min="29" max="29" width="13" bestFit="1" customWidth="1"/>
    <col min="30" max="30" width="10" customWidth="1"/>
    <col min="31" max="32" width="21" customWidth="1"/>
    <col min="33" max="33" width="15" customWidth="1"/>
    <col min="34" max="34" width="23.5" bestFit="1" customWidth="1"/>
    <col min="35" max="35" width="16" customWidth="1"/>
    <col min="36" max="36" width="13" customWidth="1"/>
    <col min="39" max="39" width="16.5" customWidth="1"/>
    <col min="40" max="40" width="36" bestFit="1" customWidth="1"/>
    <col min="53" max="53" width="25.5" bestFit="1" customWidth="1"/>
    <col min="56" max="56" width="16" bestFit="1" customWidth="1"/>
    <col min="57" max="57" width="15" bestFit="1" customWidth="1"/>
    <col min="58" max="58" width="17" customWidth="1"/>
    <col min="59" max="59" width="14.5" customWidth="1"/>
    <col min="64" max="64" width="23.5" customWidth="1"/>
  </cols>
  <sheetData>
    <row r="1" spans="1:64" ht="17" thickBot="1" x14ac:dyDescent="0.25">
      <c r="A1" s="435"/>
      <c r="B1" s="435"/>
      <c r="C1" s="435"/>
      <c r="D1" s="67"/>
      <c r="E1" s="9"/>
      <c r="F1" s="67"/>
      <c r="G1" s="2"/>
      <c r="H1" s="10"/>
      <c r="I1" s="2"/>
      <c r="J1" s="2"/>
      <c r="K1" s="3"/>
      <c r="L1" s="3"/>
      <c r="M1" s="3"/>
      <c r="N1" s="3"/>
      <c r="O1" s="3"/>
      <c r="P1" s="3"/>
      <c r="Q1" s="3"/>
      <c r="R1" s="3"/>
      <c r="S1" s="436"/>
      <c r="T1" s="436"/>
      <c r="U1" s="5"/>
      <c r="V1" s="4"/>
      <c r="W1" s="4"/>
    </row>
    <row r="2" spans="1:64" ht="15.75" customHeight="1" thickBot="1" x14ac:dyDescent="0.25">
      <c r="A2" s="435"/>
      <c r="B2" s="435"/>
      <c r="C2" s="435"/>
      <c r="D2" s="67"/>
      <c r="E2" s="437" t="s">
        <v>0</v>
      </c>
      <c r="F2" s="438"/>
      <c r="G2" s="68">
        <f>'[1]$_DATI_DI_BASE'!$N$6</f>
        <v>22</v>
      </c>
      <c r="H2" s="69" t="s">
        <v>1</v>
      </c>
      <c r="I2" s="72">
        <v>0.2</v>
      </c>
      <c r="J2" s="439" t="s">
        <v>2</v>
      </c>
      <c r="K2" s="440"/>
      <c r="L2" s="440"/>
      <c r="M2" s="440"/>
      <c r="N2" s="440"/>
      <c r="O2" s="440"/>
      <c r="P2" s="440"/>
      <c r="Q2" s="440"/>
      <c r="R2" s="441"/>
      <c r="S2" s="443" t="s">
        <v>3</v>
      </c>
      <c r="T2" s="443"/>
      <c r="U2" s="443"/>
      <c r="V2" s="443"/>
      <c r="W2" s="443"/>
      <c r="X2" s="443"/>
      <c r="Y2" s="443"/>
      <c r="Z2" s="443"/>
      <c r="AA2" s="443"/>
    </row>
    <row r="3" spans="1:64" ht="16" x14ac:dyDescent="0.2">
      <c r="A3" s="435"/>
      <c r="B3" s="435"/>
      <c r="C3" s="435"/>
      <c r="D3" s="67"/>
      <c r="E3" s="442"/>
      <c r="F3" s="442"/>
      <c r="G3" s="10"/>
      <c r="I3" s="2"/>
      <c r="J3" s="440"/>
      <c r="K3" s="440"/>
      <c r="L3" s="440"/>
      <c r="M3" s="440"/>
      <c r="N3" s="440"/>
      <c r="O3" s="440"/>
      <c r="P3" s="440"/>
      <c r="Q3" s="440"/>
      <c r="R3" s="441"/>
      <c r="S3" s="443"/>
      <c r="T3" s="443"/>
      <c r="U3" s="443"/>
      <c r="V3" s="443"/>
      <c r="W3" s="443"/>
      <c r="X3" s="443"/>
      <c r="Y3" s="443"/>
      <c r="Z3" s="443"/>
      <c r="AA3" s="443"/>
    </row>
    <row r="4" spans="1:64" ht="17" x14ac:dyDescent="0.2">
      <c r="A4" s="450"/>
      <c r="B4" s="450"/>
      <c r="C4" s="440" t="s">
        <v>4</v>
      </c>
      <c r="D4" s="440" t="s">
        <v>5</v>
      </c>
      <c r="E4" s="440"/>
      <c r="F4" s="440"/>
      <c r="G4" s="440"/>
      <c r="H4" s="440"/>
      <c r="I4" s="440"/>
      <c r="J4" s="447" t="s">
        <v>6</v>
      </c>
      <c r="K4" s="448"/>
      <c r="L4" s="448"/>
      <c r="M4" s="449"/>
      <c r="N4" s="445" t="s">
        <v>7</v>
      </c>
      <c r="O4" s="414" t="s">
        <v>8</v>
      </c>
      <c r="P4" s="444" t="s">
        <v>9</v>
      </c>
      <c r="Q4" s="445" t="s">
        <v>10</v>
      </c>
      <c r="R4" s="416" t="s">
        <v>11</v>
      </c>
      <c r="S4" s="440" t="s">
        <v>12</v>
      </c>
      <c r="T4" s="417" t="s">
        <v>13</v>
      </c>
      <c r="U4" s="389" t="s">
        <v>14</v>
      </c>
      <c r="V4" s="413" t="s">
        <v>15</v>
      </c>
      <c r="W4" s="413" t="s">
        <v>7</v>
      </c>
      <c r="X4" s="415" t="s">
        <v>11</v>
      </c>
      <c r="Y4" s="413" t="s">
        <v>16</v>
      </c>
      <c r="Z4" s="411" t="s">
        <v>17</v>
      </c>
      <c r="AA4" s="387" t="s">
        <v>18</v>
      </c>
      <c r="AC4" s="8" t="s">
        <v>19</v>
      </c>
      <c r="AD4" s="6"/>
      <c r="AG4" s="3" t="s">
        <v>18</v>
      </c>
      <c r="AH4" s="3" t="s">
        <v>20</v>
      </c>
      <c r="AI4" s="3"/>
      <c r="AJ4" s="3" t="s">
        <v>21</v>
      </c>
      <c r="AK4" s="3" t="s">
        <v>22</v>
      </c>
      <c r="AM4" t="s">
        <v>23</v>
      </c>
      <c r="BA4" t="s">
        <v>24</v>
      </c>
      <c r="BE4" t="s">
        <v>25</v>
      </c>
      <c r="BF4" s="95" t="s">
        <v>26</v>
      </c>
      <c r="BG4" t="s">
        <v>27</v>
      </c>
      <c r="BH4" t="s">
        <v>28</v>
      </c>
      <c r="BL4" t="s">
        <v>29</v>
      </c>
    </row>
    <row r="5" spans="1:64" ht="16" x14ac:dyDescent="0.2">
      <c r="A5" s="450"/>
      <c r="B5" s="450"/>
      <c r="C5" s="440"/>
      <c r="D5" s="440"/>
      <c r="E5" s="440"/>
      <c r="F5" s="440"/>
      <c r="G5" s="440"/>
      <c r="H5" s="440"/>
      <c r="I5" s="440"/>
      <c r="J5" s="70" t="s">
        <v>30</v>
      </c>
      <c r="K5" s="7" t="s">
        <v>31</v>
      </c>
      <c r="L5" s="7" t="s">
        <v>32</v>
      </c>
      <c r="M5" s="7" t="s">
        <v>33</v>
      </c>
      <c r="N5" s="392"/>
      <c r="O5" s="392"/>
      <c r="P5" s="414"/>
      <c r="Q5" s="392"/>
      <c r="R5" s="446"/>
      <c r="S5" s="440"/>
      <c r="T5" s="417"/>
      <c r="U5" s="390"/>
      <c r="V5" s="414"/>
      <c r="W5" s="414"/>
      <c r="X5" s="416"/>
      <c r="Y5" s="414"/>
      <c r="Z5" s="412"/>
      <c r="AA5" s="388"/>
      <c r="AC5" s="8" t="str">
        <f>P6</f>
        <v>1400x800x600</v>
      </c>
      <c r="AD5" s="8">
        <f>SUM(X6:X13)</f>
        <v>4326</v>
      </c>
      <c r="AN5" s="95"/>
    </row>
    <row r="6" spans="1:64" ht="16.5" customHeight="1" x14ac:dyDescent="0.2">
      <c r="A6" s="430" t="s">
        <v>34</v>
      </c>
      <c r="B6" s="401"/>
      <c r="C6" s="71" t="str">
        <f>'[1]$_DATI_DI_BASE'!F41</f>
        <v>EST_STAMP_001</v>
      </c>
      <c r="D6" s="434" t="str">
        <f>'[1]$_DATI_DI_BASE'!I41</f>
        <v>CORPO PLANCIA A1</v>
      </c>
      <c r="E6" s="434"/>
      <c r="F6" s="434"/>
      <c r="G6" s="434"/>
      <c r="H6" s="434"/>
      <c r="I6" s="434"/>
      <c r="J6" s="14">
        <f>'[1]$_MAG_BUFFER'!$I$6</f>
        <v>26103.673469387755</v>
      </c>
      <c r="K6" s="14">
        <f>_xlfn.XLOOKUP($D6,'[1]$_FABBISOGNI'!$H$12:$H$20,'[1]$_FABBISOGNI'!$P$12:$P$20,0)</f>
        <v>0</v>
      </c>
      <c r="L6" s="14">
        <v>0</v>
      </c>
      <c r="M6" s="14">
        <v>0</v>
      </c>
      <c r="N6" s="14">
        <f>SUM(J6:M6)</f>
        <v>26103.673469387755</v>
      </c>
      <c r="O6" s="15" t="str">
        <f>_xlfn.XLOOKUP($D6,'[1]$_DATI_DI_BASE'!$E$65:$E$81,'[1]$_DATI_DI_BASE'!$D$65:$D$81)</f>
        <v>PED+SCA</v>
      </c>
      <c r="P6" s="15" t="str">
        <f>_xlfn.XLOOKUP($D6,'[1]$_DATI_DI_BASE'!$E$65:$E$81,'[1]$_DATI_DI_BASE'!$J$65:$J$81)</f>
        <v>1400x800x600</v>
      </c>
      <c r="Q6" s="16">
        <f>_xlfn.XLOOKUP($D6,'[1]$_DATI_DI_BASE'!$E$65:$E$81,'[1]$_DATI_DI_BASE'!$L$65:$L$81)</f>
        <v>6</v>
      </c>
      <c r="R6" s="14">
        <f>ROUND(N6/Q6,0)</f>
        <v>4351</v>
      </c>
      <c r="S6" s="20">
        <v>1</v>
      </c>
      <c r="T6" s="14">
        <f t="shared" ref="T6:T14" si="0">ROUNDUP(N6/$G$2*$Q$37,0)</f>
        <v>3560</v>
      </c>
      <c r="U6" s="20">
        <f t="shared" ref="U6:U14" si="1">ROUNDUP(T6/Q6,0)</f>
        <v>594</v>
      </c>
      <c r="V6" s="14">
        <f>ROUNDUP(T6/$Q$37,0)</f>
        <v>1187</v>
      </c>
      <c r="W6" s="14">
        <f>V6+T6</f>
        <v>4747</v>
      </c>
      <c r="X6" s="15">
        <f t="shared" ref="X6:X14" si="2">ROUNDUP(W6/Q6,0)</f>
        <v>792</v>
      </c>
      <c r="Y6" s="15">
        <f>ROUNDUP(T6/2+V6,0)</f>
        <v>2967</v>
      </c>
      <c r="Z6" s="17">
        <f>mag_completo!$G$2/AA6</f>
        <v>2.5005675954592363</v>
      </c>
      <c r="AA6" s="59">
        <f t="shared" ref="AA6:AA21" si="3">N6/((T6/2)+V6)</f>
        <v>8.798002517488289</v>
      </c>
      <c r="AB6" t="s">
        <v>35</v>
      </c>
      <c r="AC6" s="8" t="str">
        <f>P14</f>
        <v>1000x800x800</v>
      </c>
      <c r="AD6" s="8">
        <f>X14</f>
        <v>189</v>
      </c>
      <c r="AG6" s="60">
        <f t="shared" ref="AG6:AG21" si="4">AA6</f>
        <v>8.798002517488289</v>
      </c>
      <c r="AH6" s="60">
        <v>8.8000000000000007</v>
      </c>
      <c r="AI6" s="95"/>
      <c r="AJ6" s="61">
        <f t="shared" ref="AJ6" si="5">AH6/$AH$22</f>
        <v>6.619415724419285E-2</v>
      </c>
      <c r="AK6" s="61">
        <f>AJ6</f>
        <v>6.619415724419285E-2</v>
      </c>
      <c r="AM6" t="str">
        <f t="shared" ref="AM6:AM21" si="6">IF(AK6&lt;=80%,"A",IF(AK6&gt;95%,"C","B"))</f>
        <v>A</v>
      </c>
      <c r="AN6" s="96">
        <v>8.8000000000000007</v>
      </c>
      <c r="AO6" t="s">
        <v>36</v>
      </c>
      <c r="BA6" t="str">
        <f t="shared" ref="BA6:BA21" si="7">_xlfn.XLOOKUP(AO6,$AB$6:$AB$21,$C$6:$C$21)</f>
        <v>EST_ELETTR_002</v>
      </c>
      <c r="BE6">
        <f t="shared" ref="BE6:BE21" si="8">T6/2+V6</f>
        <v>2967</v>
      </c>
      <c r="BF6">
        <v>21160.5</v>
      </c>
      <c r="BG6" s="61">
        <f>BF6/$BE$22</f>
        <v>0.23743828545780971</v>
      </c>
      <c r="BH6" s="61">
        <f>BG6</f>
        <v>0.23743828545780971</v>
      </c>
      <c r="BI6" t="s">
        <v>37</v>
      </c>
      <c r="BJ6" s="60">
        <v>21160.5</v>
      </c>
      <c r="BK6" t="s">
        <v>38</v>
      </c>
      <c r="BL6" t="str">
        <f t="shared" ref="BL6:BL21" si="9">_xlfn.XLOOKUP(BK6,$AB$6:$AB$21,$C$6:$C$21)</f>
        <v>EST_SICUR_001</v>
      </c>
    </row>
    <row r="7" spans="1:64" ht="16" x14ac:dyDescent="0.2">
      <c r="A7" s="430"/>
      <c r="B7" s="401"/>
      <c r="C7" s="8" t="str">
        <f>'[1]$_DATI_DI_BASE'!F51</f>
        <v>EST_STAMP_002</v>
      </c>
      <c r="D7" s="429" t="str">
        <f>'[1]$_DATI_DI_BASE'!I51</f>
        <v>CORPO PLANCIA B</v>
      </c>
      <c r="E7" s="429"/>
      <c r="F7" s="429"/>
      <c r="G7" s="429"/>
      <c r="H7" s="429"/>
      <c r="I7" s="429"/>
      <c r="J7" s="14">
        <f>_xlfn.XLOOKUP($D7,'[1]$_FABBISOGNI'!$H$3:$H$11,'[1]$_FABBISOGNI'!$P$3:$P$11,0)</f>
        <v>0</v>
      </c>
      <c r="K7" s="14">
        <f>'[1]$_MAG_BUFFER'!$J$7</f>
        <v>17402.448979591838</v>
      </c>
      <c r="L7" s="14">
        <v>0</v>
      </c>
      <c r="M7" s="14">
        <v>0</v>
      </c>
      <c r="N7" s="14">
        <f t="shared" ref="N7:N26" si="10">SUM(J7:M7)</f>
        <v>17402.448979591838</v>
      </c>
      <c r="O7" s="15" t="str">
        <f>_xlfn.XLOOKUP($D7,'[1]$_DATI_DI_BASE'!$E$65:$E$81,'[1]$_DATI_DI_BASE'!$D$65:$D$81)</f>
        <v>PED+SCA</v>
      </c>
      <c r="P7" s="16" t="str">
        <f>_xlfn.XLOOKUP($D7,'[1]$_DATI_DI_BASE'!$E$65:$E$81,'[1]$_DATI_DI_BASE'!$J$65:$J$81)</f>
        <v>1400x800x600</v>
      </c>
      <c r="Q7" s="16">
        <f>_xlfn.XLOOKUP($D7,'[1]$_DATI_DI_BASE'!$E$65:$E$81,'[1]$_DATI_DI_BASE'!$L$65:$L$81)</f>
        <v>4</v>
      </c>
      <c r="R7" s="14">
        <f t="shared" ref="R7:R26" si="11">ROUND(N7/Q7,0)</f>
        <v>4351</v>
      </c>
      <c r="S7" s="20">
        <v>1</v>
      </c>
      <c r="T7" s="14">
        <f t="shared" si="0"/>
        <v>2374</v>
      </c>
      <c r="U7" s="20">
        <f t="shared" si="1"/>
        <v>594</v>
      </c>
      <c r="V7" s="14">
        <f t="shared" ref="V7:V14" si="12">ROUNDUP(T7/$Q$37,0)</f>
        <v>792</v>
      </c>
      <c r="W7" s="14">
        <f t="shared" ref="W7:W26" si="13">V7+T7</f>
        <v>3166</v>
      </c>
      <c r="X7" s="15">
        <f t="shared" si="2"/>
        <v>792</v>
      </c>
      <c r="Y7" s="15">
        <f t="shared" ref="Y7:Y26" si="14">ROUNDUP(T7/2+V7,0)</f>
        <v>1979</v>
      </c>
      <c r="Z7" s="17">
        <f>mag_completo!$G$2/AA7</f>
        <v>2.501831785345717</v>
      </c>
      <c r="AA7" s="59">
        <f t="shared" si="3"/>
        <v>8.7935568365800094</v>
      </c>
      <c r="AB7" t="s">
        <v>39</v>
      </c>
      <c r="AC7" s="73" t="str">
        <f>P15</f>
        <v>600x400x320</v>
      </c>
      <c r="AD7" s="73">
        <f>SUM(X15:X21)</f>
        <v>236</v>
      </c>
      <c r="AG7" s="60">
        <f t="shared" si="4"/>
        <v>8.7935568365800094</v>
      </c>
      <c r="AH7" s="60">
        <v>8.8000000000000007</v>
      </c>
      <c r="AJ7" s="61">
        <f t="shared" ref="AJ7:AJ22" si="15">AH7/$AH$22</f>
        <v>6.619415724419285E-2</v>
      </c>
      <c r="AK7" s="61">
        <f t="shared" ref="AK7:AK21" si="16">AK6+AJ7</f>
        <v>0.1323883144883857</v>
      </c>
      <c r="AM7" t="str">
        <f t="shared" si="6"/>
        <v>A</v>
      </c>
      <c r="AN7" s="96">
        <v>8.8000000000000007</v>
      </c>
      <c r="AO7" t="s">
        <v>40</v>
      </c>
      <c r="BA7" t="str">
        <f t="shared" si="7"/>
        <v>EST_ELETTR_004</v>
      </c>
      <c r="BE7">
        <f t="shared" si="8"/>
        <v>1979</v>
      </c>
      <c r="BF7">
        <v>21160.5</v>
      </c>
      <c r="BG7" s="61">
        <f t="shared" ref="BG7:BG20" si="17">BF7/$BE$22</f>
        <v>0.23743828545780971</v>
      </c>
      <c r="BH7" s="61">
        <f t="shared" ref="BH7:BH21" si="18">BH6+BG7</f>
        <v>0.47487657091561941</v>
      </c>
      <c r="BI7" t="s">
        <v>37</v>
      </c>
      <c r="BJ7" s="60">
        <v>21160.5</v>
      </c>
      <c r="BK7" t="s">
        <v>41</v>
      </c>
      <c r="BL7" t="str">
        <f t="shared" si="9"/>
        <v>EST_SICUR_002</v>
      </c>
    </row>
    <row r="8" spans="1:64" ht="16" x14ac:dyDescent="0.2">
      <c r="A8" s="430"/>
      <c r="B8" s="401"/>
      <c r="C8" s="8" t="str">
        <f>'[1]$_DATI_DI_BASE'!F42</f>
        <v>EST_STAMP_003</v>
      </c>
      <c r="D8" s="429" t="str">
        <f>'[1]$_DATI_DI_BASE'!I42</f>
        <v>INSERTO PLANCIA A1</v>
      </c>
      <c r="E8" s="429"/>
      <c r="F8" s="429"/>
      <c r="G8" s="429"/>
      <c r="H8" s="429"/>
      <c r="I8" s="429"/>
      <c r="J8" s="14">
        <f>'[1]$_MAG_BUFFER'!$I$8</f>
        <v>26103.673469387755</v>
      </c>
      <c r="K8" s="14">
        <f>_xlfn.XLOOKUP($D8,'[1]$_FABBISOGNI'!$H$12:$H$20,'[1]$_FABBISOGNI'!$P$12:$P$20,0)</f>
        <v>0</v>
      </c>
      <c r="L8" s="14">
        <v>0</v>
      </c>
      <c r="M8" s="14">
        <v>0</v>
      </c>
      <c r="N8" s="14">
        <f t="shared" si="10"/>
        <v>26103.673469387755</v>
      </c>
      <c r="O8" s="15" t="str">
        <f>_xlfn.XLOOKUP($D8,'[1]$_DATI_DI_BASE'!$E$65:$E$81,'[1]$_DATI_DI_BASE'!$D$65:$D$81)</f>
        <v>PED+SCA</v>
      </c>
      <c r="P8" s="15" t="str">
        <f>_xlfn.XLOOKUP($D8,'[1]$_DATI_DI_BASE'!$E$65:$E$81,'[1]$_DATI_DI_BASE'!$J$65:$J$81)</f>
        <v>1400x800x600</v>
      </c>
      <c r="Q8" s="16">
        <f>_xlfn.XLOOKUP($D8,'[1]$_DATI_DI_BASE'!$E$65:$E$81,'[1]$_DATI_DI_BASE'!$L$65:$L$81)</f>
        <v>10</v>
      </c>
      <c r="R8" s="14">
        <f t="shared" si="11"/>
        <v>2610</v>
      </c>
      <c r="S8" s="20">
        <v>4</v>
      </c>
      <c r="T8" s="14">
        <f t="shared" si="0"/>
        <v>3560</v>
      </c>
      <c r="U8" s="20">
        <f t="shared" si="1"/>
        <v>356</v>
      </c>
      <c r="V8" s="14">
        <f t="shared" si="12"/>
        <v>1187</v>
      </c>
      <c r="W8" s="14">
        <f t="shared" si="13"/>
        <v>4747</v>
      </c>
      <c r="X8" s="15">
        <f t="shared" si="2"/>
        <v>475</v>
      </c>
      <c r="Y8" s="15">
        <f t="shared" si="14"/>
        <v>2967</v>
      </c>
      <c r="Z8" s="17">
        <f>mag_completo!$G$2/AA8</f>
        <v>2.5005675954592363</v>
      </c>
      <c r="AA8" s="59">
        <f t="shared" si="3"/>
        <v>8.798002517488289</v>
      </c>
      <c r="AB8" t="s">
        <v>42</v>
      </c>
      <c r="AC8" s="8" t="str">
        <f>P23</f>
        <v>1800x800x800</v>
      </c>
      <c r="AD8" s="8">
        <f>SUM(X23:X26)</f>
        <v>3660</v>
      </c>
      <c r="AG8" s="60">
        <f t="shared" si="4"/>
        <v>8.798002517488289</v>
      </c>
      <c r="AH8" s="60">
        <v>8.8000000000000007</v>
      </c>
      <c r="AJ8" s="61">
        <f t="shared" si="15"/>
        <v>6.619415724419285E-2</v>
      </c>
      <c r="AK8" s="61">
        <f>AK7+AJ8</f>
        <v>0.19858247173257854</v>
      </c>
      <c r="AM8" t="str">
        <f t="shared" si="6"/>
        <v>A</v>
      </c>
      <c r="AN8" s="96">
        <v>8.8000000000000007</v>
      </c>
      <c r="AO8" t="s">
        <v>43</v>
      </c>
      <c r="BA8" t="str">
        <f t="shared" si="7"/>
        <v>EST_ELETTR_005</v>
      </c>
      <c r="BE8">
        <f t="shared" si="8"/>
        <v>2967</v>
      </c>
      <c r="BF8">
        <v>11756.5</v>
      </c>
      <c r="BG8" s="61">
        <f t="shared" si="17"/>
        <v>0.13191763913824056</v>
      </c>
      <c r="BH8" s="61">
        <f t="shared" si="18"/>
        <v>0.60679421005385992</v>
      </c>
      <c r="BI8" t="s">
        <v>37</v>
      </c>
      <c r="BJ8" s="60">
        <v>11756.5</v>
      </c>
      <c r="BK8" t="s">
        <v>44</v>
      </c>
      <c r="BL8" t="str">
        <f t="shared" si="9"/>
        <v>EST_STAMP_009</v>
      </c>
    </row>
    <row r="9" spans="1:64" ht="16" x14ac:dyDescent="0.2">
      <c r="A9" s="430"/>
      <c r="B9" s="401"/>
      <c r="C9" s="8" t="str">
        <f>'[1]$_DATI_DI_BASE'!F52</f>
        <v>EST_STAMP_004</v>
      </c>
      <c r="D9" s="426" t="str">
        <f>'[1]$_DATI_DI_BASE'!I52</f>
        <v>INSERTO PLANCIA B</v>
      </c>
      <c r="E9" s="427"/>
      <c r="F9" s="427"/>
      <c r="G9" s="427"/>
      <c r="H9" s="427"/>
      <c r="I9" s="428"/>
      <c r="J9" s="14">
        <f>_xlfn.XLOOKUP($D9,'[1]$_FABBISOGNI'!$H$3:$H$11,'[1]$_FABBISOGNI'!$P$3:$P$11,0)</f>
        <v>0</v>
      </c>
      <c r="K9" s="14">
        <f>'[1]$_MAG_BUFFER'!$J$9</f>
        <v>17402.448979591838</v>
      </c>
      <c r="L9" s="14">
        <v>0</v>
      </c>
      <c r="M9" s="14">
        <v>0</v>
      </c>
      <c r="N9" s="14">
        <f t="shared" si="10"/>
        <v>17402.448979591838</v>
      </c>
      <c r="O9" s="15" t="str">
        <f>_xlfn.XLOOKUP($D9,'[1]$_DATI_DI_BASE'!$E$65:$E$81,'[1]$_DATI_DI_BASE'!$D$65:$D$81)</f>
        <v>PED+SCA</v>
      </c>
      <c r="P9" s="15" t="str">
        <f>_xlfn.XLOOKUP($D9,'[1]$_DATI_DI_BASE'!$E$65:$E$81,'[1]$_DATI_DI_BASE'!$J$65:$J$81)</f>
        <v>1400x800x600</v>
      </c>
      <c r="Q9" s="16">
        <f>_xlfn.XLOOKUP($D9,'[1]$_DATI_DI_BASE'!$E$65:$E$81,'[1]$_DATI_DI_BASE'!$L$65:$L$81)</f>
        <v>8</v>
      </c>
      <c r="R9" s="14">
        <f t="shared" si="11"/>
        <v>2175</v>
      </c>
      <c r="S9" s="20">
        <v>4</v>
      </c>
      <c r="T9" s="14">
        <f t="shared" si="0"/>
        <v>2374</v>
      </c>
      <c r="U9" s="20">
        <f t="shared" si="1"/>
        <v>297</v>
      </c>
      <c r="V9" s="14">
        <f t="shared" si="12"/>
        <v>792</v>
      </c>
      <c r="W9" s="14">
        <f t="shared" si="13"/>
        <v>3166</v>
      </c>
      <c r="X9" s="15">
        <f t="shared" si="2"/>
        <v>396</v>
      </c>
      <c r="Y9" s="15">
        <f t="shared" si="14"/>
        <v>1979</v>
      </c>
      <c r="Z9" s="17">
        <f>mag_completo!$G$2/AA9</f>
        <v>2.501831785345717</v>
      </c>
      <c r="AA9" s="59">
        <f t="shared" si="3"/>
        <v>8.7935568365800094</v>
      </c>
      <c r="AB9" t="s">
        <v>45</v>
      </c>
      <c r="AC9" s="8" t="str">
        <f>P28</f>
        <v>1600x800x600</v>
      </c>
      <c r="AD9" s="8">
        <f>SUM(X28:X31)</f>
        <v>4536</v>
      </c>
      <c r="AG9" s="60">
        <f t="shared" si="4"/>
        <v>8.7935568365800094</v>
      </c>
      <c r="AH9" s="60">
        <v>8.7992514779058393</v>
      </c>
      <c r="AJ9" s="61">
        <f t="shared" si="15"/>
        <v>6.6188526813601753E-2</v>
      </c>
      <c r="AK9" s="61">
        <f t="shared" si="16"/>
        <v>0.2647709985461803</v>
      </c>
      <c r="AM9" t="str">
        <f t="shared" si="6"/>
        <v>A</v>
      </c>
      <c r="AN9" s="96">
        <v>8.7992514779058393</v>
      </c>
      <c r="AO9" t="s">
        <v>44</v>
      </c>
      <c r="BA9" t="str">
        <f t="shared" si="7"/>
        <v>EST_STAMP_009</v>
      </c>
      <c r="BE9">
        <f t="shared" si="8"/>
        <v>1979</v>
      </c>
      <c r="BF9">
        <v>8670</v>
      </c>
      <c r="BG9" s="61">
        <f t="shared" si="17"/>
        <v>9.7284560143626575E-2</v>
      </c>
      <c r="BH9" s="61">
        <f t="shared" si="18"/>
        <v>0.70407877019748644</v>
      </c>
      <c r="BI9" t="s">
        <v>37</v>
      </c>
      <c r="BJ9" s="60">
        <v>8670</v>
      </c>
      <c r="BK9" t="s">
        <v>43</v>
      </c>
      <c r="BL9" t="str">
        <f t="shared" si="9"/>
        <v>EST_ELETTR_005</v>
      </c>
    </row>
    <row r="10" spans="1:64" ht="16" x14ac:dyDescent="0.2">
      <c r="A10" s="430"/>
      <c r="B10" s="401"/>
      <c r="C10" s="8" t="s">
        <v>46</v>
      </c>
      <c r="D10" s="426" t="s">
        <v>47</v>
      </c>
      <c r="E10" s="427"/>
      <c r="F10" s="427"/>
      <c r="G10" s="427"/>
      <c r="H10" s="427"/>
      <c r="I10" s="428"/>
      <c r="J10" s="20">
        <v>0</v>
      </c>
      <c r="K10" s="20">
        <v>0</v>
      </c>
      <c r="L10" s="14">
        <f>'[2]$_MAG_BUFFER'!$J$6</f>
        <v>24042.857142857145</v>
      </c>
      <c r="M10" s="14">
        <v>0</v>
      </c>
      <c r="N10" s="14">
        <f t="shared" si="10"/>
        <v>24042.857142857145</v>
      </c>
      <c r="O10" s="15" t="s">
        <v>48</v>
      </c>
      <c r="P10" s="15" t="s">
        <v>49</v>
      </c>
      <c r="Q10" s="14">
        <v>6</v>
      </c>
      <c r="R10" s="14">
        <f t="shared" si="11"/>
        <v>4007</v>
      </c>
      <c r="S10" s="20">
        <v>1</v>
      </c>
      <c r="T10" s="14">
        <f t="shared" si="0"/>
        <v>3279</v>
      </c>
      <c r="U10" s="20">
        <f t="shared" si="1"/>
        <v>547</v>
      </c>
      <c r="V10" s="14">
        <f t="shared" si="12"/>
        <v>1093</v>
      </c>
      <c r="W10" s="14">
        <f t="shared" si="13"/>
        <v>4372</v>
      </c>
      <c r="X10" s="15">
        <f t="shared" si="2"/>
        <v>729</v>
      </c>
      <c r="Y10" s="15">
        <f t="shared" si="14"/>
        <v>2733</v>
      </c>
      <c r="Z10" s="17">
        <f>mag_completo!$G$2/AA10</f>
        <v>2.5003267973856205</v>
      </c>
      <c r="AA10" s="59">
        <f t="shared" si="3"/>
        <v>8.7988498235524784</v>
      </c>
      <c r="AB10" t="s">
        <v>50</v>
      </c>
      <c r="AG10" s="60">
        <f t="shared" si="4"/>
        <v>8.7988498235524784</v>
      </c>
      <c r="AH10" s="60">
        <v>8.7988498235524784</v>
      </c>
      <c r="AJ10" s="61">
        <f t="shared" si="15"/>
        <v>6.6185505544121725E-2</v>
      </c>
      <c r="AK10" s="61">
        <f t="shared" si="16"/>
        <v>0.33095650409030203</v>
      </c>
      <c r="AM10" t="str">
        <f t="shared" si="6"/>
        <v>A</v>
      </c>
      <c r="AN10" s="96">
        <v>8.7988498235524784</v>
      </c>
      <c r="AO10" t="s">
        <v>50</v>
      </c>
      <c r="BA10" t="str">
        <f t="shared" si="7"/>
        <v>EST_STAMP_005</v>
      </c>
      <c r="BE10">
        <f t="shared" si="8"/>
        <v>2732.5</v>
      </c>
      <c r="BF10">
        <v>2967</v>
      </c>
      <c r="BG10" s="61">
        <f t="shared" si="17"/>
        <v>3.3292190305206464E-2</v>
      </c>
      <c r="BH10" s="61">
        <f t="shared" si="18"/>
        <v>0.73737096050269291</v>
      </c>
      <c r="BI10" t="s">
        <v>37</v>
      </c>
      <c r="BJ10" s="60">
        <v>2967</v>
      </c>
      <c r="BK10" t="s">
        <v>35</v>
      </c>
      <c r="BL10" t="str">
        <f t="shared" si="9"/>
        <v>EST_STAMP_001</v>
      </c>
    </row>
    <row r="11" spans="1:64" ht="16" x14ac:dyDescent="0.2">
      <c r="A11" s="430"/>
      <c r="B11" s="401"/>
      <c r="C11" s="8" t="s">
        <v>51</v>
      </c>
      <c r="D11" s="426" t="s">
        <v>52</v>
      </c>
      <c r="E11" s="427"/>
      <c r="F11" s="427"/>
      <c r="G11" s="427"/>
      <c r="H11" s="427"/>
      <c r="I11" s="428"/>
      <c r="J11" s="20">
        <v>0</v>
      </c>
      <c r="K11" s="20">
        <v>0</v>
      </c>
      <c r="L11" s="14">
        <v>0</v>
      </c>
      <c r="M11" s="14">
        <f>'[2]$_MAG_BUFFER'!$K$7</f>
        <v>10304.081632653062</v>
      </c>
      <c r="N11" s="14">
        <f t="shared" si="10"/>
        <v>10304.081632653062</v>
      </c>
      <c r="O11" s="15" t="s">
        <v>48</v>
      </c>
      <c r="P11" s="15" t="s">
        <v>49</v>
      </c>
      <c r="Q11" s="14">
        <v>4</v>
      </c>
      <c r="R11" s="14">
        <f t="shared" si="11"/>
        <v>2576</v>
      </c>
      <c r="S11" s="20">
        <v>1</v>
      </c>
      <c r="T11" s="14">
        <f t="shared" si="0"/>
        <v>1406</v>
      </c>
      <c r="U11" s="20">
        <f t="shared" si="1"/>
        <v>352</v>
      </c>
      <c r="V11" s="14">
        <f t="shared" si="12"/>
        <v>469</v>
      </c>
      <c r="W11" s="14">
        <f t="shared" si="13"/>
        <v>1875</v>
      </c>
      <c r="X11" s="15">
        <f t="shared" si="2"/>
        <v>469</v>
      </c>
      <c r="Y11" s="15">
        <f t="shared" si="14"/>
        <v>1172</v>
      </c>
      <c r="Z11" s="17">
        <f>mag_completo!$G$2/AA11</f>
        <v>2.502309368191721</v>
      </c>
      <c r="AA11" s="59">
        <f t="shared" si="3"/>
        <v>8.7918785261544894</v>
      </c>
      <c r="AB11" t="s">
        <v>53</v>
      </c>
      <c r="AG11" s="60">
        <f t="shared" si="4"/>
        <v>8.7918785261544894</v>
      </c>
      <c r="AH11" s="60">
        <v>8.7988498235524784</v>
      </c>
      <c r="AJ11" s="61">
        <f t="shared" si="15"/>
        <v>6.6185505544121725E-2</v>
      </c>
      <c r="AK11" s="61">
        <f t="shared" si="16"/>
        <v>0.39714200963442375</v>
      </c>
      <c r="AM11" t="str">
        <f t="shared" si="6"/>
        <v>A</v>
      </c>
      <c r="AN11" s="96">
        <v>8.7988498235524784</v>
      </c>
      <c r="AO11" t="s">
        <v>53</v>
      </c>
      <c r="BA11" t="str">
        <f t="shared" si="7"/>
        <v>EST_STAMP_006</v>
      </c>
      <c r="BE11">
        <f t="shared" si="8"/>
        <v>1172</v>
      </c>
      <c r="BF11">
        <v>2967</v>
      </c>
      <c r="BG11" s="61">
        <f t="shared" si="17"/>
        <v>3.3292190305206464E-2</v>
      </c>
      <c r="BH11" s="61">
        <f t="shared" si="18"/>
        <v>0.77066315080789938</v>
      </c>
      <c r="BI11" t="s">
        <v>37</v>
      </c>
      <c r="BJ11" s="60">
        <v>2967</v>
      </c>
      <c r="BK11" t="s">
        <v>42</v>
      </c>
      <c r="BL11" t="str">
        <f t="shared" si="9"/>
        <v>EST_STAMP_003</v>
      </c>
    </row>
    <row r="12" spans="1:64" ht="16" x14ac:dyDescent="0.2">
      <c r="A12" s="430"/>
      <c r="B12" s="401"/>
      <c r="C12" s="8" t="s">
        <v>54</v>
      </c>
      <c r="D12" s="426" t="s">
        <v>55</v>
      </c>
      <c r="E12" s="427"/>
      <c r="F12" s="427"/>
      <c r="G12" s="427"/>
      <c r="H12" s="427"/>
      <c r="I12" s="428"/>
      <c r="J12" s="20">
        <v>0</v>
      </c>
      <c r="K12" s="20">
        <v>0</v>
      </c>
      <c r="L12" s="14">
        <f>'[2]$_MAG_BUFFER'!$J$8</f>
        <v>24042.857142857145</v>
      </c>
      <c r="M12" s="14">
        <v>0</v>
      </c>
      <c r="N12" s="14">
        <f t="shared" si="10"/>
        <v>24042.857142857145</v>
      </c>
      <c r="O12" s="15" t="s">
        <v>48</v>
      </c>
      <c r="P12" s="15" t="s">
        <v>49</v>
      </c>
      <c r="Q12" s="14">
        <v>10</v>
      </c>
      <c r="R12" s="14">
        <f t="shared" si="11"/>
        <v>2404</v>
      </c>
      <c r="S12" s="20">
        <v>4</v>
      </c>
      <c r="T12" s="14">
        <f t="shared" si="0"/>
        <v>3279</v>
      </c>
      <c r="U12" s="20">
        <f t="shared" si="1"/>
        <v>328</v>
      </c>
      <c r="V12" s="14">
        <f t="shared" si="12"/>
        <v>1093</v>
      </c>
      <c r="W12" s="14">
        <f t="shared" si="13"/>
        <v>4372</v>
      </c>
      <c r="X12" s="15">
        <f t="shared" si="2"/>
        <v>438</v>
      </c>
      <c r="Y12" s="15">
        <f t="shared" si="14"/>
        <v>2733</v>
      </c>
      <c r="Z12" s="17">
        <f>mag_completo!$G$2/AA12</f>
        <v>2.5003267973856205</v>
      </c>
      <c r="AA12" s="59">
        <f t="shared" si="3"/>
        <v>8.7988498235524784</v>
      </c>
      <c r="AB12" t="s">
        <v>56</v>
      </c>
      <c r="AG12" s="60">
        <f t="shared" si="4"/>
        <v>8.7988498235524784</v>
      </c>
      <c r="AH12" s="60">
        <v>8.7988498235524784</v>
      </c>
      <c r="AJ12" s="61">
        <f t="shared" si="15"/>
        <v>6.6185505544121725E-2</v>
      </c>
      <c r="AK12" s="61">
        <f t="shared" si="16"/>
        <v>0.46332751517854548</v>
      </c>
      <c r="AM12" t="str">
        <f t="shared" si="6"/>
        <v>A</v>
      </c>
      <c r="AN12" s="96">
        <v>8.7988498235524784</v>
      </c>
      <c r="AO12" t="s">
        <v>56</v>
      </c>
      <c r="BA12" t="str">
        <f t="shared" si="7"/>
        <v>EST_STAMP_007</v>
      </c>
      <c r="BE12">
        <f t="shared" si="8"/>
        <v>2732.5</v>
      </c>
      <c r="BF12">
        <v>2907.5</v>
      </c>
      <c r="BG12" s="61">
        <f t="shared" si="17"/>
        <v>3.2624551166965887E-2</v>
      </c>
      <c r="BH12" s="61">
        <f t="shared" si="18"/>
        <v>0.80328770197486521</v>
      </c>
      <c r="BI12" t="s">
        <v>37</v>
      </c>
      <c r="BJ12" s="60">
        <v>2907.5</v>
      </c>
      <c r="BK12" t="s">
        <v>57</v>
      </c>
      <c r="BL12" t="str">
        <f t="shared" si="9"/>
        <v>EST_ELETTR_001</v>
      </c>
    </row>
    <row r="13" spans="1:64" ht="16" x14ac:dyDescent="0.2">
      <c r="A13" s="430"/>
      <c r="B13" s="401"/>
      <c r="C13" s="8" t="s">
        <v>58</v>
      </c>
      <c r="D13" s="426" t="s">
        <v>59</v>
      </c>
      <c r="E13" s="427"/>
      <c r="F13" s="427"/>
      <c r="G13" s="427"/>
      <c r="H13" s="427"/>
      <c r="I13" s="428"/>
      <c r="J13" s="20">
        <v>0</v>
      </c>
      <c r="K13" s="20">
        <v>0</v>
      </c>
      <c r="L13" s="14">
        <v>0</v>
      </c>
      <c r="M13" s="14">
        <f>'[2]$_MAG_BUFFER'!$K$9</f>
        <v>10304.081632653062</v>
      </c>
      <c r="N13" s="14">
        <f t="shared" si="10"/>
        <v>10304.081632653062</v>
      </c>
      <c r="O13" s="15" t="s">
        <v>48</v>
      </c>
      <c r="P13" s="15" t="s">
        <v>49</v>
      </c>
      <c r="Q13" s="14">
        <v>8</v>
      </c>
      <c r="R13" s="14">
        <f t="shared" si="11"/>
        <v>1288</v>
      </c>
      <c r="S13" s="20">
        <v>4</v>
      </c>
      <c r="T13" s="14">
        <f t="shared" si="0"/>
        <v>1406</v>
      </c>
      <c r="U13" s="20">
        <f t="shared" si="1"/>
        <v>176</v>
      </c>
      <c r="V13" s="14">
        <f t="shared" si="12"/>
        <v>469</v>
      </c>
      <c r="W13" s="14">
        <f>V13+T13</f>
        <v>1875</v>
      </c>
      <c r="X13" s="15">
        <f t="shared" si="2"/>
        <v>235</v>
      </c>
      <c r="Y13" s="15">
        <f t="shared" si="14"/>
        <v>1172</v>
      </c>
      <c r="Z13" s="17">
        <f>mag_completo!$G$2/AA13</f>
        <v>2.502309368191721</v>
      </c>
      <c r="AA13" s="59">
        <f t="shared" si="3"/>
        <v>8.7918785261544894</v>
      </c>
      <c r="AB13" t="s">
        <v>60</v>
      </c>
      <c r="AG13" s="60">
        <f t="shared" si="4"/>
        <v>8.7918785261544894</v>
      </c>
      <c r="AH13" s="60">
        <v>8.7984866723989672</v>
      </c>
      <c r="AJ13" s="61">
        <f t="shared" si="15"/>
        <v>6.6182773898149125E-2</v>
      </c>
      <c r="AK13" s="61">
        <f t="shared" si="16"/>
        <v>0.52951028907669462</v>
      </c>
      <c r="AM13" t="str">
        <f t="shared" si="6"/>
        <v>A</v>
      </c>
      <c r="AN13" s="96">
        <v>8.7984866723989672</v>
      </c>
      <c r="AO13" t="s">
        <v>57</v>
      </c>
      <c r="BA13" t="str">
        <f t="shared" si="7"/>
        <v>EST_ELETTR_001</v>
      </c>
      <c r="BE13">
        <f t="shared" si="8"/>
        <v>1172</v>
      </c>
      <c r="BF13">
        <v>2732.5</v>
      </c>
      <c r="BG13" s="61">
        <f t="shared" si="17"/>
        <v>3.0660906642728906E-2</v>
      </c>
      <c r="BH13" s="61">
        <f t="shared" si="18"/>
        <v>0.83394860861759412</v>
      </c>
      <c r="BI13" t="s">
        <v>31</v>
      </c>
      <c r="BJ13" s="60">
        <v>2732.5</v>
      </c>
      <c r="BK13" t="s">
        <v>50</v>
      </c>
      <c r="BL13" t="str">
        <f t="shared" si="9"/>
        <v>EST_STAMP_005</v>
      </c>
    </row>
    <row r="14" spans="1:64" ht="16" x14ac:dyDescent="0.2">
      <c r="A14" s="430"/>
      <c r="B14" s="401"/>
      <c r="C14" s="8" t="str">
        <f>'[1]$_DATI_DI_BASE'!F43</f>
        <v>EST_STAMP_009</v>
      </c>
      <c r="D14" s="429" t="str">
        <f>'[1]$_DATI_DI_BASE'!I43</f>
        <v>CUPOLOTTO</v>
      </c>
      <c r="E14" s="429"/>
      <c r="F14" s="429"/>
      <c r="G14" s="429"/>
      <c r="H14" s="429"/>
      <c r="I14" s="429"/>
      <c r="J14" s="14">
        <f>'[1]$_MAG_BUFFER'!$I$10</f>
        <v>25581.599999999999</v>
      </c>
      <c r="K14" s="14">
        <f>'[1]$_MAG_BUFFER'!$J$10</f>
        <v>34108.800000000003</v>
      </c>
      <c r="L14" s="14">
        <f>'[2]$_MAG_BUFFER'!$J$10</f>
        <v>23562</v>
      </c>
      <c r="M14" s="14">
        <f>'[2]$_MAG_BUFFER'!$K$10</f>
        <v>20196</v>
      </c>
      <c r="N14" s="14">
        <f t="shared" si="10"/>
        <v>103448.4</v>
      </c>
      <c r="O14" s="15" t="str">
        <f>_xlfn.XLOOKUP($D14,'[1]$_DATI_DI_BASE'!$E$65:$E$81,'[1]$_DATI_DI_BASE'!$D$65:$D$81)</f>
        <v>PED+SCA</v>
      </c>
      <c r="P14" s="15" t="str">
        <f>_xlfn.XLOOKUP($D14,'[1]$_DATI_DI_BASE'!$E$65:$E$81,'[1]$_DATI_DI_BASE'!$J$65:$J$81)</f>
        <v>1000x800x800</v>
      </c>
      <c r="Q14" s="16">
        <f>_xlfn.XLOOKUP($D14,'[1]$_DATI_DI_BASE'!$E$65:$E$81,'[1]$_DATI_DI_BASE'!$L$65:$L$81)</f>
        <v>100</v>
      </c>
      <c r="R14" s="14">
        <f t="shared" si="11"/>
        <v>1034</v>
      </c>
      <c r="S14" s="20">
        <v>4</v>
      </c>
      <c r="T14" s="14">
        <f t="shared" si="0"/>
        <v>14107</v>
      </c>
      <c r="U14" s="20">
        <f t="shared" si="1"/>
        <v>142</v>
      </c>
      <c r="V14" s="14">
        <f t="shared" si="12"/>
        <v>4703</v>
      </c>
      <c r="W14" s="14">
        <f t="shared" si="13"/>
        <v>18810</v>
      </c>
      <c r="X14" s="15">
        <f t="shared" si="2"/>
        <v>189</v>
      </c>
      <c r="Y14" s="15">
        <f t="shared" si="14"/>
        <v>11757</v>
      </c>
      <c r="Z14" s="17">
        <f>mag_completo!$G$2/AA14</f>
        <v>2.5002126664114668</v>
      </c>
      <c r="AA14" s="59">
        <f t="shared" si="3"/>
        <v>8.7992514779058393</v>
      </c>
      <c r="AB14" t="s">
        <v>44</v>
      </c>
      <c r="AG14" s="60">
        <f t="shared" si="4"/>
        <v>8.7992514779058393</v>
      </c>
      <c r="AH14" s="60">
        <v>8.798002517488289</v>
      </c>
      <c r="AJ14" s="61">
        <f t="shared" si="15"/>
        <v>6.6179132054252771E-2</v>
      </c>
      <c r="AK14" s="61">
        <f t="shared" si="16"/>
        <v>0.59568942113094736</v>
      </c>
      <c r="AM14" t="str">
        <f t="shared" si="6"/>
        <v>A</v>
      </c>
      <c r="AN14" s="96">
        <v>8.798002517488289</v>
      </c>
      <c r="AO14" t="s">
        <v>35</v>
      </c>
      <c r="BA14" t="str">
        <f t="shared" si="7"/>
        <v>EST_STAMP_001</v>
      </c>
      <c r="BE14">
        <f t="shared" si="8"/>
        <v>11756.5</v>
      </c>
      <c r="BF14">
        <v>2732.5</v>
      </c>
      <c r="BG14" s="61">
        <f t="shared" si="17"/>
        <v>3.0660906642728906E-2</v>
      </c>
      <c r="BH14" s="61">
        <f t="shared" si="18"/>
        <v>0.86460951526032304</v>
      </c>
      <c r="BI14" t="s">
        <v>31</v>
      </c>
      <c r="BJ14" s="60">
        <v>2732.5</v>
      </c>
      <c r="BK14" t="s">
        <v>56</v>
      </c>
      <c r="BL14" t="str">
        <f t="shared" si="9"/>
        <v>EST_STAMP_007</v>
      </c>
    </row>
    <row r="15" spans="1:64" ht="16" x14ac:dyDescent="0.2">
      <c r="A15" s="430"/>
      <c r="B15" s="401"/>
      <c r="C15" s="8" t="str">
        <f>'[1]$_DATI_DI_BASE'!F44</f>
        <v>EST_SICUR_001</v>
      </c>
      <c r="D15" s="429" t="str">
        <f>'[1]$_DATI_DI_BASE'!I44</f>
        <v>CORPO AIR BAG</v>
      </c>
      <c r="E15" s="429"/>
      <c r="F15" s="429"/>
      <c r="G15" s="429"/>
      <c r="H15" s="429"/>
      <c r="I15" s="429"/>
      <c r="J15" s="14">
        <f>'[1]$_MAG_BUFFER'!$I$11</f>
        <v>25581.599999999999</v>
      </c>
      <c r="K15" s="14">
        <f>'[1]$_MAG_BUFFER'!$J$11</f>
        <v>34108.800000000003</v>
      </c>
      <c r="L15" s="14">
        <f>'[2]$_MAG_BUFFER'!$J$11</f>
        <v>23562</v>
      </c>
      <c r="M15" s="14">
        <f>'[2]$_MAG_BUFFER'!$K$11</f>
        <v>20196</v>
      </c>
      <c r="N15" s="14">
        <f t="shared" si="10"/>
        <v>103448.4</v>
      </c>
      <c r="O15" s="15" t="str">
        <f>_xlfn.XLOOKUP($D15,'[1]$_DATI_DI_BASE'!$E$65:$E$81,'[1]$_DATI_DI_BASE'!$D$65:$D$81)</f>
        <v>ODETTE</v>
      </c>
      <c r="P15" s="15" t="str">
        <f>_xlfn.XLOOKUP($D15,'[1]$_DATI_DI_BASE'!$E$65:$E$81,'[1]$_DATI_DI_BASE'!$J$65:$J$81)</f>
        <v>600x400x320</v>
      </c>
      <c r="Q15" s="16">
        <f>_xlfn.XLOOKUP($D15,'[1]$_DATI_DI_BASE'!$E$65:$E$81,'[1]$_DATI_DI_BASE'!$L$65:$L$81)</f>
        <v>20</v>
      </c>
      <c r="R15" s="14">
        <f t="shared" ref="R15:R16" si="19">ROUND(N15/(Q15*S15*4),0)</f>
        <v>323</v>
      </c>
      <c r="S15" s="20">
        <v>4</v>
      </c>
      <c r="T15" s="14">
        <f>ROUNDUP(N15/$G$2*$Q$39,0)</f>
        <v>23511</v>
      </c>
      <c r="U15" s="20">
        <f t="shared" ref="U15:U21" si="20">ROUNDUP(T15/(Q15*S15*4),0)</f>
        <v>74</v>
      </c>
      <c r="V15" s="14">
        <f>ROUNDUP(T15/$Q$39*$R$39,0)</f>
        <v>9405</v>
      </c>
      <c r="W15" s="63">
        <f t="shared" si="13"/>
        <v>32916</v>
      </c>
      <c r="X15" s="15">
        <f>ROUNDUP(W15/(Q15*S15*4),0)</f>
        <v>103</v>
      </c>
      <c r="Y15" s="15">
        <f t="shared" si="14"/>
        <v>21161</v>
      </c>
      <c r="Z15" s="17">
        <f>mag_completo!$G$2/AA15</f>
        <v>4.5001275998468806</v>
      </c>
      <c r="AA15" s="59">
        <f t="shared" si="3"/>
        <v>4.8887502658254762</v>
      </c>
      <c r="AB15" t="s">
        <v>38</v>
      </c>
      <c r="AC15">
        <v>103</v>
      </c>
      <c r="AD15">
        <f t="shared" ref="AD15:AD21" si="21">AC15/2</f>
        <v>51.5</v>
      </c>
      <c r="AE15">
        <f t="shared" ref="AE15:AE21" si="22">AD15*0.8*1.2</f>
        <v>49.440000000000005</v>
      </c>
      <c r="AG15" s="60">
        <f t="shared" si="4"/>
        <v>4.8887502658254762</v>
      </c>
      <c r="AH15" s="60">
        <v>8.798002517488289</v>
      </c>
      <c r="AJ15" s="61">
        <f t="shared" si="15"/>
        <v>6.6179132054252771E-2</v>
      </c>
      <c r="AK15" s="61">
        <f t="shared" si="16"/>
        <v>0.6618685531852001</v>
      </c>
      <c r="AM15" t="str">
        <f t="shared" si="6"/>
        <v>A</v>
      </c>
      <c r="AN15" s="96">
        <v>8.798002517488289</v>
      </c>
      <c r="AO15" t="s">
        <v>42</v>
      </c>
      <c r="BA15" t="str">
        <f t="shared" si="7"/>
        <v>EST_STAMP_003</v>
      </c>
      <c r="BE15">
        <f t="shared" si="8"/>
        <v>21160.5</v>
      </c>
      <c r="BF15">
        <v>2677.5</v>
      </c>
      <c r="BG15" s="61">
        <f t="shared" si="17"/>
        <v>3.0043761220825853E-2</v>
      </c>
      <c r="BH15" s="61">
        <f t="shared" si="18"/>
        <v>0.8946532764811489</v>
      </c>
      <c r="BI15" t="s">
        <v>31</v>
      </c>
      <c r="BJ15" s="60">
        <v>2677.5</v>
      </c>
      <c r="BK15" t="s">
        <v>36</v>
      </c>
      <c r="BL15" t="str">
        <f t="shared" si="9"/>
        <v>EST_ELETTR_002</v>
      </c>
    </row>
    <row r="16" spans="1:64" ht="16" x14ac:dyDescent="0.2">
      <c r="A16" s="430"/>
      <c r="B16" s="401"/>
      <c r="C16" s="8" t="str">
        <f>'[1]$_DATI_DI_BASE'!F45</f>
        <v>EST_SICUR_002</v>
      </c>
      <c r="D16" s="429" t="str">
        <f>'[1]$_DATI_DI_BASE'!I45</f>
        <v>CORNICE AIR BAG</v>
      </c>
      <c r="E16" s="429"/>
      <c r="F16" s="429"/>
      <c r="G16" s="429"/>
      <c r="H16" s="429"/>
      <c r="I16" s="429"/>
      <c r="J16" s="14">
        <f>'[1]$_MAG_BUFFER'!$I$12</f>
        <v>25581.599999999999</v>
      </c>
      <c r="K16" s="14">
        <f>'[1]$_MAG_BUFFER'!$J$12</f>
        <v>34108.800000000003</v>
      </c>
      <c r="L16" s="14">
        <f>'[2]$_MAG_BUFFER'!$J$12</f>
        <v>23562</v>
      </c>
      <c r="M16" s="14">
        <f>'[2]$_MAG_BUFFER'!$K$12</f>
        <v>20196</v>
      </c>
      <c r="N16" s="14">
        <f t="shared" si="10"/>
        <v>103448.4</v>
      </c>
      <c r="O16" s="15" t="str">
        <f>_xlfn.XLOOKUP($D16,'[1]$_DATI_DI_BASE'!$E$65:$E$81,'[1]$_DATI_DI_BASE'!$D$65:$D$81)</f>
        <v>ODETTE</v>
      </c>
      <c r="P16" s="15" t="str">
        <f>_xlfn.XLOOKUP($D16,'[1]$_DATI_DI_BASE'!$E$65:$E$81,'[1]$_DATI_DI_BASE'!$J$65:$J$81)</f>
        <v>600x400x320</v>
      </c>
      <c r="Q16" s="16">
        <f>_xlfn.XLOOKUP($D16,'[1]$_DATI_DI_BASE'!$E$65:$E$81,'[1]$_DATI_DI_BASE'!$L$65:$L$81)</f>
        <v>50</v>
      </c>
      <c r="R16" s="14">
        <f t="shared" si="19"/>
        <v>129</v>
      </c>
      <c r="S16" s="20">
        <v>4</v>
      </c>
      <c r="T16" s="14">
        <f>ROUNDUP(N16/$G$2*$Q$39,0)</f>
        <v>23511</v>
      </c>
      <c r="U16" s="20">
        <f t="shared" si="20"/>
        <v>30</v>
      </c>
      <c r="V16" s="14">
        <f>ROUNDUP(T16/$Q$39*$R$39,0)</f>
        <v>9405</v>
      </c>
      <c r="W16" s="63">
        <f t="shared" si="13"/>
        <v>32916</v>
      </c>
      <c r="X16" s="15">
        <f t="shared" ref="X16:X21" si="23">ROUNDUP(W16/(Q16*S16*4),0)</f>
        <v>42</v>
      </c>
      <c r="Y16" s="15">
        <f t="shared" si="14"/>
        <v>21161</v>
      </c>
      <c r="Z16" s="17">
        <f>mag_completo!$G$2/AA16</f>
        <v>4.5001275998468806</v>
      </c>
      <c r="AA16" s="59">
        <f t="shared" si="3"/>
        <v>4.8887502658254762</v>
      </c>
      <c r="AB16" t="s">
        <v>41</v>
      </c>
      <c r="AC16">
        <v>42</v>
      </c>
      <c r="AD16">
        <f t="shared" si="21"/>
        <v>21</v>
      </c>
      <c r="AE16">
        <f t="shared" si="22"/>
        <v>20.16</v>
      </c>
      <c r="AG16" s="60">
        <f t="shared" si="4"/>
        <v>4.8887502658254762</v>
      </c>
      <c r="AH16" s="60">
        <v>8.7954615781330592</v>
      </c>
      <c r="AJ16" s="61">
        <f t="shared" si="15"/>
        <v>6.6160018947522312E-2</v>
      </c>
      <c r="AK16" s="61">
        <f t="shared" si="16"/>
        <v>0.72802857213272243</v>
      </c>
      <c r="AM16" t="str">
        <f t="shared" si="6"/>
        <v>A</v>
      </c>
      <c r="AN16" s="96">
        <v>8.7954615781330592</v>
      </c>
      <c r="AO16" t="s">
        <v>61</v>
      </c>
      <c r="BA16" t="str">
        <f t="shared" si="7"/>
        <v>EST_ELETTR_003</v>
      </c>
      <c r="BE16">
        <f t="shared" si="8"/>
        <v>21160.5</v>
      </c>
      <c r="BF16">
        <v>1979</v>
      </c>
      <c r="BG16" s="61">
        <f t="shared" si="17"/>
        <v>2.2206014362657091E-2</v>
      </c>
      <c r="BH16" s="61">
        <f t="shared" si="18"/>
        <v>0.91685929084380602</v>
      </c>
      <c r="BI16" t="s">
        <v>31</v>
      </c>
      <c r="BJ16" s="60">
        <v>1979</v>
      </c>
      <c r="BK16" t="s">
        <v>39</v>
      </c>
      <c r="BL16" t="str">
        <f t="shared" si="9"/>
        <v>EST_STAMP_002</v>
      </c>
    </row>
    <row r="17" spans="1:64" ht="16" x14ac:dyDescent="0.2">
      <c r="A17" s="430"/>
      <c r="B17" s="401"/>
      <c r="C17" s="8" t="str">
        <f>'[1]$_DATI_DI_BASE'!F46</f>
        <v>EST_ELETTR_001</v>
      </c>
      <c r="D17" s="429" t="str">
        <f>'[1]$_DATI_DI_BASE'!I46</f>
        <v>CENTRALINA ELETTRONICA A1</v>
      </c>
      <c r="E17" s="429"/>
      <c r="F17" s="429"/>
      <c r="G17" s="429"/>
      <c r="H17" s="429"/>
      <c r="I17" s="429"/>
      <c r="J17" s="14">
        <f>'[1]$_MAG_BUFFER'!$I$13</f>
        <v>25581.599999999999</v>
      </c>
      <c r="K17" s="14">
        <f>_xlfn.XLOOKUP($D17,'[1]$_FABBISOGNI'!$H$12:$H$20,'[1]$_FABBISOGNI'!$P$12:$P$20,0)</f>
        <v>0</v>
      </c>
      <c r="L17" s="14">
        <v>0</v>
      </c>
      <c r="M17" s="14">
        <v>0</v>
      </c>
      <c r="N17" s="14">
        <f t="shared" si="10"/>
        <v>25581.599999999999</v>
      </c>
      <c r="O17" s="15" t="str">
        <f>_xlfn.XLOOKUP($D17,'[1]$_DATI_DI_BASE'!$E$65:$E$81,'[1]$_DATI_DI_BASE'!$D$65:$D$81)</f>
        <v>ODETTE</v>
      </c>
      <c r="P17" s="15" t="str">
        <f>_xlfn.XLOOKUP($D17,'[1]$_DATI_DI_BASE'!$E$65:$E$81,'[1]$_DATI_DI_BASE'!$J$65:$J$81)</f>
        <v>600x400x320</v>
      </c>
      <c r="Q17" s="16">
        <f>_xlfn.XLOOKUP($D17,'[1]$_DATI_DI_BASE'!$E$65:$E$81,'[1]$_DATI_DI_BASE'!$L$65:$L$81)</f>
        <v>50</v>
      </c>
      <c r="R17" s="14">
        <f>ROUND(N17/(Q17*S17*4),0)</f>
        <v>64</v>
      </c>
      <c r="S17" s="20">
        <v>2</v>
      </c>
      <c r="T17" s="14">
        <f>ROUNDUP(N17/$G$2*$Q$41,0)</f>
        <v>3489</v>
      </c>
      <c r="U17" s="20">
        <f>ROUNDUP(T17/(Q17*S17*4),0)</f>
        <v>9</v>
      </c>
      <c r="V17" s="14">
        <f>ROUNDUP(T17/$Q$41*$R$41,0)</f>
        <v>1163</v>
      </c>
      <c r="W17" s="63">
        <f t="shared" si="13"/>
        <v>4652</v>
      </c>
      <c r="X17" s="15">
        <f t="shared" si="23"/>
        <v>12</v>
      </c>
      <c r="Y17" s="15">
        <f t="shared" si="14"/>
        <v>2908</v>
      </c>
      <c r="Z17" s="17">
        <f>mag_completo!$G$2/AA17</f>
        <v>2.5004299965600278</v>
      </c>
      <c r="AA17" s="59">
        <f t="shared" si="3"/>
        <v>8.7984866723989672</v>
      </c>
      <c r="AB17" t="s">
        <v>57</v>
      </c>
      <c r="AC17">
        <v>12</v>
      </c>
      <c r="AD17">
        <f t="shared" si="21"/>
        <v>6</v>
      </c>
      <c r="AE17">
        <f t="shared" si="22"/>
        <v>5.7600000000000007</v>
      </c>
      <c r="AG17" s="60">
        <f t="shared" si="4"/>
        <v>8.7984866723989672</v>
      </c>
      <c r="AH17" s="60">
        <v>8.7935568365800094</v>
      </c>
      <c r="AJ17" s="61">
        <f t="shared" si="15"/>
        <v>6.6145691360945932E-2</v>
      </c>
      <c r="AK17" s="61">
        <f t="shared" si="16"/>
        <v>0.79417426349366838</v>
      </c>
      <c r="AM17" t="str">
        <f t="shared" si="6"/>
        <v>A</v>
      </c>
      <c r="AN17" s="96">
        <v>8.7935568365800094</v>
      </c>
      <c r="AO17" t="s">
        <v>39</v>
      </c>
      <c r="BA17" t="str">
        <f t="shared" si="7"/>
        <v>EST_STAMP_002</v>
      </c>
      <c r="BE17">
        <f t="shared" si="8"/>
        <v>2907.5</v>
      </c>
      <c r="BF17">
        <v>1979</v>
      </c>
      <c r="BG17" s="61">
        <f t="shared" si="17"/>
        <v>2.2206014362657091E-2</v>
      </c>
      <c r="BH17" s="61">
        <f t="shared" si="18"/>
        <v>0.93906530520646314</v>
      </c>
      <c r="BI17" t="s">
        <v>31</v>
      </c>
      <c r="BJ17" s="60">
        <v>1979</v>
      </c>
      <c r="BK17" t="s">
        <v>45</v>
      </c>
      <c r="BL17" t="str">
        <f t="shared" si="9"/>
        <v>EST_STAMP_004</v>
      </c>
    </row>
    <row r="18" spans="1:64" ht="16" x14ac:dyDescent="0.2">
      <c r="A18" s="430"/>
      <c r="B18" s="401"/>
      <c r="C18" s="8" t="s">
        <v>62</v>
      </c>
      <c r="D18" s="426" t="s">
        <v>63</v>
      </c>
      <c r="E18" s="427"/>
      <c r="F18" s="427"/>
      <c r="G18" s="427"/>
      <c r="H18" s="427"/>
      <c r="I18" s="428"/>
      <c r="J18" s="20">
        <v>0</v>
      </c>
      <c r="K18" s="14">
        <v>0</v>
      </c>
      <c r="L18" s="14">
        <f>'[2]$_MAG_BUFFER'!$J$13</f>
        <v>23562</v>
      </c>
      <c r="M18" s="14">
        <v>0</v>
      </c>
      <c r="N18" s="14">
        <f t="shared" si="10"/>
        <v>23562</v>
      </c>
      <c r="O18" s="15" t="s">
        <v>64</v>
      </c>
      <c r="P18" s="15" t="s">
        <v>65</v>
      </c>
      <c r="Q18" s="14">
        <v>50</v>
      </c>
      <c r="R18" s="14">
        <f t="shared" ref="R18:R21" si="24">ROUND(N18/(Q18*S18*4),0)</f>
        <v>59</v>
      </c>
      <c r="S18" s="20">
        <v>2</v>
      </c>
      <c r="T18" s="14">
        <f>ROUNDUP(N18/$G$2*$Q$41,0)</f>
        <v>3213</v>
      </c>
      <c r="U18" s="20">
        <f t="shared" si="20"/>
        <v>9</v>
      </c>
      <c r="V18" s="14">
        <f t="shared" ref="V18:V21" si="25">ROUNDUP(T18/$Q$41*$R$41,0)</f>
        <v>1071</v>
      </c>
      <c r="W18" s="63">
        <f t="shared" si="13"/>
        <v>4284</v>
      </c>
      <c r="X18" s="15">
        <f t="shared" si="23"/>
        <v>11</v>
      </c>
      <c r="Y18" s="15">
        <f t="shared" si="14"/>
        <v>2678</v>
      </c>
      <c r="Z18" s="17">
        <f>mag_completo!$G$2/AA18</f>
        <v>2.5</v>
      </c>
      <c r="AA18" s="59">
        <f t="shared" si="3"/>
        <v>8.8000000000000007</v>
      </c>
      <c r="AB18" t="s">
        <v>36</v>
      </c>
      <c r="AC18">
        <v>11</v>
      </c>
      <c r="AD18">
        <f t="shared" si="21"/>
        <v>5.5</v>
      </c>
      <c r="AE18">
        <f t="shared" si="22"/>
        <v>5.28</v>
      </c>
      <c r="AG18" s="60">
        <f t="shared" si="4"/>
        <v>8.8000000000000007</v>
      </c>
      <c r="AH18" s="60">
        <v>8.7935568365800094</v>
      </c>
      <c r="AJ18" s="61">
        <f t="shared" si="15"/>
        <v>6.6145691360945932E-2</v>
      </c>
      <c r="AK18" s="61">
        <f t="shared" si="16"/>
        <v>0.86031995485461432</v>
      </c>
      <c r="AM18" t="str">
        <f t="shared" si="6"/>
        <v>B</v>
      </c>
      <c r="AN18" s="96">
        <v>8.7935568365800094</v>
      </c>
      <c r="AO18" t="s">
        <v>45</v>
      </c>
      <c r="BA18" t="str">
        <f t="shared" si="7"/>
        <v>EST_STAMP_004</v>
      </c>
      <c r="BE18">
        <f t="shared" si="8"/>
        <v>2677.5</v>
      </c>
      <c r="BF18">
        <v>1939</v>
      </c>
      <c r="BG18" s="61">
        <f t="shared" si="17"/>
        <v>2.1757181328545781E-2</v>
      </c>
      <c r="BH18" s="61">
        <f t="shared" si="18"/>
        <v>0.9608224865350089</v>
      </c>
      <c r="BI18" t="s">
        <v>66</v>
      </c>
      <c r="BJ18" s="60">
        <v>1939</v>
      </c>
      <c r="BK18" t="s">
        <v>61</v>
      </c>
      <c r="BL18" t="str">
        <f t="shared" si="9"/>
        <v>EST_ELETTR_003</v>
      </c>
    </row>
    <row r="19" spans="1:64" ht="16" x14ac:dyDescent="0.2">
      <c r="A19" s="430"/>
      <c r="B19" s="401"/>
      <c r="C19" s="8" t="str">
        <f>'[1]$_DATI_DI_BASE'!F56</f>
        <v>EST_ELETTR_003</v>
      </c>
      <c r="D19" s="426" t="str">
        <f>'[1]$_DATI_DI_BASE'!I56</f>
        <v>CENTRALINA ELETTRONICA B</v>
      </c>
      <c r="E19" s="427"/>
      <c r="F19" s="427"/>
      <c r="G19" s="427"/>
      <c r="H19" s="427"/>
      <c r="I19" s="428"/>
      <c r="J19" s="14">
        <f>_xlfn.XLOOKUP($D19,'[1]$_FABBISOGNI'!$H$3:$H$11,'[1]$_FABBISOGNI'!$P$3:$P$11,0)</f>
        <v>0</v>
      </c>
      <c r="K19" s="14">
        <f>'[1]$_MAG_BUFFER'!$J$14</f>
        <v>17054.400000000001</v>
      </c>
      <c r="L19" s="14">
        <v>0</v>
      </c>
      <c r="M19" s="14">
        <v>0</v>
      </c>
      <c r="N19" s="14">
        <f t="shared" si="10"/>
        <v>17054.400000000001</v>
      </c>
      <c r="O19" s="15" t="str">
        <f>_xlfn.XLOOKUP($D19,'[1]$_DATI_DI_BASE'!$E$65:$E$81,'[1]$_DATI_DI_BASE'!$D$65:$D$81)</f>
        <v>ODETTE</v>
      </c>
      <c r="P19" s="15" t="str">
        <f>_xlfn.XLOOKUP($D19,'[1]$_DATI_DI_BASE'!$E$65:$E$81,'[1]$_DATI_DI_BASE'!$J$65:$J$81)</f>
        <v>600x400x320</v>
      </c>
      <c r="Q19" s="16">
        <f>_xlfn.XLOOKUP($D19,'[1]$_DATI_DI_BASE'!$E$65:$E$81,'[1]$_DATI_DI_BASE'!$L$65:$L$81)</f>
        <v>50</v>
      </c>
      <c r="R19" s="14">
        <f t="shared" si="24"/>
        <v>43</v>
      </c>
      <c r="S19" s="20">
        <v>2</v>
      </c>
      <c r="T19" s="14">
        <f>ROUNDUP(N19/$G$2*$Q$41,0)</f>
        <v>2326</v>
      </c>
      <c r="U19" s="20">
        <f t="shared" si="20"/>
        <v>6</v>
      </c>
      <c r="V19" s="14">
        <f t="shared" si="25"/>
        <v>776</v>
      </c>
      <c r="W19" s="63">
        <f t="shared" si="13"/>
        <v>3102</v>
      </c>
      <c r="X19" s="15">
        <f t="shared" si="23"/>
        <v>8</v>
      </c>
      <c r="Y19" s="15">
        <f t="shared" si="14"/>
        <v>1939</v>
      </c>
      <c r="Z19" s="17">
        <f>mag_completo!$G$2/AA19</f>
        <v>2.5012899896800822</v>
      </c>
      <c r="AA19" s="59">
        <f t="shared" si="3"/>
        <v>8.7954615781330592</v>
      </c>
      <c r="AB19" t="s">
        <v>61</v>
      </c>
      <c r="AC19">
        <v>8</v>
      </c>
      <c r="AD19">
        <f t="shared" si="21"/>
        <v>4</v>
      </c>
      <c r="AE19">
        <f t="shared" si="22"/>
        <v>3.84</v>
      </c>
      <c r="AG19" s="60">
        <f t="shared" si="4"/>
        <v>8.7954615781330592</v>
      </c>
      <c r="AH19" s="60">
        <v>8.7918785261544894</v>
      </c>
      <c r="AJ19" s="61">
        <f t="shared" si="15"/>
        <v>6.6133067003649168E-2</v>
      </c>
      <c r="AK19" s="61">
        <f t="shared" si="16"/>
        <v>0.9264530218582635</v>
      </c>
      <c r="AM19" t="str">
        <f t="shared" si="6"/>
        <v>B</v>
      </c>
      <c r="AN19" s="96">
        <v>8.7918785261544894</v>
      </c>
      <c r="AO19" t="s">
        <v>60</v>
      </c>
      <c r="BA19" t="str">
        <f t="shared" si="7"/>
        <v>EST_STAMP_008</v>
      </c>
      <c r="BE19">
        <f t="shared" si="8"/>
        <v>1939</v>
      </c>
      <c r="BF19">
        <v>1172</v>
      </c>
      <c r="BG19" s="61">
        <f t="shared" si="17"/>
        <v>1.31508078994614E-2</v>
      </c>
      <c r="BH19" s="61">
        <f t="shared" si="18"/>
        <v>0.97397329443447034</v>
      </c>
      <c r="BI19" t="s">
        <v>66</v>
      </c>
      <c r="BJ19" s="60">
        <v>1172</v>
      </c>
      <c r="BK19" t="s">
        <v>53</v>
      </c>
      <c r="BL19" t="str">
        <f t="shared" si="9"/>
        <v>EST_STAMP_006</v>
      </c>
    </row>
    <row r="20" spans="1:64" ht="16" x14ac:dyDescent="0.2">
      <c r="A20" s="430"/>
      <c r="B20" s="401"/>
      <c r="C20" s="8" t="s">
        <v>67</v>
      </c>
      <c r="D20" s="426" t="s">
        <v>68</v>
      </c>
      <c r="E20" s="427"/>
      <c r="F20" s="427"/>
      <c r="G20" s="427"/>
      <c r="H20" s="427"/>
      <c r="I20" s="428"/>
      <c r="J20" s="14">
        <v>0</v>
      </c>
      <c r="K20" s="20">
        <v>0</v>
      </c>
      <c r="L20" s="14">
        <v>0</v>
      </c>
      <c r="M20" s="14">
        <f>'[2]$_MAG_BUFFER'!$K$14</f>
        <v>10098</v>
      </c>
      <c r="N20" s="14">
        <f t="shared" si="10"/>
        <v>10098</v>
      </c>
      <c r="O20" s="15" t="s">
        <v>64</v>
      </c>
      <c r="P20" s="15" t="s">
        <v>65</v>
      </c>
      <c r="Q20" s="14">
        <v>50</v>
      </c>
      <c r="R20" s="14">
        <f t="shared" si="24"/>
        <v>25</v>
      </c>
      <c r="S20" s="20">
        <v>2</v>
      </c>
      <c r="T20" s="14">
        <f>ROUNDUP(N20/$G$2*$Q$41,0)</f>
        <v>1377</v>
      </c>
      <c r="U20" s="20">
        <f t="shared" si="20"/>
        <v>4</v>
      </c>
      <c r="V20" s="14">
        <f t="shared" si="25"/>
        <v>459</v>
      </c>
      <c r="W20" s="63">
        <f t="shared" si="13"/>
        <v>1836</v>
      </c>
      <c r="X20" s="15">
        <f t="shared" si="23"/>
        <v>5</v>
      </c>
      <c r="Y20" s="15">
        <f t="shared" si="14"/>
        <v>1148</v>
      </c>
      <c r="Z20" s="17">
        <f>mag_completo!$G$2/AA20</f>
        <v>2.5</v>
      </c>
      <c r="AA20" s="59">
        <f t="shared" si="3"/>
        <v>8.8000000000000007</v>
      </c>
      <c r="AB20" t="s">
        <v>40</v>
      </c>
      <c r="AC20">
        <v>5</v>
      </c>
      <c r="AD20">
        <f t="shared" si="21"/>
        <v>2.5</v>
      </c>
      <c r="AE20">
        <f t="shared" si="22"/>
        <v>2.4</v>
      </c>
      <c r="AG20" s="60">
        <f t="shared" si="4"/>
        <v>8.8000000000000007</v>
      </c>
      <c r="AH20" s="60">
        <v>4.8887502658254762</v>
      </c>
      <c r="AJ20" s="61">
        <f t="shared" si="15"/>
        <v>3.6773489070868311E-2</v>
      </c>
      <c r="AK20" s="61">
        <f t="shared" si="16"/>
        <v>0.96322651092913181</v>
      </c>
      <c r="AM20" t="str">
        <f t="shared" si="6"/>
        <v>C</v>
      </c>
      <c r="AN20" s="96">
        <v>4.8887502658254762</v>
      </c>
      <c r="AO20" t="s">
        <v>38</v>
      </c>
      <c r="BA20" t="str">
        <f t="shared" si="7"/>
        <v>EST_SICUR_001</v>
      </c>
      <c r="BE20">
        <f t="shared" si="8"/>
        <v>1147.5</v>
      </c>
      <c r="BF20">
        <v>1172</v>
      </c>
      <c r="BG20" s="61">
        <f t="shared" si="17"/>
        <v>1.31508078994614E-2</v>
      </c>
      <c r="BH20" s="61">
        <f t="shared" si="18"/>
        <v>0.98712410233393177</v>
      </c>
      <c r="BI20" t="s">
        <v>66</v>
      </c>
      <c r="BJ20" s="60">
        <v>1172</v>
      </c>
      <c r="BK20" t="s">
        <v>60</v>
      </c>
      <c r="BL20" t="str">
        <f t="shared" si="9"/>
        <v>EST_STAMP_008</v>
      </c>
    </row>
    <row r="21" spans="1:64" ht="16" x14ac:dyDescent="0.2">
      <c r="A21" s="431"/>
      <c r="B21" s="404"/>
      <c r="C21" s="8" t="str">
        <f>'[1]$_DATI_DI_BASE'!F57</f>
        <v>EST_ELETTR_005</v>
      </c>
      <c r="D21" s="429" t="str">
        <f>'[1]$_DATI_DI_BASE'!I57</f>
        <v>CAVO ELETTRICO COMPLETO</v>
      </c>
      <c r="E21" s="429"/>
      <c r="F21" s="429"/>
      <c r="G21" s="429"/>
      <c r="H21" s="429"/>
      <c r="I21" s="429"/>
      <c r="J21" s="14">
        <f>'[1]$_MAG_BUFFER'!$I$15</f>
        <v>25581.599999999999</v>
      </c>
      <c r="K21" s="14">
        <f>'[1]$_MAG_BUFFER'!$J$15</f>
        <v>17054.400000000001</v>
      </c>
      <c r="L21" s="14">
        <f>'[2]$_MAG_BUFFER'!$J$15</f>
        <v>23562</v>
      </c>
      <c r="M21" s="14">
        <f>'[2]$_MAG_BUFFER'!$K$15</f>
        <v>10098</v>
      </c>
      <c r="N21" s="14">
        <f t="shared" si="10"/>
        <v>76296</v>
      </c>
      <c r="O21" s="15" t="str">
        <f>_xlfn.XLOOKUP($D21,'[1]$_DATI_DI_BASE'!$E$65:$E$81,'[1]$_DATI_DI_BASE'!$D$65:$D$81)</f>
        <v>ODETTE</v>
      </c>
      <c r="P21" s="15" t="str">
        <f>_xlfn.XLOOKUP($D21,'[1]$_DATI_DI_BASE'!$E$65:$E$81,'[1]$_DATI_DI_BASE'!$J$65:$J$81)</f>
        <v>600x400x320</v>
      </c>
      <c r="Q21" s="16">
        <f>_xlfn.XLOOKUP($D21,'[1]$_DATI_DI_BASE'!$E$65:$E$81,'[1]$_DATI_DI_BASE'!$L$65:$L$81)</f>
        <v>16</v>
      </c>
      <c r="R21" s="14">
        <f t="shared" si="24"/>
        <v>298</v>
      </c>
      <c r="S21" s="20">
        <v>4</v>
      </c>
      <c r="T21" s="14">
        <f>ROUNDUP(N21/$G$2*$Q$41,0)</f>
        <v>10404</v>
      </c>
      <c r="U21" s="20">
        <f t="shared" si="20"/>
        <v>41</v>
      </c>
      <c r="V21" s="14">
        <f t="shared" si="25"/>
        <v>3468</v>
      </c>
      <c r="W21" s="63">
        <f t="shared" si="13"/>
        <v>13872</v>
      </c>
      <c r="X21" s="15">
        <f t="shared" si="23"/>
        <v>55</v>
      </c>
      <c r="Y21" s="15">
        <f t="shared" si="14"/>
        <v>8670</v>
      </c>
      <c r="Z21" s="17">
        <f>mag_completo!$G$2/AA21</f>
        <v>2.5</v>
      </c>
      <c r="AA21" s="59">
        <f t="shared" si="3"/>
        <v>8.8000000000000007</v>
      </c>
      <c r="AB21" t="s">
        <v>43</v>
      </c>
      <c r="AC21">
        <v>55</v>
      </c>
      <c r="AD21">
        <f t="shared" si="21"/>
        <v>27.5</v>
      </c>
      <c r="AE21">
        <f t="shared" si="22"/>
        <v>26.4</v>
      </c>
      <c r="AG21" s="60">
        <f t="shared" si="4"/>
        <v>8.8000000000000007</v>
      </c>
      <c r="AH21" s="60">
        <v>4.8887502658254762</v>
      </c>
      <c r="AJ21" s="61">
        <f t="shared" si="15"/>
        <v>3.6773489070868311E-2</v>
      </c>
      <c r="AK21" s="61">
        <f t="shared" si="16"/>
        <v>1.0000000000000002</v>
      </c>
      <c r="AM21" t="str">
        <f t="shared" si="6"/>
        <v>C</v>
      </c>
      <c r="AN21" s="96">
        <v>4.8887502658254762</v>
      </c>
      <c r="AO21" t="s">
        <v>41</v>
      </c>
      <c r="BA21" t="str">
        <f t="shared" si="7"/>
        <v>EST_SICUR_002</v>
      </c>
      <c r="BE21">
        <f t="shared" si="8"/>
        <v>8670</v>
      </c>
      <c r="BF21">
        <v>1147.5</v>
      </c>
      <c r="BG21" s="61">
        <f>BF21/$BE$22</f>
        <v>1.2875897666068222E-2</v>
      </c>
      <c r="BH21" s="61">
        <f t="shared" si="18"/>
        <v>1</v>
      </c>
      <c r="BI21" t="s">
        <v>66</v>
      </c>
      <c r="BJ21" s="60">
        <v>1147.5</v>
      </c>
      <c r="BK21" t="s">
        <v>40</v>
      </c>
      <c r="BL21" t="str">
        <f t="shared" si="9"/>
        <v>EST_ELETTR_004</v>
      </c>
    </row>
    <row r="22" spans="1:64" ht="16" x14ac:dyDescent="0.2">
      <c r="O22" s="3"/>
      <c r="P22" s="3"/>
      <c r="Q22" s="3"/>
      <c r="R22" s="9"/>
      <c r="T22" s="10"/>
      <c r="V22" s="10"/>
      <c r="W22" s="10"/>
      <c r="X22" s="10"/>
      <c r="Y22" s="10"/>
      <c r="Z22" s="10"/>
      <c r="AA22" s="10"/>
      <c r="AG22" t="s">
        <v>69</v>
      </c>
      <c r="AH22" s="60">
        <f>SUM(AH6:AH21)</f>
        <v>132.94224696503733</v>
      </c>
      <c r="AJ22" s="61">
        <f t="shared" si="15"/>
        <v>1</v>
      </c>
      <c r="BD22" t="s">
        <v>69</v>
      </c>
      <c r="BE22">
        <f>SUM(BE6:BE21)</f>
        <v>89120</v>
      </c>
      <c r="BG22" s="142">
        <f>SUM(BG6:BG21)</f>
        <v>1</v>
      </c>
      <c r="BH22" s="61"/>
    </row>
    <row r="23" spans="1:64" ht="16.5" customHeight="1" x14ac:dyDescent="0.2">
      <c r="A23" s="432" t="s">
        <v>70</v>
      </c>
      <c r="B23" s="433"/>
      <c r="C23" s="8" t="str">
        <f>'[1]$_DATI_DI_BASE'!F39</f>
        <v>INT_ASS_001</v>
      </c>
      <c r="D23" s="429" t="str">
        <f>'[1]$_DATI_DI_BASE'!I39</f>
        <v>PLANCIA SEGMENTO A1</v>
      </c>
      <c r="E23" s="429"/>
      <c r="F23" s="429"/>
      <c r="G23" s="429"/>
      <c r="H23" s="429"/>
      <c r="I23" s="429"/>
      <c r="J23" s="14">
        <f>'[1]$_MAG_BUFFER'!$I$17</f>
        <v>25581.599999999999</v>
      </c>
      <c r="K23" s="14">
        <f>_xlfn.XLOOKUP($D23,'[1]$_FABBISOGNI'!$H$12:$H$20,'[1]$_FABBISOGNI'!$P$12:$P$20,0)</f>
        <v>0</v>
      </c>
      <c r="L23" s="14">
        <v>0</v>
      </c>
      <c r="M23" s="14">
        <v>0</v>
      </c>
      <c r="N23" s="14">
        <f t="shared" si="10"/>
        <v>25581.599999999999</v>
      </c>
      <c r="O23" s="15" t="str">
        <f>_xlfn.XLOOKUP($D23,'[1]$_DATI_DI_BASE'!$E$65:$E$81,'[1]$_DATI_DI_BASE'!$D$65:$D$81)</f>
        <v>PED+SCA</v>
      </c>
      <c r="P23" s="15" t="str">
        <f>_xlfn.XLOOKUP($D23,'[1]$_DATI_DI_BASE'!$E$65:$E$81,'[1]$_DATI_DI_BASE'!$J$65:$J$81)</f>
        <v>1800x800x800</v>
      </c>
      <c r="Q23" s="16">
        <f>_xlfn.XLOOKUP($D23,'[1]$_DATI_DI_BASE'!$E$65:$E$81,'[1]$_DATI_DI_BASE'!$L$65:$L$81)</f>
        <v>4</v>
      </c>
      <c r="R23" s="14">
        <f t="shared" si="11"/>
        <v>6395</v>
      </c>
      <c r="S23" s="20">
        <v>2</v>
      </c>
      <c r="T23" s="18">
        <f>'[3]$_FABBISOGNI'!$P$24</f>
        <v>3654.5142857142855</v>
      </c>
      <c r="U23" s="20">
        <f>ROUNDUP(T23/Q23,0)</f>
        <v>914</v>
      </c>
      <c r="V23" s="19">
        <f>T23*$I$2</f>
        <v>730.9028571428571</v>
      </c>
      <c r="W23" s="14">
        <f t="shared" si="13"/>
        <v>4385.4171428571426</v>
      </c>
      <c r="X23" s="15">
        <f>ROUNDUP(W23/Q23,0)</f>
        <v>1097</v>
      </c>
      <c r="Y23" s="15">
        <f t="shared" si="14"/>
        <v>2559</v>
      </c>
      <c r="Z23" s="17">
        <f>mag_completo!$G$2/AA23</f>
        <v>2.2000000000000002</v>
      </c>
      <c r="AA23" s="59">
        <f>N23/((T23/2)+V23)</f>
        <v>10</v>
      </c>
      <c r="AB23" s="60"/>
      <c r="AG23" s="60">
        <f>AA23</f>
        <v>10</v>
      </c>
      <c r="AH23" s="93">
        <v>11.666666666666668</v>
      </c>
      <c r="AJ23" s="61">
        <f>AH23/$AH$27</f>
        <v>0.29166666666666669</v>
      </c>
      <c r="AK23" s="61">
        <f>AJ23</f>
        <v>0.29166666666666669</v>
      </c>
      <c r="AM23" t="str">
        <f t="shared" ref="AM23:AM31" si="26">IF(AK23&lt;=80%,"A",IF(AK23&gt;95%,"C","B"))</f>
        <v>A</v>
      </c>
    </row>
    <row r="24" spans="1:64" ht="16" x14ac:dyDescent="0.2">
      <c r="A24" s="430"/>
      <c r="B24" s="401"/>
      <c r="C24" s="8" t="str">
        <f>'[1]$_DATI_DI_BASE'!F49</f>
        <v>INT_ASS_002</v>
      </c>
      <c r="D24" s="429" t="str">
        <f>'[1]$_DATI_DI_BASE'!I49</f>
        <v>PLANCIA SEGMENTO B</v>
      </c>
      <c r="E24" s="429"/>
      <c r="F24" s="429"/>
      <c r="G24" s="429"/>
      <c r="H24" s="429"/>
      <c r="I24" s="429"/>
      <c r="J24" s="14">
        <f>_xlfn.XLOOKUP($D24,'[1]$_FABBISOGNI'!$H$3:$H$11,'[1]$_FABBISOGNI'!$P$3:$P$11,0)</f>
        <v>0</v>
      </c>
      <c r="K24" s="14">
        <f>'[1]$_MAG_BUFFER'!$J$18</f>
        <v>17054.400000000001</v>
      </c>
      <c r="L24" s="14">
        <v>0</v>
      </c>
      <c r="M24" s="14">
        <v>0</v>
      </c>
      <c r="N24" s="14">
        <f t="shared" si="10"/>
        <v>17054.400000000001</v>
      </c>
      <c r="O24" s="15" t="str">
        <f>_xlfn.XLOOKUP($D24,'[1]$_DATI_DI_BASE'!$E$65:$E$81,'[1]$_DATI_DI_BASE'!$D$65:$D$81)</f>
        <v>PED+SCA</v>
      </c>
      <c r="P24" s="15" t="str">
        <f>_xlfn.XLOOKUP($D24,'[1]$_DATI_DI_BASE'!$E$65:$E$81,'[1]$_DATI_DI_BASE'!$J$65:$J$81)</f>
        <v>1800x800x800</v>
      </c>
      <c r="Q24" s="16">
        <f>_xlfn.XLOOKUP($D24,'[1]$_DATI_DI_BASE'!$E$65:$E$81,'[1]$_DATI_DI_BASE'!$L$65:$L$81)</f>
        <v>3</v>
      </c>
      <c r="R24" s="14">
        <f t="shared" si="11"/>
        <v>5685</v>
      </c>
      <c r="S24" s="20">
        <v>2</v>
      </c>
      <c r="T24" s="18">
        <f>'[3]$_FABBISOGNI'!$P$25</f>
        <v>2436.3428571428572</v>
      </c>
      <c r="U24" s="20">
        <f>ROUNDUP(T24/Q24,0)</f>
        <v>813</v>
      </c>
      <c r="V24" s="19">
        <f t="shared" ref="V24:V26" si="27">T24*$I$2</f>
        <v>487.26857142857148</v>
      </c>
      <c r="W24" s="14">
        <f t="shared" si="13"/>
        <v>2923.6114285714284</v>
      </c>
      <c r="X24" s="15">
        <f>ROUNDUP(W24/Q24,0)</f>
        <v>975</v>
      </c>
      <c r="Y24" s="15">
        <f t="shared" si="14"/>
        <v>1706</v>
      </c>
      <c r="Z24" s="17">
        <f>mag_completo!$G$2/AA24</f>
        <v>2.2000000000000002</v>
      </c>
      <c r="AA24" s="59">
        <f>N24/((T24/2)+V24)</f>
        <v>10</v>
      </c>
      <c r="AB24" s="60"/>
      <c r="AE24" t="s">
        <v>71</v>
      </c>
      <c r="AG24" s="60">
        <f>AA24</f>
        <v>10</v>
      </c>
      <c r="AH24" s="93">
        <v>11.666666666666668</v>
      </c>
      <c r="AJ24" s="61">
        <f t="shared" ref="AJ24:AJ26" si="28">AH24/$AH$27</f>
        <v>0.29166666666666669</v>
      </c>
      <c r="AK24" s="61">
        <f>AJ24+AK23</f>
        <v>0.58333333333333337</v>
      </c>
      <c r="AM24" t="str">
        <f t="shared" si="26"/>
        <v>A</v>
      </c>
    </row>
    <row r="25" spans="1:64" ht="16" x14ac:dyDescent="0.2">
      <c r="A25" s="430"/>
      <c r="B25" s="401"/>
      <c r="C25" s="8" t="s">
        <v>72</v>
      </c>
      <c r="D25" s="426" t="s">
        <v>73</v>
      </c>
      <c r="E25" s="427"/>
      <c r="F25" s="427"/>
      <c r="G25" s="427"/>
      <c r="H25" s="427"/>
      <c r="I25" s="428"/>
      <c r="J25" s="20">
        <v>0</v>
      </c>
      <c r="K25" s="20">
        <v>0</v>
      </c>
      <c r="L25" s="14">
        <f>'[2]$_MAG_BUFFER'!$J$17</f>
        <v>23562</v>
      </c>
      <c r="M25" s="14">
        <v>0</v>
      </c>
      <c r="N25" s="14">
        <f t="shared" si="10"/>
        <v>23562</v>
      </c>
      <c r="O25" s="15" t="s">
        <v>48</v>
      </c>
      <c r="P25" s="15" t="s">
        <v>74</v>
      </c>
      <c r="Q25" s="14">
        <v>4</v>
      </c>
      <c r="R25" s="14">
        <f t="shared" si="11"/>
        <v>5891</v>
      </c>
      <c r="S25" s="20">
        <v>2</v>
      </c>
      <c r="T25" s="18">
        <f>'[2]$_FABBISOGNI'!$Q$24</f>
        <v>3366</v>
      </c>
      <c r="U25" s="20">
        <f>ROUNDUP(T25/Q25,0)</f>
        <v>842</v>
      </c>
      <c r="V25" s="19">
        <f t="shared" si="27"/>
        <v>673.2</v>
      </c>
      <c r="W25" s="14">
        <f t="shared" si="13"/>
        <v>4039.2</v>
      </c>
      <c r="X25" s="15">
        <f>ROUNDUP(W25/Q25,0)</f>
        <v>1010</v>
      </c>
      <c r="Y25" s="15">
        <f t="shared" si="14"/>
        <v>2357</v>
      </c>
      <c r="Z25" s="17">
        <f>mag_completo!$G$2/AA25</f>
        <v>2.2000000000000002</v>
      </c>
      <c r="AA25" s="59">
        <f>N25/((T25/2)+V25)</f>
        <v>10</v>
      </c>
      <c r="AB25" s="60"/>
      <c r="AG25" s="60">
        <f>AA25</f>
        <v>10</v>
      </c>
      <c r="AH25" s="93">
        <v>11.666666666666666</v>
      </c>
      <c r="AJ25" s="61">
        <f t="shared" si="28"/>
        <v>0.29166666666666663</v>
      </c>
      <c r="AK25" s="61">
        <f t="shared" ref="AK25:AK26" si="29">AJ25+AK24</f>
        <v>0.875</v>
      </c>
      <c r="AM25" t="str">
        <f t="shared" si="26"/>
        <v>B</v>
      </c>
    </row>
    <row r="26" spans="1:64" ht="16" x14ac:dyDescent="0.2">
      <c r="A26" s="431"/>
      <c r="B26" s="404"/>
      <c r="C26" s="8" t="s">
        <v>75</v>
      </c>
      <c r="D26" s="426" t="s">
        <v>76</v>
      </c>
      <c r="E26" s="427"/>
      <c r="F26" s="427"/>
      <c r="G26" s="427"/>
      <c r="H26" s="427"/>
      <c r="I26" s="428"/>
      <c r="J26" s="20">
        <v>0</v>
      </c>
      <c r="K26" s="20">
        <v>0</v>
      </c>
      <c r="L26" s="14">
        <v>0</v>
      </c>
      <c r="M26" s="14">
        <f>'[2]$_MAG_BUFFER'!$K$18</f>
        <v>10098</v>
      </c>
      <c r="N26" s="14">
        <f t="shared" si="10"/>
        <v>10098</v>
      </c>
      <c r="O26" s="15" t="s">
        <v>48</v>
      </c>
      <c r="P26" s="15" t="s">
        <v>74</v>
      </c>
      <c r="Q26" s="14">
        <v>3</v>
      </c>
      <c r="R26" s="14">
        <f t="shared" si="11"/>
        <v>3366</v>
      </c>
      <c r="S26" s="20">
        <v>2</v>
      </c>
      <c r="T26" s="18">
        <f>'[2]$_FABBISOGNI'!$Q$25</f>
        <v>1442.5714285714287</v>
      </c>
      <c r="U26" s="20">
        <f>ROUNDUP(T26/Q26,0)</f>
        <v>481</v>
      </c>
      <c r="V26" s="19">
        <f t="shared" si="27"/>
        <v>288.51428571428573</v>
      </c>
      <c r="W26" s="14">
        <f t="shared" si="13"/>
        <v>1731.0857142857144</v>
      </c>
      <c r="X26" s="15">
        <f>ROUNDUP(W26/Q26,0)</f>
        <v>578</v>
      </c>
      <c r="Y26" s="15">
        <f t="shared" si="14"/>
        <v>1010</v>
      </c>
      <c r="Z26" s="17">
        <f>mag_completo!$G$2/AA26</f>
        <v>2.2000000000000002</v>
      </c>
      <c r="AA26" s="59">
        <f>N26/((T26/2)+V26)</f>
        <v>10</v>
      </c>
      <c r="AB26" s="60"/>
      <c r="AG26" s="60">
        <f>AA26</f>
        <v>10</v>
      </c>
      <c r="AH26" s="93">
        <v>11.666666666666666</v>
      </c>
      <c r="AJ26" s="61">
        <f t="shared" si="28"/>
        <v>0.29166666666666663</v>
      </c>
      <c r="AK26" s="61">
        <f t="shared" si="29"/>
        <v>1.1666666666666665</v>
      </c>
      <c r="AM26" t="str">
        <f t="shared" si="26"/>
        <v>C</v>
      </c>
    </row>
    <row r="27" spans="1:64" ht="16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2"/>
      <c r="K27" s="12"/>
      <c r="L27" s="12"/>
      <c r="M27" s="12"/>
      <c r="N27" s="12"/>
      <c r="O27" s="12"/>
      <c r="P27" s="12"/>
      <c r="Q27" s="12"/>
      <c r="R27" s="13"/>
      <c r="T27" s="11"/>
      <c r="V27" s="11"/>
      <c r="W27" s="11"/>
      <c r="X27" s="11"/>
      <c r="Y27" s="11"/>
      <c r="Z27" s="11"/>
      <c r="AA27" s="11"/>
      <c r="AG27" s="60" t="s">
        <v>69</v>
      </c>
      <c r="AH27" s="93">
        <v>40</v>
      </c>
      <c r="AJ27" s="61">
        <v>1</v>
      </c>
    </row>
    <row r="28" spans="1:64" ht="16.5" customHeight="1" x14ac:dyDescent="0.2">
      <c r="A28" s="417" t="s">
        <v>77</v>
      </c>
      <c r="B28" s="417"/>
      <c r="C28" s="1" t="str">
        <f>'[1]$_DATI_DI_BASE'!F40</f>
        <v>INT_SAL_001</v>
      </c>
      <c r="D28" s="429" t="str">
        <f>'[1]$_DATI_DI_BASE'!I40</f>
        <v>(CORPO + INSERTO) PLANCIA SEGMENTO A1</v>
      </c>
      <c r="E28" s="429"/>
      <c r="F28" s="429"/>
      <c r="G28" s="429"/>
      <c r="H28" s="429"/>
      <c r="I28" s="429"/>
      <c r="J28" s="14">
        <f>J23</f>
        <v>25581.599999999999</v>
      </c>
      <c r="K28" s="14">
        <f t="shared" ref="K28:M28" si="30">K23</f>
        <v>0</v>
      </c>
      <c r="L28" s="14">
        <f t="shared" si="30"/>
        <v>0</v>
      </c>
      <c r="M28" s="14">
        <f t="shared" si="30"/>
        <v>0</v>
      </c>
      <c r="N28" s="14">
        <f t="shared" ref="N28:N31" si="31">SUM(J28:M28)</f>
        <v>25581.599999999999</v>
      </c>
      <c r="O28" s="15" t="str">
        <f>_xlfn.XLOOKUP($D28,'[1]$_DATI_DI_BASE'!$E$65:$E$81,'[1]$_DATI_DI_BASE'!$D$65:$D$81)</f>
        <v>SPEC</v>
      </c>
      <c r="P28" s="15" t="str">
        <f>_xlfn.XLOOKUP($D28,'[1]$_DATI_DI_BASE'!$E$65:$E$81,'[1]$_DATI_DI_BASE'!$J$65:$J$81)</f>
        <v>1600x800x600</v>
      </c>
      <c r="Q28" s="16">
        <f>_xlfn.XLOOKUP($D28,'[1]$_DATI_DI_BASE'!$E$65:$E$81,'[1]$_DATI_DI_BASE'!$L$65:$L$81)</f>
        <v>6</v>
      </c>
      <c r="R28" s="14">
        <f t="shared" ref="R28:R31" si="32">ROUND(N28/Q28,0)</f>
        <v>4264</v>
      </c>
      <c r="S28" s="20">
        <v>2</v>
      </c>
      <c r="T28" s="18">
        <f>'[1]$_MAG_BUFFER'!$P$20</f>
        <v>6395.4</v>
      </c>
      <c r="U28" s="20">
        <f>ROUNDUP(T28/Q28,0)</f>
        <v>1066</v>
      </c>
      <c r="V28" s="19">
        <f>T28*$I$2</f>
        <v>1279.08</v>
      </c>
      <c r="W28" s="14">
        <f t="shared" ref="W28:W31" si="33">V28+T28</f>
        <v>7674.48</v>
      </c>
      <c r="X28" s="15">
        <f>ROUNDUP(W28/Q28,0)</f>
        <v>1280</v>
      </c>
      <c r="Y28" s="15">
        <f t="shared" ref="Y28:Y31" si="34">ROUNDUP(T28/2+V28,0)</f>
        <v>4477</v>
      </c>
      <c r="Z28" s="17">
        <f>mag_completo!$G$2/AA28</f>
        <v>3.85</v>
      </c>
      <c r="AA28" s="59">
        <f>N28/((T28/2)+V28)</f>
        <v>5.7142857142857144</v>
      </c>
      <c r="AG28" s="60">
        <f>AA28</f>
        <v>5.7142857142857144</v>
      </c>
      <c r="AH28" s="60">
        <v>11.666666666666668</v>
      </c>
      <c r="AJ28" s="61">
        <f>AH28/$AH$32</f>
        <v>0.29166666666666669</v>
      </c>
      <c r="AK28" s="61">
        <f>AJ28</f>
        <v>0.29166666666666669</v>
      </c>
      <c r="AM28" t="str">
        <f t="shared" si="26"/>
        <v>A</v>
      </c>
    </row>
    <row r="29" spans="1:64" ht="16" x14ac:dyDescent="0.2">
      <c r="A29" s="417"/>
      <c r="B29" s="417"/>
      <c r="C29" s="8" t="str">
        <f>'[1]$_DATI_DI_BASE'!F50</f>
        <v>INT_SAL_002</v>
      </c>
      <c r="D29" s="429" t="str">
        <f>'[1]$_DATI_DI_BASE'!I50</f>
        <v>(CORPO + INSERTO) PLANCIA SEGMENTO B</v>
      </c>
      <c r="E29" s="429"/>
      <c r="F29" s="429"/>
      <c r="G29" s="429"/>
      <c r="H29" s="429"/>
      <c r="I29" s="429"/>
      <c r="J29" s="14">
        <f t="shared" ref="J29:M29" si="35">J24</f>
        <v>0</v>
      </c>
      <c r="K29" s="14">
        <f t="shared" si="35"/>
        <v>17054.400000000001</v>
      </c>
      <c r="L29" s="14">
        <f t="shared" si="35"/>
        <v>0</v>
      </c>
      <c r="M29" s="14">
        <f t="shared" si="35"/>
        <v>0</v>
      </c>
      <c r="N29" s="14">
        <f t="shared" si="31"/>
        <v>17054.400000000001</v>
      </c>
      <c r="O29" s="15" t="str">
        <f>_xlfn.XLOOKUP($D29,'[1]$_DATI_DI_BASE'!$E$65:$E$81,'[1]$_DATI_DI_BASE'!$D$65:$D$81)</f>
        <v>SPEC</v>
      </c>
      <c r="P29" s="15" t="str">
        <f>_xlfn.XLOOKUP($D29,'[1]$_DATI_DI_BASE'!$E$65:$E$81,'[1]$_DATI_DI_BASE'!$J$65:$J$81)</f>
        <v>1600x800x600</v>
      </c>
      <c r="Q29" s="16">
        <f>_xlfn.XLOOKUP($D29,'[1]$_DATI_DI_BASE'!$E$65:$E$81,'[1]$_DATI_DI_BASE'!$L$65:$L$81)</f>
        <v>4</v>
      </c>
      <c r="R29" s="14">
        <f t="shared" si="32"/>
        <v>4264</v>
      </c>
      <c r="S29" s="20">
        <v>2</v>
      </c>
      <c r="T29" s="18">
        <f>'[1]$_MAG_BUFFER'!$P$21</f>
        <v>4263.6000000000004</v>
      </c>
      <c r="U29" s="20">
        <f>ROUNDUP(T29/Q29,0)</f>
        <v>1066</v>
      </c>
      <c r="V29" s="19">
        <f t="shared" ref="V29:V31" si="36">T29*$I$2</f>
        <v>852.72000000000014</v>
      </c>
      <c r="W29" s="14">
        <f t="shared" si="33"/>
        <v>5116.3200000000006</v>
      </c>
      <c r="X29" s="15">
        <f>ROUNDUP(W29/Q29,0)</f>
        <v>1280</v>
      </c>
      <c r="Y29" s="15">
        <f t="shared" si="34"/>
        <v>2985</v>
      </c>
      <c r="Z29" s="17">
        <f>mag_completo!$G$2/AA29</f>
        <v>3.8500000000000005</v>
      </c>
      <c r="AA29" s="59">
        <f>N29/((T29/2)+V29)</f>
        <v>5.7142857142857135</v>
      </c>
      <c r="AG29" s="60">
        <f>AA29</f>
        <v>5.7142857142857135</v>
      </c>
      <c r="AH29" s="60">
        <v>11.666666666666668</v>
      </c>
      <c r="AJ29" s="61">
        <f t="shared" ref="AJ29:AJ31" si="37">AH29/$AH$32</f>
        <v>0.29166666666666669</v>
      </c>
      <c r="AK29" s="61">
        <f>AJ29+AK28</f>
        <v>0.58333333333333337</v>
      </c>
      <c r="AM29" t="str">
        <f t="shared" si="26"/>
        <v>A</v>
      </c>
    </row>
    <row r="30" spans="1:64" ht="16" x14ac:dyDescent="0.2">
      <c r="A30" s="417"/>
      <c r="B30" s="417"/>
      <c r="C30" s="1" t="s">
        <v>78</v>
      </c>
      <c r="D30" s="429" t="s">
        <v>79</v>
      </c>
      <c r="E30" s="429"/>
      <c r="F30" s="429"/>
      <c r="G30" s="429"/>
      <c r="H30" s="429"/>
      <c r="I30" s="429"/>
      <c r="J30" s="14">
        <f t="shared" ref="J30:M30" si="38">J25</f>
        <v>0</v>
      </c>
      <c r="K30" s="14">
        <f t="shared" si="38"/>
        <v>0</v>
      </c>
      <c r="L30" s="14">
        <f t="shared" si="38"/>
        <v>23562</v>
      </c>
      <c r="M30" s="14">
        <f t="shared" si="38"/>
        <v>0</v>
      </c>
      <c r="N30" s="14">
        <f t="shared" si="31"/>
        <v>23562</v>
      </c>
      <c r="O30" s="15" t="s">
        <v>80</v>
      </c>
      <c r="P30" s="15" t="s">
        <v>81</v>
      </c>
      <c r="Q30" s="14">
        <v>6</v>
      </c>
      <c r="R30" s="14">
        <f t="shared" si="32"/>
        <v>3927</v>
      </c>
      <c r="S30" s="20">
        <v>2</v>
      </c>
      <c r="T30" s="18">
        <f>'[2]$_MAG_BUFFER'!$Q$20</f>
        <v>6010.7142857142862</v>
      </c>
      <c r="U30" s="20">
        <f>ROUNDUP(T30/Q30,0)</f>
        <v>1002</v>
      </c>
      <c r="V30" s="19">
        <f t="shared" si="36"/>
        <v>1202.1428571428573</v>
      </c>
      <c r="W30" s="14">
        <f t="shared" si="33"/>
        <v>7212.8571428571431</v>
      </c>
      <c r="X30" s="15">
        <f>ROUNDUP(W30/Q30,0)</f>
        <v>1203</v>
      </c>
      <c r="Y30" s="15">
        <f t="shared" si="34"/>
        <v>4208</v>
      </c>
      <c r="Z30" s="17">
        <f>mag_completo!$G$2/AA30</f>
        <v>3.9285714285714288</v>
      </c>
      <c r="AA30" s="59">
        <f>N30/((T30/2)+V30)</f>
        <v>5.6</v>
      </c>
      <c r="AG30" s="60">
        <f>AA30</f>
        <v>5.6</v>
      </c>
      <c r="AH30" s="60">
        <v>11.666666666666666</v>
      </c>
      <c r="AJ30" s="61">
        <f t="shared" si="37"/>
        <v>0.29166666666666663</v>
      </c>
      <c r="AK30" s="61">
        <f t="shared" ref="AK30:AK31" si="39">AJ30+AK29</f>
        <v>0.875</v>
      </c>
      <c r="AM30" t="str">
        <f t="shared" si="26"/>
        <v>B</v>
      </c>
    </row>
    <row r="31" spans="1:64" ht="16" x14ac:dyDescent="0.2">
      <c r="A31" s="417"/>
      <c r="B31" s="417"/>
      <c r="C31" s="8" t="s">
        <v>82</v>
      </c>
      <c r="D31" s="429" t="s">
        <v>83</v>
      </c>
      <c r="E31" s="429"/>
      <c r="F31" s="429"/>
      <c r="G31" s="429"/>
      <c r="H31" s="429"/>
      <c r="I31" s="429"/>
      <c r="J31" s="14">
        <f t="shared" ref="J31:M31" si="40">J26</f>
        <v>0</v>
      </c>
      <c r="K31" s="14">
        <f t="shared" si="40"/>
        <v>0</v>
      </c>
      <c r="L31" s="14">
        <f t="shared" si="40"/>
        <v>0</v>
      </c>
      <c r="M31" s="14">
        <f t="shared" si="40"/>
        <v>10098</v>
      </c>
      <c r="N31" s="14">
        <f t="shared" si="31"/>
        <v>10098</v>
      </c>
      <c r="O31" s="15" t="s">
        <v>80</v>
      </c>
      <c r="P31" s="15" t="s">
        <v>81</v>
      </c>
      <c r="Q31" s="14">
        <v>4</v>
      </c>
      <c r="R31" s="14">
        <f t="shared" si="32"/>
        <v>2525</v>
      </c>
      <c r="S31" s="20">
        <v>2</v>
      </c>
      <c r="T31" s="18">
        <f>'[2]$_MAG_BUFFER'!$Q$21</f>
        <v>2576.0204081632655</v>
      </c>
      <c r="U31" s="20">
        <f>ROUNDUP(T31/Q31,0)</f>
        <v>645</v>
      </c>
      <c r="V31" s="19">
        <f t="shared" si="36"/>
        <v>515.20408163265313</v>
      </c>
      <c r="W31" s="14">
        <f t="shared" si="33"/>
        <v>3091.2244897959185</v>
      </c>
      <c r="X31" s="15">
        <f>ROUNDUP(W31/Q31,0)</f>
        <v>773</v>
      </c>
      <c r="Y31" s="15">
        <f t="shared" si="34"/>
        <v>1804</v>
      </c>
      <c r="Z31" s="17">
        <f>mag_completo!$G$2/AA31</f>
        <v>3.9285714285714288</v>
      </c>
      <c r="AA31" s="59">
        <f>N31/((T31/2)+V31)</f>
        <v>5.6</v>
      </c>
      <c r="AG31" s="60">
        <f>AA31</f>
        <v>5.6</v>
      </c>
      <c r="AH31" s="60">
        <v>11.666666666666666</v>
      </c>
      <c r="AJ31" s="61">
        <f t="shared" si="37"/>
        <v>0.29166666666666663</v>
      </c>
      <c r="AK31" s="61">
        <f t="shared" si="39"/>
        <v>1.1666666666666665</v>
      </c>
      <c r="AM31" t="str">
        <f t="shared" si="26"/>
        <v>C</v>
      </c>
    </row>
    <row r="32" spans="1:64" ht="16" x14ac:dyDescent="0.2">
      <c r="AG32" t="s">
        <v>69</v>
      </c>
      <c r="AH32" s="60">
        <v>40</v>
      </c>
      <c r="AJ32" s="94">
        <v>1</v>
      </c>
    </row>
    <row r="33" spans="1:25" ht="16.5" customHeight="1" thickBot="1" x14ac:dyDescent="0.25">
      <c r="A33" s="12"/>
      <c r="B33" s="12"/>
      <c r="C33" s="3"/>
      <c r="D33" s="21"/>
      <c r="E33" s="21"/>
      <c r="F33" s="21"/>
      <c r="G33" s="21"/>
      <c r="H33" s="21"/>
      <c r="I33" s="21"/>
      <c r="J33" s="22"/>
      <c r="K33" s="22"/>
      <c r="L33" s="22"/>
      <c r="M33" s="22"/>
      <c r="N33" s="22"/>
      <c r="O33" s="2"/>
      <c r="P33" s="2"/>
      <c r="Q33" s="23"/>
      <c r="R33" s="24"/>
      <c r="S33" s="24"/>
      <c r="T33" s="24"/>
      <c r="U33" s="25"/>
      <c r="V33" s="24"/>
      <c r="W33" s="26"/>
    </row>
    <row r="34" spans="1:25" ht="16" x14ac:dyDescent="0.2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27"/>
      <c r="N34" s="396" t="s">
        <v>84</v>
      </c>
      <c r="O34" s="397"/>
      <c r="P34" s="398"/>
      <c r="Q34" s="405" t="s">
        <v>85</v>
      </c>
      <c r="R34" s="408" t="s">
        <v>86</v>
      </c>
      <c r="S34" s="11"/>
      <c r="T34" s="11"/>
      <c r="U34" s="11"/>
      <c r="V34" s="29"/>
      <c r="W34" s="30"/>
      <c r="X34" s="31"/>
      <c r="Y34" s="31"/>
    </row>
    <row r="35" spans="1:25" ht="16" x14ac:dyDescent="0.2">
      <c r="C35" s="32"/>
      <c r="D35" s="32"/>
      <c r="E35" s="32"/>
      <c r="F35" s="32"/>
      <c r="G35" s="33"/>
      <c r="H35" s="33"/>
      <c r="I35" s="32"/>
      <c r="J35" s="33"/>
      <c r="K35" s="32"/>
      <c r="L35" s="27"/>
      <c r="M35" s="27"/>
      <c r="N35" s="399"/>
      <c r="O35" s="400"/>
      <c r="P35" s="401"/>
      <c r="Q35" s="406"/>
      <c r="R35" s="409"/>
      <c r="S35" s="11"/>
      <c r="T35" s="11"/>
      <c r="U35" s="11"/>
      <c r="V35" s="29"/>
      <c r="W35" s="30"/>
      <c r="X35" s="31"/>
      <c r="Y35" s="31"/>
    </row>
    <row r="36" spans="1:25" ht="16" x14ac:dyDescent="0.2">
      <c r="A36" s="11"/>
      <c r="B36" s="11"/>
      <c r="C36" s="25"/>
      <c r="D36" s="3"/>
      <c r="E36" s="3"/>
      <c r="F36" s="34"/>
      <c r="K36" s="52"/>
      <c r="L36" s="53"/>
      <c r="M36" s="23"/>
      <c r="N36" s="402"/>
      <c r="O36" s="403"/>
      <c r="P36" s="404"/>
      <c r="Q36" s="407"/>
      <c r="R36" s="410"/>
      <c r="S36" s="23"/>
      <c r="T36" s="23"/>
      <c r="U36" s="23"/>
      <c r="V36" s="2"/>
      <c r="W36" s="26"/>
    </row>
    <row r="37" spans="1:25" ht="16" x14ac:dyDescent="0.2">
      <c r="A37" s="11"/>
      <c r="B37" s="11"/>
      <c r="C37" s="25"/>
      <c r="D37" s="3"/>
      <c r="E37" s="3"/>
      <c r="F37" s="34"/>
      <c r="K37" s="52"/>
      <c r="L37" s="54"/>
      <c r="M37" s="23"/>
      <c r="N37" s="393" t="s">
        <v>87</v>
      </c>
      <c r="O37" s="392"/>
      <c r="P37" s="392"/>
      <c r="Q37" s="394">
        <v>3</v>
      </c>
      <c r="R37" s="395">
        <v>1</v>
      </c>
      <c r="S37" s="23"/>
      <c r="T37" s="23"/>
      <c r="U37" s="23"/>
      <c r="V37" s="2"/>
      <c r="W37" s="26"/>
    </row>
    <row r="38" spans="1:25" ht="16" x14ac:dyDescent="0.2">
      <c r="A38" s="11"/>
      <c r="B38" s="11"/>
      <c r="C38" s="25"/>
      <c r="D38" s="3"/>
      <c r="E38" s="3"/>
      <c r="F38" s="34"/>
      <c r="K38" s="52"/>
      <c r="L38" s="54"/>
      <c r="M38" s="23"/>
      <c r="N38" s="393"/>
      <c r="O38" s="392"/>
      <c r="P38" s="392"/>
      <c r="Q38" s="394"/>
      <c r="R38" s="395"/>
      <c r="S38" s="23"/>
      <c r="T38" s="23"/>
      <c r="U38" s="23"/>
      <c r="V38" s="2"/>
      <c r="W38" s="26"/>
    </row>
    <row r="39" spans="1:25" ht="16" x14ac:dyDescent="0.2">
      <c r="A39" s="11"/>
      <c r="B39" s="11"/>
      <c r="C39" s="25"/>
      <c r="D39" s="3"/>
      <c r="E39" s="3"/>
      <c r="F39" s="34"/>
      <c r="K39" s="52"/>
      <c r="L39" s="54"/>
      <c r="M39" s="23"/>
      <c r="N39" s="391" t="s">
        <v>88</v>
      </c>
      <c r="O39" s="392"/>
      <c r="P39" s="392"/>
      <c r="Q39" s="394">
        <v>5</v>
      </c>
      <c r="R39" s="395">
        <v>2</v>
      </c>
      <c r="S39" s="23"/>
      <c r="T39" s="23"/>
      <c r="U39" s="23"/>
      <c r="V39" s="2"/>
      <c r="W39" s="26"/>
    </row>
    <row r="40" spans="1:25" ht="16" x14ac:dyDescent="0.2">
      <c r="A40" s="55"/>
      <c r="B40" s="55"/>
      <c r="C40" s="3"/>
      <c r="D40" s="3"/>
      <c r="E40" s="3"/>
      <c r="F40" s="34"/>
      <c r="K40" s="52"/>
      <c r="L40" s="53"/>
      <c r="M40" s="23"/>
      <c r="N40" s="393"/>
      <c r="O40" s="392"/>
      <c r="P40" s="392"/>
      <c r="Q40" s="394"/>
      <c r="R40" s="395"/>
      <c r="S40" s="23"/>
      <c r="T40" s="23"/>
      <c r="U40" s="23"/>
      <c r="V40" s="2"/>
      <c r="W40" s="26"/>
    </row>
    <row r="41" spans="1:25" ht="16" x14ac:dyDescent="0.2">
      <c r="A41" s="55"/>
      <c r="B41" s="55"/>
      <c r="C41" s="3"/>
      <c r="D41" s="3"/>
      <c r="E41" s="3"/>
      <c r="F41" s="34"/>
      <c r="K41" s="52"/>
      <c r="L41" s="56"/>
      <c r="N41" s="393" t="s">
        <v>89</v>
      </c>
      <c r="O41" s="392"/>
      <c r="P41" s="392"/>
      <c r="Q41" s="394">
        <v>3</v>
      </c>
      <c r="R41" s="395">
        <v>1</v>
      </c>
    </row>
    <row r="42" spans="1:25" ht="16" x14ac:dyDescent="0.2">
      <c r="A42" s="55"/>
      <c r="B42" s="55"/>
      <c r="C42" s="3"/>
      <c r="D42" s="3"/>
      <c r="E42" s="3"/>
      <c r="F42" s="3"/>
      <c r="K42" s="52"/>
      <c r="L42" s="56"/>
      <c r="N42" s="393"/>
      <c r="O42" s="392"/>
      <c r="P42" s="392"/>
      <c r="Q42" s="394"/>
      <c r="R42" s="395"/>
    </row>
    <row r="43" spans="1:25" ht="16" x14ac:dyDescent="0.2">
      <c r="N43" s="418" t="s">
        <v>90</v>
      </c>
      <c r="O43" s="419"/>
      <c r="P43" s="420"/>
      <c r="Q43" s="394">
        <v>5</v>
      </c>
      <c r="R43" s="395">
        <v>1</v>
      </c>
    </row>
    <row r="44" spans="1:25" ht="17" thickBot="1" x14ac:dyDescent="0.25">
      <c r="J44" s="48"/>
      <c r="N44" s="421"/>
      <c r="O44" s="422"/>
      <c r="P44" s="423"/>
      <c r="Q44" s="424"/>
      <c r="R44" s="425"/>
    </row>
    <row r="46" spans="1:25" ht="16.5" customHeight="1" x14ac:dyDescent="0.2"/>
    <row r="49" spans="1:23" ht="16.5" customHeight="1" x14ac:dyDescent="0.2"/>
    <row r="50" spans="1:23" ht="15.75" customHeight="1" x14ac:dyDescent="0.2">
      <c r="K50" s="22"/>
    </row>
    <row r="52" spans="1:23" ht="15.75" customHeight="1" x14ac:dyDescent="0.2">
      <c r="K52" s="22"/>
    </row>
    <row r="53" spans="1:23" ht="16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2"/>
      <c r="P53" s="2"/>
      <c r="Q53" s="23"/>
      <c r="R53" s="23"/>
      <c r="S53" s="23"/>
      <c r="T53" s="23"/>
      <c r="U53" s="23"/>
      <c r="V53" s="2"/>
      <c r="W53" s="26"/>
    </row>
    <row r="54" spans="1:23" ht="16" x14ac:dyDescent="0.2">
      <c r="A54" s="11"/>
      <c r="B54" s="49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2"/>
      <c r="P54" s="2"/>
      <c r="Q54" s="23"/>
      <c r="R54" s="23"/>
      <c r="S54" s="23"/>
      <c r="T54" s="23"/>
      <c r="U54" s="23"/>
      <c r="V54" s="2"/>
      <c r="W54" s="26"/>
    </row>
    <row r="55" spans="1:23" ht="16" x14ac:dyDescent="0.2">
      <c r="A55" s="11"/>
      <c r="B55" s="49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2"/>
      <c r="P55" s="2"/>
      <c r="Q55" s="23"/>
      <c r="R55" s="23"/>
      <c r="S55" s="23"/>
      <c r="T55" s="23"/>
      <c r="U55" s="23"/>
      <c r="V55" s="2"/>
      <c r="W55" s="26"/>
    </row>
    <row r="56" spans="1:23" ht="16" x14ac:dyDescent="0.2">
      <c r="A56" s="11"/>
      <c r="B56" s="49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2"/>
      <c r="P56" s="2"/>
      <c r="Q56" s="23"/>
      <c r="R56" s="23"/>
      <c r="S56" s="23"/>
      <c r="T56" s="23"/>
      <c r="U56" s="23"/>
      <c r="V56" s="2"/>
      <c r="W56" s="26"/>
    </row>
    <row r="57" spans="1:23" ht="16" x14ac:dyDescent="0.2">
      <c r="A57" s="11"/>
      <c r="B57" s="49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2"/>
      <c r="P57" s="2"/>
      <c r="Q57" s="23"/>
      <c r="R57" s="23"/>
      <c r="S57" s="23"/>
      <c r="T57" s="23"/>
      <c r="U57" s="23"/>
      <c r="V57" s="2"/>
      <c r="W57" s="26"/>
    </row>
    <row r="58" spans="1:23" ht="16" x14ac:dyDescent="0.2"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R58" s="28"/>
      <c r="S58" s="10"/>
      <c r="T58" s="10"/>
      <c r="U58" s="10"/>
      <c r="V58" s="10"/>
      <c r="W58" s="10"/>
    </row>
    <row r="59" spans="1:23" ht="16" x14ac:dyDescent="0.2">
      <c r="A59" s="1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</row>
    <row r="60" spans="1:23" ht="16" x14ac:dyDescent="0.2">
      <c r="A60" s="1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23" ht="16" x14ac:dyDescent="0.2">
      <c r="A61" s="1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23" ht="16" x14ac:dyDescent="0.2">
      <c r="A62" s="1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</row>
    <row r="63" spans="1:23" ht="16" x14ac:dyDescent="0.2">
      <c r="A63" s="1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</row>
    <row r="64" spans="1:23" ht="16" x14ac:dyDescent="0.2">
      <c r="C64" s="3"/>
    </row>
    <row r="66" spans="1:23" ht="16" x14ac:dyDescent="0.2">
      <c r="A66" s="74"/>
    </row>
    <row r="67" spans="1:23" ht="16" x14ac:dyDescent="0.2">
      <c r="B67" s="39"/>
      <c r="C67" s="40"/>
    </row>
    <row r="68" spans="1:23" ht="16" x14ac:dyDescent="0.2">
      <c r="B68" s="39"/>
      <c r="C68" s="40"/>
      <c r="P68" s="2"/>
      <c r="Q68" s="23"/>
      <c r="R68" s="24"/>
      <c r="S68" s="24"/>
      <c r="T68" s="25"/>
      <c r="U68" s="25"/>
      <c r="V68" s="24"/>
      <c r="W68" s="26"/>
    </row>
    <row r="69" spans="1:23" ht="16" x14ac:dyDescent="0.2">
      <c r="B69" s="39"/>
      <c r="C69" s="43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37"/>
    </row>
    <row r="70" spans="1:23" ht="16" x14ac:dyDescent="0.2">
      <c r="B70" s="11"/>
      <c r="C70" s="2"/>
      <c r="J70" s="22"/>
      <c r="K70" s="22"/>
      <c r="L70" s="22"/>
      <c r="M70" s="22"/>
      <c r="N70" s="22"/>
      <c r="O70" s="2"/>
      <c r="P70" s="2"/>
      <c r="Q70" s="23"/>
      <c r="R70" s="24"/>
      <c r="S70" s="24"/>
      <c r="T70" s="24"/>
      <c r="U70" s="25"/>
      <c r="V70" s="24"/>
      <c r="W70" s="26"/>
    </row>
    <row r="71" spans="1:23" ht="16" x14ac:dyDescent="0.2">
      <c r="B71" s="11"/>
      <c r="C71" s="3"/>
      <c r="P71" s="2"/>
      <c r="Q71" s="23"/>
      <c r="R71" s="24"/>
      <c r="S71" s="24"/>
      <c r="T71" s="24"/>
      <c r="U71" s="25"/>
      <c r="V71" s="24"/>
      <c r="W71" s="26"/>
    </row>
    <row r="72" spans="1:23" ht="16" x14ac:dyDescent="0.2">
      <c r="C72" s="3"/>
    </row>
    <row r="73" spans="1:23" ht="16" x14ac:dyDescent="0.2">
      <c r="C73" s="3"/>
    </row>
    <row r="74" spans="1:23" ht="16" x14ac:dyDescent="0.2">
      <c r="D74" s="3"/>
    </row>
    <row r="75" spans="1:23" ht="16" x14ac:dyDescent="0.2">
      <c r="D75" s="3"/>
    </row>
  </sheetData>
  <sortState xmlns:xlrd2="http://schemas.microsoft.com/office/spreadsheetml/2017/richdata2" ref="BJ6:BK21">
    <sortCondition descending="1" ref="BJ6:BJ21"/>
  </sortState>
  <mergeCells count="68">
    <mergeCell ref="Y4:Y5"/>
    <mergeCell ref="S4:S5"/>
    <mergeCell ref="A4:B5"/>
    <mergeCell ref="C4:C5"/>
    <mergeCell ref="D4:I5"/>
    <mergeCell ref="N4:N5"/>
    <mergeCell ref="D7:I7"/>
    <mergeCell ref="P4:P5"/>
    <mergeCell ref="Q4:Q5"/>
    <mergeCell ref="R4:R5"/>
    <mergeCell ref="O4:O5"/>
    <mergeCell ref="J4:M4"/>
    <mergeCell ref="A1:C1"/>
    <mergeCell ref="S1:T1"/>
    <mergeCell ref="A2:C2"/>
    <mergeCell ref="E2:F2"/>
    <mergeCell ref="J2:R3"/>
    <mergeCell ref="A3:C3"/>
    <mergeCell ref="E3:F3"/>
    <mergeCell ref="S2:AA3"/>
    <mergeCell ref="A6:B21"/>
    <mergeCell ref="D28:I28"/>
    <mergeCell ref="D29:I29"/>
    <mergeCell ref="D30:I30"/>
    <mergeCell ref="D31:I31"/>
    <mergeCell ref="A28:B31"/>
    <mergeCell ref="D16:I16"/>
    <mergeCell ref="D17:I17"/>
    <mergeCell ref="D19:I19"/>
    <mergeCell ref="D21:I21"/>
    <mergeCell ref="D23:I23"/>
    <mergeCell ref="D24:I24"/>
    <mergeCell ref="A23:B26"/>
    <mergeCell ref="D8:I8"/>
    <mergeCell ref="D9:I9"/>
    <mergeCell ref="D6:I6"/>
    <mergeCell ref="D25:I25"/>
    <mergeCell ref="D26:I26"/>
    <mergeCell ref="D10:I10"/>
    <mergeCell ref="D11:I11"/>
    <mergeCell ref="D12:I12"/>
    <mergeCell ref="D13:I13"/>
    <mergeCell ref="D18:I18"/>
    <mergeCell ref="D20:I20"/>
    <mergeCell ref="D14:I14"/>
    <mergeCell ref="D15:I15"/>
    <mergeCell ref="N43:P44"/>
    <mergeCell ref="Q43:Q44"/>
    <mergeCell ref="R43:R44"/>
    <mergeCell ref="N41:P42"/>
    <mergeCell ref="Q41:Q42"/>
    <mergeCell ref="R41:R42"/>
    <mergeCell ref="AA4:AA5"/>
    <mergeCell ref="U4:U5"/>
    <mergeCell ref="N39:P40"/>
    <mergeCell ref="Q39:Q40"/>
    <mergeCell ref="R39:R40"/>
    <mergeCell ref="N34:P36"/>
    <mergeCell ref="Q34:Q36"/>
    <mergeCell ref="R34:R36"/>
    <mergeCell ref="N37:P38"/>
    <mergeCell ref="Q37:Q38"/>
    <mergeCell ref="R37:R38"/>
    <mergeCell ref="Z4:Z5"/>
    <mergeCell ref="V4:V5"/>
    <mergeCell ref="W4:W5"/>
    <mergeCell ref="X4:X5"/>
    <mergeCell ref="T4:T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661DC-5195-EF4A-B256-A47550C07CB0}">
  <dimension ref="A1:AF65"/>
  <sheetViews>
    <sheetView topLeftCell="L24" zoomScale="78" zoomScaleNormal="70" workbookViewId="0">
      <selection activeCell="U36" sqref="U36"/>
    </sheetView>
  </sheetViews>
  <sheetFormatPr baseColWidth="10" defaultColWidth="11" defaultRowHeight="16" x14ac:dyDescent="0.2"/>
  <cols>
    <col min="1" max="1" width="16" bestFit="1" customWidth="1"/>
    <col min="2" max="2" width="14.5" customWidth="1"/>
    <col min="3" max="3" width="15" customWidth="1"/>
    <col min="4" max="4" width="18" customWidth="1"/>
    <col min="5" max="5" width="16" customWidth="1"/>
    <col min="7" max="7" width="18" bestFit="1" customWidth="1"/>
    <col min="8" max="8" width="14" bestFit="1" customWidth="1"/>
    <col min="9" max="9" width="14.5" bestFit="1" customWidth="1"/>
    <col min="10" max="10" width="27" bestFit="1" customWidth="1"/>
    <col min="12" max="12" width="12" bestFit="1" customWidth="1"/>
    <col min="14" max="14" width="11" bestFit="1" customWidth="1"/>
    <col min="15" max="15" width="11.5" customWidth="1"/>
    <col min="16" max="17" width="12.5" bestFit="1" customWidth="1"/>
    <col min="18" max="18" width="11.5" bestFit="1" customWidth="1"/>
    <col min="20" max="20" width="18" bestFit="1" customWidth="1"/>
    <col min="21" max="21" width="15" bestFit="1" customWidth="1"/>
    <col min="22" max="22" width="12" customWidth="1"/>
    <col min="23" max="23" width="11" bestFit="1" customWidth="1"/>
    <col min="27" max="27" width="11" bestFit="1" customWidth="1"/>
    <col min="28" max="28" width="23.5" bestFit="1" customWidth="1"/>
    <col min="29" max="29" width="6" bestFit="1" customWidth="1"/>
    <col min="32" max="32" width="15.5" customWidth="1"/>
    <col min="33" max="33" width="17" customWidth="1"/>
  </cols>
  <sheetData>
    <row r="1" spans="1:30" ht="21" customHeight="1" x14ac:dyDescent="0.2">
      <c r="A1" s="457" t="s">
        <v>91</v>
      </c>
      <c r="B1" s="458"/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9"/>
    </row>
    <row r="2" spans="1:30" ht="16.5" customHeight="1" x14ac:dyDescent="0.2">
      <c r="A2" s="460"/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1"/>
      <c r="X2" s="461"/>
      <c r="Y2" s="461"/>
      <c r="Z2" s="461"/>
      <c r="AA2" s="461"/>
      <c r="AB2" s="461"/>
      <c r="AC2" s="461"/>
      <c r="AD2" s="462"/>
    </row>
    <row r="3" spans="1:30" x14ac:dyDescent="0.2">
      <c r="E3" s="32" t="s">
        <v>92</v>
      </c>
      <c r="F3" s="32" t="s">
        <v>93</v>
      </c>
      <c r="G3" s="32" t="s">
        <v>94</v>
      </c>
      <c r="H3" t="s">
        <v>95</v>
      </c>
    </row>
    <row r="4" spans="1:30" ht="17" thickBot="1" x14ac:dyDescent="0.25">
      <c r="A4" t="s">
        <v>96</v>
      </c>
      <c r="B4" s="456" t="s">
        <v>97</v>
      </c>
      <c r="C4" s="456"/>
      <c r="D4" s="57" t="s">
        <v>98</v>
      </c>
      <c r="E4" s="3">
        <v>1400</v>
      </c>
      <c r="F4" s="3">
        <f>800</f>
        <v>800</v>
      </c>
      <c r="G4" s="3">
        <f>600</f>
        <v>600</v>
      </c>
      <c r="M4" s="453" t="s">
        <v>99</v>
      </c>
      <c r="N4" s="454"/>
      <c r="O4" s="454"/>
      <c r="P4" s="454"/>
      <c r="Q4" s="454"/>
      <c r="R4" s="454"/>
      <c r="S4" s="454"/>
      <c r="T4" s="454"/>
      <c r="U4" s="454"/>
      <c r="V4" s="454"/>
      <c r="W4" s="454"/>
      <c r="X4" s="454"/>
      <c r="Y4" s="454"/>
      <c r="Z4" s="454"/>
      <c r="AA4" s="454"/>
      <c r="AB4" s="454"/>
      <c r="AC4" s="454"/>
      <c r="AD4" s="464"/>
    </row>
    <row r="5" spans="1:30" ht="20" x14ac:dyDescent="0.25">
      <c r="D5" s="57" t="s">
        <v>100</v>
      </c>
      <c r="E5" s="3">
        <f>1000</f>
        <v>1000</v>
      </c>
      <c r="F5" s="3">
        <f>800</f>
        <v>800</v>
      </c>
      <c r="G5" s="3">
        <f>800</f>
        <v>800</v>
      </c>
      <c r="M5" s="38" t="s">
        <v>101</v>
      </c>
      <c r="N5" s="98">
        <f>E9/1000*F9/1000</f>
        <v>1.4724999999999999</v>
      </c>
      <c r="O5" t="s">
        <v>102</v>
      </c>
      <c r="P5" s="127">
        <v>9</v>
      </c>
      <c r="AD5" s="41"/>
    </row>
    <row r="6" spans="1:30" ht="18" x14ac:dyDescent="0.25">
      <c r="D6" s="57" t="s">
        <v>103</v>
      </c>
      <c r="E6" s="3">
        <f>600*2</f>
        <v>1200</v>
      </c>
      <c r="F6" s="3">
        <f>400*2</f>
        <v>800</v>
      </c>
      <c r="G6" s="3">
        <f>320*2</f>
        <v>640</v>
      </c>
      <c r="M6" s="38" t="s">
        <v>104</v>
      </c>
      <c r="N6" s="3">
        <f>INT(carr_elev!D6/dimens_mag_MP!G10)+1</f>
        <v>6</v>
      </c>
      <c r="AD6" s="41"/>
    </row>
    <row r="7" spans="1:30" ht="19" thickBot="1" x14ac:dyDescent="0.3">
      <c r="D7" s="57" t="s">
        <v>105</v>
      </c>
      <c r="E7" s="3">
        <f>600*2</f>
        <v>1200</v>
      </c>
      <c r="F7" s="3">
        <f>400*2</f>
        <v>800</v>
      </c>
      <c r="G7" s="3">
        <f>320*4</f>
        <v>1280</v>
      </c>
      <c r="L7" s="3"/>
      <c r="M7" s="38" t="s">
        <v>106</v>
      </c>
      <c r="N7" s="3">
        <f>INT(carr_elev!D6/dimens_mag_MP!G12)+1</f>
        <v>4</v>
      </c>
      <c r="AD7" s="41"/>
    </row>
    <row r="8" spans="1:30" ht="19" thickBot="1" x14ac:dyDescent="0.3">
      <c r="E8" s="3"/>
      <c r="F8" s="3"/>
      <c r="G8" s="3"/>
      <c r="M8" s="453" t="s">
        <v>107</v>
      </c>
      <c r="N8" s="454"/>
      <c r="O8" s="119" t="s">
        <v>108</v>
      </c>
      <c r="P8" s="119" t="s">
        <v>109</v>
      </c>
      <c r="Q8" s="119" t="s">
        <v>110</v>
      </c>
      <c r="R8" s="120" t="s">
        <v>111</v>
      </c>
      <c r="S8" s="467" t="s">
        <v>112</v>
      </c>
      <c r="T8" s="3"/>
      <c r="V8" t="s">
        <v>113</v>
      </c>
      <c r="W8" s="3">
        <f>P5*F10/1000</f>
        <v>8.5500000000000007</v>
      </c>
      <c r="AD8" s="41"/>
    </row>
    <row r="9" spans="1:30" x14ac:dyDescent="0.2">
      <c r="B9" s="456" t="s">
        <v>114</v>
      </c>
      <c r="C9" s="456"/>
      <c r="D9" s="57" t="s">
        <v>98</v>
      </c>
      <c r="E9" s="3">
        <f t="shared" ref="E9:G12" si="0">E4+150</f>
        <v>1550</v>
      </c>
      <c r="F9" s="3">
        <f t="shared" si="0"/>
        <v>950</v>
      </c>
      <c r="G9" s="3">
        <f t="shared" si="0"/>
        <v>750</v>
      </c>
      <c r="L9" s="57"/>
      <c r="M9" s="465" t="s">
        <v>115</v>
      </c>
      <c r="N9" s="466"/>
      <c r="O9" s="3">
        <f>mag_completo!X6</f>
        <v>792</v>
      </c>
      <c r="P9" s="3">
        <f t="shared" ref="P9:P17" si="1">ROUNDUP(O9/$N$6,0)</f>
        <v>132</v>
      </c>
      <c r="Q9" s="3">
        <f t="shared" ref="Q9:Q17" si="2">ROUNDUP(P9/$P$5,0)</f>
        <v>15</v>
      </c>
      <c r="R9" s="126">
        <f t="shared" ref="R9:R17" si="3">P9/$P$5/Q9</f>
        <v>0.97777777777777775</v>
      </c>
      <c r="S9" s="468"/>
      <c r="V9" t="s">
        <v>116</v>
      </c>
      <c r="W9" s="3">
        <f>6+Q18*E9/1000</f>
        <v>142.4</v>
      </c>
      <c r="X9" s="57"/>
      <c r="AD9" s="41"/>
    </row>
    <row r="10" spans="1:30" x14ac:dyDescent="0.2">
      <c r="D10" s="57" t="s">
        <v>100</v>
      </c>
      <c r="E10" s="3">
        <f t="shared" si="0"/>
        <v>1150</v>
      </c>
      <c r="F10" s="3">
        <f t="shared" si="0"/>
        <v>950</v>
      </c>
      <c r="G10" s="3">
        <f t="shared" si="0"/>
        <v>950</v>
      </c>
      <c r="M10" s="465" t="s">
        <v>117</v>
      </c>
      <c r="N10" s="466"/>
      <c r="O10" s="3">
        <f>mag_completo!X7</f>
        <v>792</v>
      </c>
      <c r="P10" s="3">
        <f t="shared" si="1"/>
        <v>132</v>
      </c>
      <c r="Q10" s="3">
        <f t="shared" si="2"/>
        <v>15</v>
      </c>
      <c r="R10" s="126">
        <f t="shared" si="3"/>
        <v>0.97777777777777775</v>
      </c>
      <c r="S10" s="468"/>
      <c r="W10" s="85"/>
      <c r="AD10" s="41"/>
    </row>
    <row r="11" spans="1:30" x14ac:dyDescent="0.2">
      <c r="D11" s="57" t="s">
        <v>103</v>
      </c>
      <c r="E11" s="3">
        <f t="shared" si="0"/>
        <v>1350</v>
      </c>
      <c r="F11" s="3">
        <f t="shared" si="0"/>
        <v>950</v>
      </c>
      <c r="G11" s="3">
        <f t="shared" si="0"/>
        <v>790</v>
      </c>
      <c r="M11" s="465" t="s">
        <v>118</v>
      </c>
      <c r="N11" s="466"/>
      <c r="O11" s="3">
        <f>mag_completo!X8</f>
        <v>475</v>
      </c>
      <c r="P11" s="3">
        <f t="shared" si="1"/>
        <v>80</v>
      </c>
      <c r="Q11" s="3">
        <f t="shared" si="2"/>
        <v>9</v>
      </c>
      <c r="R11" s="126">
        <f t="shared" si="3"/>
        <v>0.98765432098765438</v>
      </c>
      <c r="S11" s="468"/>
      <c r="V11" s="128"/>
      <c r="AD11" s="41"/>
    </row>
    <row r="12" spans="1:30" x14ac:dyDescent="0.2">
      <c r="D12" s="57" t="s">
        <v>105</v>
      </c>
      <c r="E12" s="3">
        <f>E7+150</f>
        <v>1350</v>
      </c>
      <c r="F12" s="3">
        <f t="shared" si="0"/>
        <v>950</v>
      </c>
      <c r="G12" s="3">
        <f>G7+150</f>
        <v>1430</v>
      </c>
      <c r="M12" s="465" t="s">
        <v>119</v>
      </c>
      <c r="N12" s="466"/>
      <c r="O12" s="3">
        <f>mag_completo!X9</f>
        <v>396</v>
      </c>
      <c r="P12" s="3">
        <f t="shared" si="1"/>
        <v>66</v>
      </c>
      <c r="Q12" s="3">
        <f t="shared" si="2"/>
        <v>8</v>
      </c>
      <c r="R12" s="126">
        <f t="shared" si="3"/>
        <v>0.91666666666666663</v>
      </c>
      <c r="S12" s="468"/>
      <c r="AD12" s="41"/>
    </row>
    <row r="13" spans="1:30" x14ac:dyDescent="0.2">
      <c r="M13" s="465" t="s">
        <v>47</v>
      </c>
      <c r="N13" s="466"/>
      <c r="O13" s="3">
        <f>mag_completo!X10</f>
        <v>729</v>
      </c>
      <c r="P13" s="3">
        <f t="shared" si="1"/>
        <v>122</v>
      </c>
      <c r="Q13" s="3">
        <f t="shared" si="2"/>
        <v>14</v>
      </c>
      <c r="R13" s="126">
        <f t="shared" si="3"/>
        <v>0.96825396825396826</v>
      </c>
      <c r="S13" s="468"/>
      <c r="AD13" s="41"/>
    </row>
    <row r="14" spans="1:30" ht="16.5" customHeight="1" x14ac:dyDescent="0.2">
      <c r="C14" s="3" t="s">
        <v>120</v>
      </c>
      <c r="D14" s="3"/>
      <c r="E14">
        <f>60</f>
        <v>60</v>
      </c>
      <c r="F14" t="s">
        <v>121</v>
      </c>
      <c r="K14">
        <f>N6*G10</f>
        <v>5700</v>
      </c>
      <c r="M14" s="465" t="s">
        <v>52</v>
      </c>
      <c r="N14" s="466"/>
      <c r="O14" s="3">
        <f>mag_completo!X11</f>
        <v>469</v>
      </c>
      <c r="P14" s="3">
        <f t="shared" si="1"/>
        <v>79</v>
      </c>
      <c r="Q14" s="3">
        <f t="shared" si="2"/>
        <v>9</v>
      </c>
      <c r="R14" s="126">
        <f t="shared" si="3"/>
        <v>0.97530864197530875</v>
      </c>
      <c r="S14" s="468"/>
      <c r="AA14" s="128"/>
      <c r="AD14" s="41"/>
    </row>
    <row r="15" spans="1:30" x14ac:dyDescent="0.2">
      <c r="C15" s="3" t="s">
        <v>122</v>
      </c>
      <c r="D15" s="3"/>
      <c r="E15">
        <f>1.2</f>
        <v>1.2</v>
      </c>
      <c r="K15">
        <f>N7*G12</f>
        <v>5720</v>
      </c>
      <c r="M15" s="465" t="s">
        <v>55</v>
      </c>
      <c r="N15" s="466"/>
      <c r="O15" s="3">
        <f>mag_completo!X12</f>
        <v>438</v>
      </c>
      <c r="P15" s="3">
        <f t="shared" si="1"/>
        <v>73</v>
      </c>
      <c r="Q15" s="3">
        <f t="shared" si="2"/>
        <v>9</v>
      </c>
      <c r="R15" s="126">
        <f t="shared" si="3"/>
        <v>0.90123456790123457</v>
      </c>
      <c r="S15" s="468"/>
      <c r="AD15" s="41"/>
    </row>
    <row r="16" spans="1:30" ht="16.5" customHeight="1" x14ac:dyDescent="0.2">
      <c r="M16" s="465" t="s">
        <v>59</v>
      </c>
      <c r="N16" s="466"/>
      <c r="O16" s="3">
        <f>mag_completo!X13</f>
        <v>235</v>
      </c>
      <c r="P16" s="3">
        <f t="shared" si="1"/>
        <v>40</v>
      </c>
      <c r="Q16" s="3">
        <f t="shared" si="2"/>
        <v>5</v>
      </c>
      <c r="R16" s="126">
        <f t="shared" si="3"/>
        <v>0.88888888888888895</v>
      </c>
      <c r="S16" s="468"/>
      <c r="AD16" s="41"/>
    </row>
    <row r="17" spans="1:32" ht="20.25" customHeight="1" x14ac:dyDescent="0.2">
      <c r="B17" s="456" t="s">
        <v>123</v>
      </c>
      <c r="C17" s="456"/>
      <c r="D17" s="456"/>
      <c r="E17">
        <f>SUM(mag_completo!X6:X13)</f>
        <v>4326</v>
      </c>
      <c r="F17" t="s">
        <v>124</v>
      </c>
      <c r="M17" s="465" t="s">
        <v>125</v>
      </c>
      <c r="N17" s="466"/>
      <c r="O17" s="3">
        <f>mag_completo!X14</f>
        <v>189</v>
      </c>
      <c r="P17" s="3">
        <f t="shared" si="1"/>
        <v>32</v>
      </c>
      <c r="Q17" s="3">
        <f t="shared" si="2"/>
        <v>4</v>
      </c>
      <c r="R17" s="126">
        <f t="shared" si="3"/>
        <v>0.88888888888888884</v>
      </c>
      <c r="S17" s="468"/>
      <c r="AD17" s="41"/>
    </row>
    <row r="18" spans="1:32" ht="16.5" customHeight="1" thickBot="1" x14ac:dyDescent="0.25">
      <c r="B18" s="456" t="s">
        <v>126</v>
      </c>
      <c r="C18" s="456"/>
      <c r="D18" s="456"/>
      <c r="E18">
        <f>SUM(mag_completo!X14:X21)</f>
        <v>425</v>
      </c>
      <c r="F18" t="s">
        <v>124</v>
      </c>
      <c r="M18" s="46"/>
      <c r="N18" s="36"/>
      <c r="O18" s="36"/>
      <c r="P18" s="123" t="s">
        <v>127</v>
      </c>
      <c r="Q18" s="35">
        <f>SUM(Q9:Q17)</f>
        <v>88</v>
      </c>
      <c r="R18" s="47"/>
      <c r="S18" s="469"/>
      <c r="AD18" s="41"/>
    </row>
    <row r="19" spans="1:32" ht="17" thickBot="1" x14ac:dyDescent="0.25">
      <c r="M19" s="38"/>
      <c r="AD19" s="41"/>
    </row>
    <row r="20" spans="1:32" ht="17" thickBot="1" x14ac:dyDescent="0.25">
      <c r="M20" s="470" t="s">
        <v>128</v>
      </c>
      <c r="N20" s="471"/>
      <c r="O20" s="471"/>
      <c r="P20" s="471"/>
      <c r="Q20" s="471"/>
      <c r="R20" s="472"/>
      <c r="AD20" s="41"/>
    </row>
    <row r="21" spans="1:32" ht="21" thickBot="1" x14ac:dyDescent="0.3">
      <c r="B21" s="463" t="s">
        <v>129</v>
      </c>
      <c r="C21" s="463"/>
      <c r="D21" s="463"/>
      <c r="M21" s="453" t="s">
        <v>107</v>
      </c>
      <c r="N21" s="454"/>
      <c r="O21" s="454"/>
      <c r="P21" s="119" t="s">
        <v>108</v>
      </c>
      <c r="Q21" s="119" t="s">
        <v>109</v>
      </c>
      <c r="R21" s="120" t="s">
        <v>130</v>
      </c>
      <c r="T21" s="453" t="s">
        <v>131</v>
      </c>
      <c r="U21" s="464"/>
      <c r="AB21" s="3"/>
      <c r="AD21" s="41"/>
    </row>
    <row r="22" spans="1:32" ht="15.75" customHeight="1" x14ac:dyDescent="0.25">
      <c r="B22" s="463" t="s">
        <v>132</v>
      </c>
      <c r="C22" s="463"/>
      <c r="D22" s="463"/>
      <c r="E22" s="97">
        <f>tab_consegne!Q38</f>
        <v>0</v>
      </c>
      <c r="M22" s="451" t="s">
        <v>133</v>
      </c>
      <c r="N22" s="452"/>
      <c r="O22" s="452"/>
      <c r="P22" s="121">
        <v>103</v>
      </c>
      <c r="Q22" s="121">
        <f t="shared" ref="Q22:Q28" si="4">ROUNDUP(P22/2,0)</f>
        <v>52</v>
      </c>
      <c r="R22" s="122">
        <f t="shared" ref="R22:R28" si="5">Q22*1.2*0.8</f>
        <v>49.92</v>
      </c>
      <c r="T22" s="38" t="s">
        <v>134</v>
      </c>
      <c r="U22" s="125">
        <v>70.8</v>
      </c>
      <c r="AB22" s="108"/>
      <c r="AC22" s="108"/>
      <c r="AD22" s="129"/>
      <c r="AE22" s="108"/>
    </row>
    <row r="23" spans="1:32" ht="18.75" customHeight="1" x14ac:dyDescent="0.25">
      <c r="M23" s="455" t="s">
        <v>135</v>
      </c>
      <c r="N23" s="456"/>
      <c r="O23" s="456"/>
      <c r="P23" s="3">
        <v>42</v>
      </c>
      <c r="Q23" s="3">
        <f t="shared" si="4"/>
        <v>21</v>
      </c>
      <c r="R23" s="89">
        <f t="shared" si="5"/>
        <v>20.16</v>
      </c>
      <c r="T23" s="38" t="s">
        <v>136</v>
      </c>
      <c r="U23" s="125">
        <v>47.5</v>
      </c>
      <c r="AD23" s="41"/>
    </row>
    <row r="24" spans="1:32" ht="16.5" customHeight="1" thickBot="1" x14ac:dyDescent="0.25">
      <c r="C24" s="3" t="s">
        <v>137</v>
      </c>
      <c r="D24" s="3"/>
      <c r="E24" s="75" t="s">
        <v>138</v>
      </c>
      <c r="M24" s="455" t="s">
        <v>139</v>
      </c>
      <c r="N24" s="456"/>
      <c r="O24" s="456"/>
      <c r="P24" s="3">
        <v>12</v>
      </c>
      <c r="Q24" s="3">
        <f t="shared" si="4"/>
        <v>6</v>
      </c>
      <c r="R24" s="89">
        <f t="shared" si="5"/>
        <v>5.76</v>
      </c>
      <c r="T24" s="190" t="s">
        <v>140</v>
      </c>
      <c r="U24" s="193">
        <f>U22*U23</f>
        <v>3363</v>
      </c>
      <c r="AD24" s="41"/>
    </row>
    <row r="25" spans="1:32" x14ac:dyDescent="0.2">
      <c r="M25" s="455" t="s">
        <v>63</v>
      </c>
      <c r="N25" s="456"/>
      <c r="O25" s="456"/>
      <c r="P25" s="3">
        <v>11</v>
      </c>
      <c r="Q25" s="3">
        <f t="shared" si="4"/>
        <v>6</v>
      </c>
      <c r="R25" s="89">
        <f t="shared" si="5"/>
        <v>5.76</v>
      </c>
      <c r="AD25" s="41"/>
    </row>
    <row r="26" spans="1:32" ht="17" thickBot="1" x14ac:dyDescent="0.25">
      <c r="C26" t="s">
        <v>141</v>
      </c>
      <c r="E26">
        <f>1800</f>
        <v>1800</v>
      </c>
      <c r="M26" s="455" t="s">
        <v>142</v>
      </c>
      <c r="N26" s="456"/>
      <c r="O26" s="456"/>
      <c r="P26" s="3">
        <v>8</v>
      </c>
      <c r="Q26" s="3">
        <f t="shared" si="4"/>
        <v>4</v>
      </c>
      <c r="R26" s="89">
        <f t="shared" si="5"/>
        <v>3.84</v>
      </c>
      <c r="AD26" s="41"/>
    </row>
    <row r="27" spans="1:32" ht="17" thickBot="1" x14ac:dyDescent="0.25">
      <c r="M27" s="455" t="s">
        <v>68</v>
      </c>
      <c r="N27" s="456"/>
      <c r="O27" s="456"/>
      <c r="P27" s="3">
        <v>5</v>
      </c>
      <c r="Q27" s="3">
        <f t="shared" si="4"/>
        <v>3</v>
      </c>
      <c r="R27" s="89">
        <f t="shared" si="5"/>
        <v>2.88</v>
      </c>
      <c r="T27" s="453" t="s">
        <v>143</v>
      </c>
      <c r="U27" s="454"/>
      <c r="V27" s="464"/>
      <c r="Y27" s="453" t="s">
        <v>144</v>
      </c>
      <c r="Z27" s="454"/>
      <c r="AA27" s="464"/>
      <c r="AD27" s="41"/>
    </row>
    <row r="28" spans="1:32" x14ac:dyDescent="0.2">
      <c r="M28" s="455" t="s">
        <v>145</v>
      </c>
      <c r="N28" s="456"/>
      <c r="O28" s="456"/>
      <c r="P28" s="3">
        <v>55</v>
      </c>
      <c r="Q28" s="3">
        <f t="shared" si="4"/>
        <v>28</v>
      </c>
      <c r="R28" s="89">
        <f t="shared" si="5"/>
        <v>26.880000000000003</v>
      </c>
      <c r="T28" s="111"/>
      <c r="U28" s="121" t="s">
        <v>146</v>
      </c>
      <c r="V28" s="122" t="s">
        <v>147</v>
      </c>
      <c r="Y28" s="111"/>
      <c r="Z28" s="121" t="s">
        <v>146</v>
      </c>
      <c r="AA28" s="122" t="s">
        <v>147</v>
      </c>
      <c r="AD28" s="41"/>
    </row>
    <row r="29" spans="1:32" ht="20" thickBot="1" x14ac:dyDescent="0.25">
      <c r="M29" s="46"/>
      <c r="N29" s="36"/>
      <c r="O29" s="36"/>
      <c r="P29" s="36"/>
      <c r="Q29" s="123" t="s">
        <v>148</v>
      </c>
      <c r="R29" s="87">
        <f>SUM(R22:R28)</f>
        <v>115.20000000000002</v>
      </c>
      <c r="T29" s="38" t="s">
        <v>149</v>
      </c>
      <c r="U29" s="3">
        <f>27+34+6+3</f>
        <v>70</v>
      </c>
      <c r="V29" s="126">
        <f>38+19+1.5</f>
        <v>58.5</v>
      </c>
      <c r="Y29" s="38" t="s">
        <v>149</v>
      </c>
      <c r="Z29" s="3">
        <f>4+27+21</f>
        <v>52</v>
      </c>
      <c r="AA29" s="126">
        <f>2.2+18+2.5</f>
        <v>22.7</v>
      </c>
      <c r="AD29" s="41"/>
    </row>
    <row r="30" spans="1:32" ht="17" thickBot="1" x14ac:dyDescent="0.25">
      <c r="A30" s="453" t="s">
        <v>150</v>
      </c>
      <c r="B30" s="454"/>
      <c r="C30" s="454"/>
      <c r="D30" s="454"/>
      <c r="E30" s="454"/>
      <c r="F30" s="454"/>
      <c r="G30" s="454"/>
      <c r="H30" s="464"/>
      <c r="M30" s="38"/>
      <c r="T30" s="38" t="s">
        <v>151</v>
      </c>
      <c r="U30" s="85">
        <f>(N6-1)*G10/2000</f>
        <v>2.375</v>
      </c>
      <c r="V30" s="126">
        <f>(N7-1)*G12/1000/2</f>
        <v>2.145</v>
      </c>
      <c r="Y30" s="38" t="s">
        <v>151</v>
      </c>
      <c r="Z30" s="85">
        <f>U30</f>
        <v>2.375</v>
      </c>
      <c r="AA30" s="126">
        <f>V30</f>
        <v>2.145</v>
      </c>
      <c r="AD30" s="41"/>
      <c r="AF30" s="103"/>
    </row>
    <row r="31" spans="1:32" ht="19" thickBot="1" x14ac:dyDescent="0.3">
      <c r="A31" s="111"/>
      <c r="B31" s="112"/>
      <c r="C31" s="112"/>
      <c r="D31" s="113" t="s">
        <v>152</v>
      </c>
      <c r="E31" s="112"/>
      <c r="F31" s="113" t="s">
        <v>153</v>
      </c>
      <c r="G31" s="112"/>
      <c r="H31" s="114"/>
      <c r="M31" s="470" t="s">
        <v>154</v>
      </c>
      <c r="N31" s="471"/>
      <c r="O31" s="471"/>
      <c r="P31" s="471"/>
      <c r="Q31" s="471"/>
      <c r="R31" s="472"/>
      <c r="T31" s="38" t="s">
        <v>155</v>
      </c>
      <c r="U31" s="85">
        <f>(dimens_mag_MP!U29)/(carr_elev!K6)+(dimens_mag_MP!U29)/(carr_elev!L6)+(dimens_mag_MP!U30)/(carr_elev!M6)+(dimens_mag_MP!U30)/(carr_elev!P6)+2*dimens_mag_MP!E14</f>
        <v>188.57499999999999</v>
      </c>
      <c r="V31" s="126">
        <f>(dimens_mag_MP!V29)/(carr_elev!K6)+(dimens_mag_MP!V29)/(carr_elev!L6)+(dimens_mag_MP!V30)/(carr_elev!M6)+(dimens_mag_MP!V30)/(carr_elev!P6)+2*dimens_mag_MP!E14</f>
        <v>178.11</v>
      </c>
      <c r="W31" t="s">
        <v>156</v>
      </c>
      <c r="X31">
        <f>AVERAGE(U31,V31)</f>
        <v>183.3425</v>
      </c>
      <c r="Y31" s="38" t="s">
        <v>157</v>
      </c>
      <c r="Z31" s="85">
        <v>164.07249999999999</v>
      </c>
      <c r="AA31" s="126">
        <v>150.36750000000001</v>
      </c>
      <c r="AB31" t="s">
        <v>156</v>
      </c>
      <c r="AC31">
        <f>AVERAGE(Z31,AA31)</f>
        <v>157.22</v>
      </c>
      <c r="AD31" s="41"/>
    </row>
    <row r="32" spans="1:32" ht="19" thickBot="1" x14ac:dyDescent="0.3">
      <c r="A32" s="38"/>
      <c r="C32" t="s">
        <v>158</v>
      </c>
      <c r="H32" s="41"/>
      <c r="M32" s="453" t="s">
        <v>107</v>
      </c>
      <c r="N32" s="454"/>
      <c r="O32" s="454"/>
      <c r="P32" s="120" t="s">
        <v>108</v>
      </c>
      <c r="Q32" s="111"/>
      <c r="R32" s="114"/>
      <c r="T32" s="38" t="s">
        <v>159</v>
      </c>
      <c r="U32" s="3">
        <f>ROUNDUP(SUM(tab_consegne!F38:F40)/tab_consegne!R33,0)</f>
        <v>237</v>
      </c>
      <c r="V32" s="89">
        <f>ROUNDUP(tab_consegne!F36/tab_consegne!R33,0)</f>
        <v>8</v>
      </c>
      <c r="Y32" s="38" t="s">
        <v>159</v>
      </c>
      <c r="Z32" s="3">
        <v>79</v>
      </c>
      <c r="AA32" s="89">
        <v>3</v>
      </c>
      <c r="AD32" s="41"/>
    </row>
    <row r="33" spans="1:30" ht="18" x14ac:dyDescent="0.25">
      <c r="A33" s="38"/>
      <c r="C33" t="s">
        <v>160</v>
      </c>
      <c r="D33" s="3">
        <f>(2*E12*F12+F12*E26)/1000000</f>
        <v>4.2750000000000004</v>
      </c>
      <c r="E33" s="3"/>
      <c r="F33" s="3">
        <f>(2*(dimens_mag_MP!E9*dimens_mag_MP!F9)+dimens_mag_MP!F9*dimens_mag_MP!E26)/1000000</f>
        <v>4.6550000000000002</v>
      </c>
      <c r="H33" s="41"/>
      <c r="M33" s="451" t="s">
        <v>133</v>
      </c>
      <c r="N33" s="452"/>
      <c r="O33" s="452"/>
      <c r="P33" s="122">
        <v>103</v>
      </c>
      <c r="Q33" s="38" t="s">
        <v>160</v>
      </c>
      <c r="R33" s="89">
        <f>(3200+2*F12)*E12/1000000</f>
        <v>6.8849999999999998</v>
      </c>
      <c r="T33" s="38" t="s">
        <v>161</v>
      </c>
      <c r="U33" s="85">
        <f>1.2*U32*U31/3600</f>
        <v>14.897424999999998</v>
      </c>
      <c r="V33" s="126">
        <f>1.2*V32*V31/3600</f>
        <v>0.47495999999999999</v>
      </c>
      <c r="Y33" s="38" t="s">
        <v>161</v>
      </c>
      <c r="Z33" s="85">
        <f>1.2*Z32*Z31/3600</f>
        <v>4.3205758333333328</v>
      </c>
      <c r="AA33" s="126">
        <f>1.2*AA32*AA31/3600</f>
        <v>0.15036749999999999</v>
      </c>
      <c r="AD33" s="41"/>
    </row>
    <row r="34" spans="1:30" ht="18" x14ac:dyDescent="0.25">
      <c r="A34" s="38"/>
      <c r="C34" t="s">
        <v>162</v>
      </c>
      <c r="D34" s="3">
        <f>INT(12000/dimens_mag_MP!G12)+1</f>
        <v>9</v>
      </c>
      <c r="E34" s="3"/>
      <c r="F34" s="3">
        <f>INT(12000/dimens_mag_MP!G10)+1</f>
        <v>13</v>
      </c>
      <c r="H34" s="41"/>
      <c r="M34" s="455" t="s">
        <v>135</v>
      </c>
      <c r="N34" s="456"/>
      <c r="O34" s="456"/>
      <c r="P34" s="89">
        <v>42</v>
      </c>
      <c r="Q34" s="38" t="s">
        <v>163</v>
      </c>
      <c r="R34" s="89">
        <f>N7*2</f>
        <v>8</v>
      </c>
      <c r="T34" s="38" t="s">
        <v>164</v>
      </c>
      <c r="U34" s="25">
        <f>ROUNDUP(U33+V33,0)</f>
        <v>16</v>
      </c>
      <c r="V34" s="89"/>
      <c r="Y34" s="38" t="s">
        <v>164</v>
      </c>
      <c r="Z34" s="25">
        <f>ROUNDUP(Z33+AA33,0)</f>
        <v>5</v>
      </c>
      <c r="AA34" s="89"/>
      <c r="AD34" s="41"/>
    </row>
    <row r="35" spans="1:30" ht="18" x14ac:dyDescent="0.25">
      <c r="A35" s="38"/>
      <c r="C35" t="s">
        <v>163</v>
      </c>
      <c r="D35" s="3">
        <f>D34*2</f>
        <v>18</v>
      </c>
      <c r="E35" s="3"/>
      <c r="F35" s="3">
        <f>F34*2</f>
        <v>26</v>
      </c>
      <c r="H35" s="41"/>
      <c r="M35" s="455" t="s">
        <v>139</v>
      </c>
      <c r="N35" s="456"/>
      <c r="O35" s="456"/>
      <c r="P35" s="89">
        <v>12</v>
      </c>
      <c r="Q35" s="38" t="s">
        <v>165</v>
      </c>
      <c r="R35" s="89">
        <f>ROUNDUP(SUM(P22:P28)/R34,0)</f>
        <v>30</v>
      </c>
      <c r="T35" s="38" t="s">
        <v>166</v>
      </c>
      <c r="U35" s="3">
        <f>ROUNDDOWN(U34*3600/X31,0)</f>
        <v>314</v>
      </c>
      <c r="V35" s="89"/>
      <c r="Y35" s="38" t="s">
        <v>166</v>
      </c>
      <c r="Z35" s="3"/>
      <c r="AA35" s="89"/>
      <c r="AD35" s="41"/>
    </row>
    <row r="36" spans="1:30" ht="19" thickBot="1" x14ac:dyDescent="0.3">
      <c r="A36" s="38"/>
      <c r="C36" t="s">
        <v>167</v>
      </c>
      <c r="D36" s="3">
        <f>ROUND(D33/D35,3)</f>
        <v>0.23799999999999999</v>
      </c>
      <c r="E36" s="3"/>
      <c r="F36" s="3">
        <f>ROUND(F33/F35,3)</f>
        <v>0.17899999999999999</v>
      </c>
      <c r="H36" s="41"/>
      <c r="M36" s="455" t="s">
        <v>63</v>
      </c>
      <c r="N36" s="456"/>
      <c r="O36" s="456"/>
      <c r="P36" s="89">
        <v>11</v>
      </c>
      <c r="Q36" s="38" t="s">
        <v>168</v>
      </c>
      <c r="R36" s="89">
        <f>R35*0.95</f>
        <v>28.5</v>
      </c>
      <c r="T36" s="46" t="s">
        <v>169</v>
      </c>
      <c r="U36" s="35">
        <f>N6*Q18*P5</f>
        <v>4752</v>
      </c>
      <c r="V36" s="47">
        <f>2*N7*R35</f>
        <v>240</v>
      </c>
      <c r="Y36" s="46"/>
      <c r="Z36" s="35"/>
      <c r="AA36" s="47"/>
      <c r="AD36" s="41"/>
    </row>
    <row r="37" spans="1:30" ht="18" x14ac:dyDescent="0.25">
      <c r="A37" s="38"/>
      <c r="C37" t="s">
        <v>170</v>
      </c>
      <c r="D37" s="3">
        <f>ROUND(D36*E18,2)</f>
        <v>101.15</v>
      </c>
      <c r="E37" s="3"/>
      <c r="F37" s="3">
        <f>ROUND(F36*E17,2)</f>
        <v>774.35</v>
      </c>
      <c r="H37" s="41"/>
      <c r="M37" s="455" t="s">
        <v>142</v>
      </c>
      <c r="N37" s="456"/>
      <c r="O37" s="456"/>
      <c r="P37" s="89">
        <v>8</v>
      </c>
      <c r="Q37" t="s">
        <v>140</v>
      </c>
      <c r="R37" s="89">
        <f>R36*(3.2+2*1.55)</f>
        <v>179.55</v>
      </c>
      <c r="W37" s="21"/>
      <c r="X37" s="21"/>
      <c r="AD37" s="41"/>
    </row>
    <row r="38" spans="1:30" ht="19" thickBot="1" x14ac:dyDescent="0.3">
      <c r="A38" s="38"/>
      <c r="C38" t="s">
        <v>171</v>
      </c>
      <c r="D38" s="3"/>
      <c r="E38" s="3"/>
      <c r="F38" s="3">
        <f>ROUND(SQRT(2*(F37+D37)),1)</f>
        <v>41.8</v>
      </c>
      <c r="H38" s="41"/>
      <c r="M38" s="455" t="s">
        <v>68</v>
      </c>
      <c r="N38" s="456"/>
      <c r="O38" s="456"/>
      <c r="P38" s="89">
        <v>5</v>
      </c>
      <c r="Q38" s="38"/>
      <c r="R38" s="124"/>
      <c r="X38" s="21"/>
      <c r="Y38" s="21"/>
      <c r="AD38" s="41"/>
    </row>
    <row r="39" spans="1:30" ht="19" thickBot="1" x14ac:dyDescent="0.3">
      <c r="A39" s="38"/>
      <c r="C39" t="s">
        <v>172</v>
      </c>
      <c r="D39" s="3"/>
      <c r="E39" s="3"/>
      <c r="F39" s="115">
        <f>ROUND(F38/1.5, 1)</f>
        <v>27.9</v>
      </c>
      <c r="H39" s="41"/>
      <c r="M39" s="473" t="s">
        <v>145</v>
      </c>
      <c r="N39" s="474"/>
      <c r="O39" s="474"/>
      <c r="P39" s="87">
        <v>55</v>
      </c>
      <c r="Q39" s="46"/>
      <c r="R39" s="47"/>
      <c r="T39" t="s">
        <v>173</v>
      </c>
      <c r="V39" s="191">
        <f>U36*80+(Y39)*50000+1000*U22*U23+V36*100</f>
        <v>4767160</v>
      </c>
      <c r="W39" s="21"/>
      <c r="X39" t="s">
        <v>174</v>
      </c>
      <c r="Y39" s="192">
        <f>ROUNDUP(U33+V33+AA33+Z33,0)</f>
        <v>20</v>
      </c>
      <c r="Z39" t="s">
        <v>175</v>
      </c>
      <c r="AA39" s="60">
        <f>(U31*U32+V31*V32+Z31*Z32+AA31*AA32)/SUM(U32,V32,Z32,AA32)</f>
        <v>182.04888379204891</v>
      </c>
      <c r="AD39" s="41"/>
    </row>
    <row r="40" spans="1:30" ht="18" x14ac:dyDescent="0.25">
      <c r="A40" s="38"/>
      <c r="C40" t="s">
        <v>176</v>
      </c>
      <c r="D40" s="3">
        <v>1</v>
      </c>
      <c r="E40" s="3"/>
      <c r="F40" s="25">
        <v>11</v>
      </c>
      <c r="G40" s="25">
        <f>ROUNDUP(F38/E41,0)</f>
        <v>12</v>
      </c>
      <c r="H40" s="41"/>
      <c r="M40" s="38"/>
      <c r="W40" s="21"/>
      <c r="X40" t="s">
        <v>159</v>
      </c>
      <c r="Y40">
        <f>SUM(U32,V32,Z32,AA32)</f>
        <v>327</v>
      </c>
      <c r="AD40" s="41"/>
    </row>
    <row r="41" spans="1:30" ht="18" x14ac:dyDescent="0.25">
      <c r="A41" s="38"/>
      <c r="C41" t="s">
        <v>177</v>
      </c>
      <c r="D41" s="3"/>
      <c r="E41" s="3">
        <f>(2*F11+E26)*10^(-3)</f>
        <v>3.7</v>
      </c>
      <c r="F41" s="3"/>
      <c r="H41" s="41"/>
      <c r="M41" s="38"/>
      <c r="W41" s="21"/>
      <c r="X41" t="s">
        <v>166</v>
      </c>
      <c r="Y41">
        <f>ROUNDDOWN(Y39*3600/AA39,0)</f>
        <v>395</v>
      </c>
      <c r="AD41" s="41"/>
    </row>
    <row r="42" spans="1:30" ht="18" x14ac:dyDescent="0.25">
      <c r="A42" s="38"/>
      <c r="C42" t="s">
        <v>178</v>
      </c>
      <c r="D42" s="3">
        <f>ROUNDUP(E18/(D40*D35),0)</f>
        <v>24</v>
      </c>
      <c r="E42" s="3"/>
      <c r="F42" s="3">
        <f>ROUNDUP((E17)/(F40*F35),0)</f>
        <v>16</v>
      </c>
      <c r="H42" s="41"/>
      <c r="M42" s="38"/>
      <c r="T42" s="130"/>
      <c r="U42" s="131"/>
      <c r="W42" s="21"/>
      <c r="X42" s="21"/>
      <c r="AD42" s="41"/>
    </row>
    <row r="43" spans="1:30" ht="19" thickBot="1" x14ac:dyDescent="0.3">
      <c r="A43" s="38"/>
      <c r="C43" t="s">
        <v>179</v>
      </c>
      <c r="D43" s="3">
        <f>D42*D40*D35</f>
        <v>432</v>
      </c>
      <c r="E43" s="3"/>
      <c r="F43" s="25">
        <f>F42*F40*F35</f>
        <v>4576</v>
      </c>
      <c r="H43" s="41"/>
      <c r="M43" s="46"/>
      <c r="N43" s="36"/>
      <c r="O43" s="36"/>
      <c r="P43" s="36"/>
      <c r="Q43" s="36"/>
      <c r="R43" s="36"/>
      <c r="S43" s="36"/>
      <c r="T43" s="132"/>
      <c r="U43" s="133"/>
      <c r="V43" s="36"/>
      <c r="W43" s="134"/>
      <c r="X43" s="134"/>
      <c r="Y43" s="36"/>
      <c r="Z43" s="36"/>
      <c r="AA43" s="36"/>
      <c r="AB43" s="36"/>
      <c r="AC43" s="36"/>
      <c r="AD43" s="47"/>
    </row>
    <row r="44" spans="1:30" ht="19" thickBot="1" x14ac:dyDescent="0.3">
      <c r="A44" s="38"/>
      <c r="C44" t="s">
        <v>134</v>
      </c>
      <c r="D44" s="3"/>
      <c r="E44" s="3">
        <f>G40*E41+6</f>
        <v>50.400000000000006</v>
      </c>
      <c r="F44" s="3"/>
      <c r="H44" s="41"/>
    </row>
    <row r="45" spans="1:30" ht="19" thickBot="1" x14ac:dyDescent="0.3">
      <c r="A45" s="38"/>
      <c r="C45" t="s">
        <v>136</v>
      </c>
      <c r="D45" s="3"/>
      <c r="E45" s="3">
        <f>D42*(E11*10^(-3))+6</f>
        <v>38.400000000000006</v>
      </c>
      <c r="F45" s="3"/>
      <c r="H45" s="41"/>
      <c r="T45" s="453" t="s">
        <v>180</v>
      </c>
      <c r="U45" s="454"/>
      <c r="V45" s="464"/>
    </row>
    <row r="46" spans="1:30" ht="21" thickBot="1" x14ac:dyDescent="0.3">
      <c r="A46" s="38"/>
      <c r="C46" t="s">
        <v>140</v>
      </c>
      <c r="D46" s="3"/>
      <c r="E46" s="110">
        <f>E44*E45</f>
        <v>1935.3600000000006</v>
      </c>
      <c r="F46" s="3"/>
      <c r="H46" s="41"/>
      <c r="T46" s="38" t="s">
        <v>181</v>
      </c>
      <c r="U46" s="84">
        <f>U24/SUM(O9:O17,P33:P39)</f>
        <v>0.70785097874131764</v>
      </c>
      <c r="V46" s="41" t="s">
        <v>182</v>
      </c>
    </row>
    <row r="47" spans="1:30" ht="20" x14ac:dyDescent="0.25">
      <c r="A47" s="38"/>
      <c r="H47" s="41"/>
      <c r="T47" s="38" t="s">
        <v>183</v>
      </c>
      <c r="U47" s="380">
        <f>U46*MAX(N6*G10,N7*G12)/1000</f>
        <v>4.0489075984003371</v>
      </c>
      <c r="V47" s="41" t="s">
        <v>184</v>
      </c>
    </row>
    <row r="48" spans="1:30" ht="18" x14ac:dyDescent="0.25">
      <c r="A48" s="38"/>
      <c r="H48" s="41"/>
      <c r="T48" s="38" t="s">
        <v>179</v>
      </c>
      <c r="U48">
        <f>SUM(U36,V36)</f>
        <v>4992</v>
      </c>
      <c r="V48" s="41" t="s">
        <v>185</v>
      </c>
    </row>
    <row r="49" spans="1:22" ht="17" thickBot="1" x14ac:dyDescent="0.25">
      <c r="A49" s="38"/>
      <c r="C49" t="s">
        <v>186</v>
      </c>
      <c r="H49" s="41"/>
      <c r="T49" s="46" t="s">
        <v>187</v>
      </c>
      <c r="U49" s="133">
        <f>N6/(N6*P5)</f>
        <v>0.1111111111111111</v>
      </c>
      <c r="V49" s="47"/>
    </row>
    <row r="50" spans="1:22" x14ac:dyDescent="0.2">
      <c r="A50" s="38"/>
      <c r="D50" s="3"/>
      <c r="E50" s="3"/>
      <c r="F50" s="3"/>
      <c r="H50" s="41"/>
    </row>
    <row r="51" spans="1:22" x14ac:dyDescent="0.2">
      <c r="A51" s="38"/>
      <c r="C51" t="s">
        <v>149</v>
      </c>
      <c r="D51" s="3">
        <f>6+E44/2-E41/2+D42*F12/1000</f>
        <v>52.150000000000006</v>
      </c>
      <c r="E51" s="3"/>
      <c r="F51" s="3">
        <f>6+E44/4+F42*F9/1000</f>
        <v>33.799999999999997</v>
      </c>
      <c r="H51" s="41"/>
    </row>
    <row r="52" spans="1:22" x14ac:dyDescent="0.2">
      <c r="A52" s="38"/>
      <c r="C52" t="s">
        <v>151</v>
      </c>
      <c r="D52" s="3">
        <f>(D34-1)/2*G12/1000</f>
        <v>5.72</v>
      </c>
      <c r="E52" s="3"/>
      <c r="F52" s="3">
        <f>(F34-1)/2*G10/1000</f>
        <v>5.7</v>
      </c>
      <c r="H52" s="41"/>
    </row>
    <row r="53" spans="1:22" ht="18" x14ac:dyDescent="0.25">
      <c r="A53" s="38"/>
      <c r="C53" t="s">
        <v>155</v>
      </c>
      <c r="D53" s="3">
        <f>ROUND((2*dimens_mag_MP!D51)/(carr_elev!K33)+(dimens_mag_MP!D52)/(carr_elev!L33)+(dimens_mag_MP!D52)/(carr_elev!M33)+2*dimens_mag_MP!E14,2)</f>
        <v>181.77</v>
      </c>
      <c r="E53" s="3">
        <f>(F53*F40+D53*D40)/G40</f>
        <v>170.15583333333333</v>
      </c>
      <c r="F53" s="3">
        <f>ROUND((2*dimens_mag_MP!F51)/(carr_elev!K33)+(dimens_mag_MP!F52)/(carr_elev!L33)+(dimens_mag_MP!F52)/(carr_elev!M33)+2*dimens_mag_MP!E14,2)</f>
        <v>169.1</v>
      </c>
      <c r="H53" s="41"/>
    </row>
    <row r="54" spans="1:22" ht="18" x14ac:dyDescent="0.25">
      <c r="A54" s="38" t="s">
        <v>188</v>
      </c>
      <c r="C54" t="s">
        <v>164</v>
      </c>
      <c r="D54" s="3"/>
      <c r="E54" s="3">
        <f>ROUNDUP(($E$15*SUM(F61,D61)*E53)/3600,0)</f>
        <v>14</v>
      </c>
      <c r="F54" s="3"/>
      <c r="H54" s="41"/>
    </row>
    <row r="55" spans="1:22" ht="18" x14ac:dyDescent="0.25">
      <c r="A55" s="38"/>
      <c r="C55" t="s">
        <v>166</v>
      </c>
      <c r="D55" s="3"/>
      <c r="E55" s="3">
        <f>ROUNDDOWN(E54*3600/E53,0)</f>
        <v>296</v>
      </c>
      <c r="F55" s="3"/>
      <c r="H55" s="41"/>
    </row>
    <row r="56" spans="1:22" x14ac:dyDescent="0.2">
      <c r="A56" s="38"/>
      <c r="D56" s="116"/>
      <c r="E56" s="3"/>
      <c r="F56" s="3"/>
      <c r="H56" s="41"/>
    </row>
    <row r="57" spans="1:22" x14ac:dyDescent="0.2">
      <c r="A57" s="38"/>
      <c r="D57" s="3"/>
      <c r="E57" s="3"/>
      <c r="F57" s="3"/>
      <c r="H57" s="41"/>
    </row>
    <row r="58" spans="1:22" x14ac:dyDescent="0.2">
      <c r="A58" s="38" t="s">
        <v>189</v>
      </c>
      <c r="C58" t="s">
        <v>149</v>
      </c>
      <c r="D58" s="3">
        <f>D51</f>
        <v>52.150000000000006</v>
      </c>
      <c r="E58" s="3"/>
      <c r="F58" s="3">
        <f>F51</f>
        <v>33.799999999999997</v>
      </c>
      <c r="H58" s="41"/>
    </row>
    <row r="59" spans="1:22" x14ac:dyDescent="0.2">
      <c r="A59" s="38"/>
      <c r="C59" t="s">
        <v>151</v>
      </c>
      <c r="D59" s="3">
        <f t="shared" ref="D59:D60" si="6">D52</f>
        <v>5.72</v>
      </c>
      <c r="E59" s="3"/>
      <c r="F59" s="3">
        <f t="shared" ref="F59:F60" si="7">F52</f>
        <v>5.7</v>
      </c>
      <c r="H59" s="41"/>
    </row>
    <row r="60" spans="1:22" ht="18" x14ac:dyDescent="0.25">
      <c r="A60" s="38"/>
      <c r="C60" t="s">
        <v>155</v>
      </c>
      <c r="D60" s="3">
        <f t="shared" si="6"/>
        <v>181.77</v>
      </c>
      <c r="E60" s="3"/>
      <c r="F60" s="3">
        <f t="shared" si="7"/>
        <v>169.1</v>
      </c>
      <c r="G60" t="s">
        <v>156</v>
      </c>
      <c r="H60" s="41">
        <f>AVERAGE(D60,F60)</f>
        <v>175.435</v>
      </c>
    </row>
    <row r="61" spans="1:22" ht="18" x14ac:dyDescent="0.25">
      <c r="A61" s="38"/>
      <c r="C61" t="s">
        <v>159</v>
      </c>
      <c r="D61" s="3">
        <f>ROUNDUP(SUM(tab_consegne!F36+tab_consegne!F40)/tab_consegne!R33,0)</f>
        <v>18</v>
      </c>
      <c r="E61" s="3"/>
      <c r="F61" s="3">
        <f>ROUNDUP(SUM(tab_consegne!F38:F39)/tab_consegne!R33,0)</f>
        <v>227</v>
      </c>
      <c r="H61" s="41"/>
    </row>
    <row r="62" spans="1:22" ht="19" thickBot="1" x14ac:dyDescent="0.3">
      <c r="A62" s="38"/>
      <c r="C62" t="s">
        <v>161</v>
      </c>
      <c r="D62" s="3">
        <f>1.2*D61*D60/3600</f>
        <v>1.0906199999999999</v>
      </c>
      <c r="E62" s="3"/>
      <c r="F62" s="3">
        <f>1.2*F61*F60/3600</f>
        <v>12.795233333333332</v>
      </c>
      <c r="H62" s="41"/>
    </row>
    <row r="63" spans="1:22" ht="19" thickBot="1" x14ac:dyDescent="0.3">
      <c r="A63" s="38"/>
      <c r="C63" t="s">
        <v>164</v>
      </c>
      <c r="D63" s="3"/>
      <c r="E63" s="109">
        <f>ROUNDUP(D62+F62,0)</f>
        <v>14</v>
      </c>
      <c r="F63" s="3"/>
      <c r="H63" s="41"/>
    </row>
    <row r="64" spans="1:22" ht="18" x14ac:dyDescent="0.25">
      <c r="A64" s="38"/>
      <c r="C64" t="s">
        <v>166</v>
      </c>
      <c r="D64" s="3"/>
      <c r="E64" s="3">
        <f>ROUNDDOWN(E63*3600/H60,0)</f>
        <v>287</v>
      </c>
      <c r="F64" s="3"/>
      <c r="H64" s="41"/>
    </row>
    <row r="65" spans="1:8" ht="19" thickBot="1" x14ac:dyDescent="0.3">
      <c r="A65" s="46" t="s">
        <v>173</v>
      </c>
      <c r="B65" s="117">
        <f>E63*100000+E46*1000+(D42*D40*D35+F42*F40*F35)*100</f>
        <v>3836160.0000000005</v>
      </c>
      <c r="C65" s="36" t="s">
        <v>169</v>
      </c>
      <c r="D65" s="118">
        <f>D43+F43</f>
        <v>5008</v>
      </c>
      <c r="E65" s="35"/>
      <c r="F65" s="35"/>
      <c r="G65" s="36"/>
      <c r="H65" s="47"/>
    </row>
  </sheetData>
  <mergeCells count="42">
    <mergeCell ref="T45:V45"/>
    <mergeCell ref="M26:O26"/>
    <mergeCell ref="S8:S18"/>
    <mergeCell ref="B22:D22"/>
    <mergeCell ref="M4:AD4"/>
    <mergeCell ref="M20:R20"/>
    <mergeCell ref="B17:D17"/>
    <mergeCell ref="B4:C4"/>
    <mergeCell ref="B9:C9"/>
    <mergeCell ref="M9:N9"/>
    <mergeCell ref="M39:O39"/>
    <mergeCell ref="M31:R31"/>
    <mergeCell ref="T21:U21"/>
    <mergeCell ref="T27:V27"/>
    <mergeCell ref="M32:O32"/>
    <mergeCell ref="M33:O33"/>
    <mergeCell ref="A1:AD2"/>
    <mergeCell ref="M37:O37"/>
    <mergeCell ref="M38:O38"/>
    <mergeCell ref="B21:D21"/>
    <mergeCell ref="B18:D18"/>
    <mergeCell ref="A30:H30"/>
    <mergeCell ref="M8:N8"/>
    <mergeCell ref="M17:N17"/>
    <mergeCell ref="M16:N16"/>
    <mergeCell ref="M15:N15"/>
    <mergeCell ref="M14:N14"/>
    <mergeCell ref="M13:N13"/>
    <mergeCell ref="M12:N12"/>
    <mergeCell ref="M11:N11"/>
    <mergeCell ref="M10:N10"/>
    <mergeCell ref="Y27:AA27"/>
    <mergeCell ref="M34:O34"/>
    <mergeCell ref="M35:O35"/>
    <mergeCell ref="M36:O36"/>
    <mergeCell ref="M24:O24"/>
    <mergeCell ref="M23:O23"/>
    <mergeCell ref="M22:O22"/>
    <mergeCell ref="M21:O21"/>
    <mergeCell ref="M25:O25"/>
    <mergeCell ref="M27:O27"/>
    <mergeCell ref="M28:O28"/>
  </mergeCells>
  <phoneticPr fontId="23" type="noConversion"/>
  <conditionalFormatting sqref="R9:R17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3901-590E-402D-B6F0-F688B2E40F86}">
  <dimension ref="A1:AC119"/>
  <sheetViews>
    <sheetView topLeftCell="H103" zoomScale="55" zoomScaleNormal="55" workbookViewId="0">
      <selection activeCell="M120" sqref="M120"/>
    </sheetView>
  </sheetViews>
  <sheetFormatPr baseColWidth="10" defaultColWidth="8.5" defaultRowHeight="16" x14ac:dyDescent="0.2"/>
  <cols>
    <col min="1" max="1" width="18.5" customWidth="1"/>
    <col min="2" max="2" width="14" customWidth="1"/>
    <col min="5" max="5" width="17.5" customWidth="1"/>
    <col min="6" max="6" width="15" customWidth="1"/>
    <col min="7" max="7" width="24" customWidth="1"/>
    <col min="8" max="8" width="15" customWidth="1"/>
    <col min="9" max="9" width="16.5" customWidth="1"/>
    <col min="12" max="12" width="24.5" customWidth="1"/>
    <col min="13" max="13" width="16" customWidth="1"/>
    <col min="14" max="14" width="14.5" customWidth="1"/>
    <col min="15" max="15" width="14" customWidth="1"/>
    <col min="16" max="16" width="10.5" bestFit="1" customWidth="1"/>
    <col min="17" max="17" width="24" customWidth="1"/>
    <col min="18" max="18" width="14" customWidth="1"/>
    <col min="19" max="19" width="15" customWidth="1"/>
  </cols>
  <sheetData>
    <row r="1" spans="1:14" x14ac:dyDescent="0.2">
      <c r="A1" t="s">
        <v>190</v>
      </c>
      <c r="B1" t="s">
        <v>81</v>
      </c>
      <c r="C1" t="s">
        <v>191</v>
      </c>
      <c r="F1" s="74" t="s">
        <v>192</v>
      </c>
      <c r="G1" s="74"/>
    </row>
    <row r="3" spans="1:14" x14ac:dyDescent="0.2">
      <c r="A3" t="s">
        <v>193</v>
      </c>
      <c r="B3">
        <v>1600</v>
      </c>
      <c r="C3" t="s">
        <v>191</v>
      </c>
      <c r="K3" t="s">
        <v>194</v>
      </c>
      <c r="L3" t="s">
        <v>41</v>
      </c>
      <c r="M3" t="s">
        <v>195</v>
      </c>
    </row>
    <row r="4" spans="1:14" x14ac:dyDescent="0.2">
      <c r="A4" t="s">
        <v>196</v>
      </c>
      <c r="B4">
        <v>800</v>
      </c>
      <c r="C4" t="s">
        <v>191</v>
      </c>
      <c r="F4" s="159" t="s">
        <v>197</v>
      </c>
      <c r="G4" t="s">
        <v>198</v>
      </c>
      <c r="H4">
        <f>(B17+2*B11)*10^-3</f>
        <v>5.3</v>
      </c>
      <c r="I4" t="s">
        <v>36</v>
      </c>
      <c r="K4" t="s">
        <v>199</v>
      </c>
      <c r="L4">
        <v>4</v>
      </c>
      <c r="M4">
        <v>2</v>
      </c>
    </row>
    <row r="5" spans="1:14" x14ac:dyDescent="0.2">
      <c r="A5" t="s">
        <v>200</v>
      </c>
      <c r="B5">
        <v>600</v>
      </c>
      <c r="C5" t="s">
        <v>191</v>
      </c>
      <c r="F5" s="159" t="s">
        <v>201</v>
      </c>
      <c r="G5" t="s">
        <v>202</v>
      </c>
      <c r="H5">
        <f>B12*(2*B11+B17)</f>
        <v>5035000</v>
      </c>
      <c r="I5" t="s">
        <v>203</v>
      </c>
      <c r="K5" t="s">
        <v>204</v>
      </c>
      <c r="L5">
        <v>2</v>
      </c>
      <c r="M5">
        <v>1</v>
      </c>
    </row>
    <row r="6" spans="1:14" x14ac:dyDescent="0.2">
      <c r="H6">
        <f>H5*10^-6</f>
        <v>5.0350000000000001</v>
      </c>
      <c r="I6" t="s">
        <v>205</v>
      </c>
      <c r="K6" t="s">
        <v>206</v>
      </c>
      <c r="L6">
        <v>3</v>
      </c>
      <c r="M6">
        <v>1.5</v>
      </c>
    </row>
    <row r="7" spans="1:14" x14ac:dyDescent="0.2">
      <c r="F7" s="159" t="s">
        <v>207</v>
      </c>
      <c r="G7" t="s">
        <v>208</v>
      </c>
      <c r="H7">
        <f>INT(12000/dimens_mag_buffer!B13)+1</f>
        <v>17</v>
      </c>
    </row>
    <row r="8" spans="1:14" x14ac:dyDescent="0.2">
      <c r="F8" s="159" t="s">
        <v>209</v>
      </c>
      <c r="G8" t="s">
        <v>210</v>
      </c>
      <c r="H8">
        <f>2*H7</f>
        <v>34</v>
      </c>
    </row>
    <row r="9" spans="1:14" x14ac:dyDescent="0.2">
      <c r="A9" t="s">
        <v>211</v>
      </c>
      <c r="B9" t="s">
        <v>212</v>
      </c>
      <c r="C9" t="s">
        <v>191</v>
      </c>
      <c r="F9" s="159" t="s">
        <v>213</v>
      </c>
      <c r="G9" t="s">
        <v>214</v>
      </c>
      <c r="H9" s="84">
        <f>H6/H8</f>
        <v>0.14808823529411766</v>
      </c>
      <c r="I9" t="s">
        <v>215</v>
      </c>
    </row>
    <row r="10" spans="1:14" x14ac:dyDescent="0.2">
      <c r="F10" s="159" t="s">
        <v>216</v>
      </c>
      <c r="G10" t="s">
        <v>217</v>
      </c>
      <c r="H10" s="60">
        <f>H9*B20</f>
        <v>671.72823529411767</v>
      </c>
      <c r="I10" t="s">
        <v>218</v>
      </c>
    </row>
    <row r="11" spans="1:14" x14ac:dyDescent="0.2">
      <c r="A11" t="s">
        <v>193</v>
      </c>
      <c r="B11">
        <f>B3+150</f>
        <v>1750</v>
      </c>
      <c r="C11" t="s">
        <v>191</v>
      </c>
      <c r="K11" s="159" t="s">
        <v>219</v>
      </c>
      <c r="L11" t="s">
        <v>220</v>
      </c>
      <c r="M11" s="60">
        <f>SQRT(L4/2*$H$10)</f>
        <v>36.653191819925254</v>
      </c>
      <c r="N11" t="s">
        <v>36</v>
      </c>
    </row>
    <row r="12" spans="1:14" x14ac:dyDescent="0.2">
      <c r="A12" t="s">
        <v>196</v>
      </c>
      <c r="B12">
        <f>B4+150</f>
        <v>950</v>
      </c>
      <c r="C12" t="s">
        <v>191</v>
      </c>
      <c r="K12" s="159"/>
      <c r="L12" t="s">
        <v>221</v>
      </c>
      <c r="M12" s="60">
        <f t="shared" ref="M12:M13" si="0">SQRT(L5/2*$H$10)</f>
        <v>25.917720488000437</v>
      </c>
      <c r="N12" t="s">
        <v>36</v>
      </c>
    </row>
    <row r="13" spans="1:14" x14ac:dyDescent="0.2">
      <c r="A13" t="s">
        <v>200</v>
      </c>
      <c r="B13">
        <f>B5+150</f>
        <v>750</v>
      </c>
      <c r="C13" t="s">
        <v>191</v>
      </c>
      <c r="G13" s="150"/>
      <c r="L13" t="s">
        <v>222</v>
      </c>
      <c r="M13" s="60">
        <f t="shared" si="0"/>
        <v>31.742595245839251</v>
      </c>
      <c r="N13" t="s">
        <v>36</v>
      </c>
    </row>
    <row r="14" spans="1:14" x14ac:dyDescent="0.2">
      <c r="A14" t="s">
        <v>223</v>
      </c>
      <c r="B14">
        <f>B11*B12*10^-6</f>
        <v>1.6624999999999999</v>
      </c>
      <c r="C14" t="s">
        <v>205</v>
      </c>
      <c r="F14" s="150"/>
      <c r="H14" s="150"/>
      <c r="K14" s="151" t="s">
        <v>224</v>
      </c>
      <c r="L14" t="s">
        <v>220</v>
      </c>
      <c r="M14" s="60">
        <f>M11/M4</f>
        <v>18.326595909962627</v>
      </c>
      <c r="N14" t="s">
        <v>36</v>
      </c>
    </row>
    <row r="15" spans="1:14" x14ac:dyDescent="0.2">
      <c r="G15" s="159"/>
      <c r="L15" t="s">
        <v>221</v>
      </c>
      <c r="M15" s="60">
        <f t="shared" ref="M15:M16" si="1">M12/M5</f>
        <v>25.917720488000437</v>
      </c>
      <c r="N15" t="s">
        <v>36</v>
      </c>
    </row>
    <row r="16" spans="1:14" x14ac:dyDescent="0.2">
      <c r="A16" s="74" t="s">
        <v>192</v>
      </c>
      <c r="F16" s="95"/>
      <c r="L16" t="s">
        <v>222</v>
      </c>
      <c r="M16" s="60">
        <f t="shared" si="1"/>
        <v>21.161730163892834</v>
      </c>
      <c r="N16" t="s">
        <v>36</v>
      </c>
    </row>
    <row r="17" spans="1:19" x14ac:dyDescent="0.2">
      <c r="A17" t="s">
        <v>225</v>
      </c>
      <c r="B17">
        <v>1800</v>
      </c>
      <c r="C17" t="s">
        <v>191</v>
      </c>
      <c r="F17" s="150" t="s">
        <v>226</v>
      </c>
    </row>
    <row r="18" spans="1:19" x14ac:dyDescent="0.2">
      <c r="F18" t="s">
        <v>220</v>
      </c>
    </row>
    <row r="19" spans="1:19" x14ac:dyDescent="0.2">
      <c r="H19" t="s">
        <v>227</v>
      </c>
    </row>
    <row r="20" spans="1:19" x14ac:dyDescent="0.2">
      <c r="A20" t="s">
        <v>228</v>
      </c>
      <c r="B20">
        <f>SUM(mag_completo!X28:X31)</f>
        <v>4536</v>
      </c>
      <c r="C20" t="s">
        <v>124</v>
      </c>
      <c r="F20" s="151" t="s">
        <v>229</v>
      </c>
      <c r="G20" t="s">
        <v>230</v>
      </c>
      <c r="H20" s="97">
        <f>ROUNDUP(M11/$H$4,0)</f>
        <v>7</v>
      </c>
      <c r="I20" s="97"/>
      <c r="K20" s="151"/>
      <c r="M20" s="97"/>
      <c r="N20" s="97"/>
      <c r="P20" s="151"/>
      <c r="R20" s="97"/>
      <c r="S20" s="97"/>
    </row>
    <row r="21" spans="1:19" x14ac:dyDescent="0.2">
      <c r="A21" t="s">
        <v>231</v>
      </c>
      <c r="B21" s="22">
        <f>SUM(mag_completo!R28:R31)/(22*14.33)</f>
        <v>47.516335722895391</v>
      </c>
      <c r="C21" t="s">
        <v>232</v>
      </c>
      <c r="F21" s="159" t="s">
        <v>233</v>
      </c>
      <c r="G21" t="s">
        <v>234</v>
      </c>
      <c r="H21">
        <f>ROUNDUP(B20/($H$8*H20),0)</f>
        <v>20</v>
      </c>
      <c r="K21" s="159"/>
      <c r="P21" s="159"/>
    </row>
    <row r="22" spans="1:19" x14ac:dyDescent="0.2">
      <c r="F22" s="159" t="s">
        <v>235</v>
      </c>
      <c r="G22" t="s">
        <v>236</v>
      </c>
      <c r="H22">
        <f>$H$8*H20*H21</f>
        <v>4760</v>
      </c>
      <c r="K22" s="159"/>
      <c r="P22" s="159"/>
    </row>
    <row r="23" spans="1:19" x14ac:dyDescent="0.2">
      <c r="A23" t="s">
        <v>237</v>
      </c>
      <c r="B23">
        <v>60</v>
      </c>
      <c r="C23" t="s">
        <v>121</v>
      </c>
      <c r="F23" s="159" t="s">
        <v>238</v>
      </c>
      <c r="G23" t="s">
        <v>239</v>
      </c>
      <c r="H23">
        <f>H20*$H$4+6</f>
        <v>43.1</v>
      </c>
      <c r="K23" s="159"/>
      <c r="P23" s="159"/>
    </row>
    <row r="24" spans="1:19" x14ac:dyDescent="0.2">
      <c r="A24" t="s">
        <v>240</v>
      </c>
      <c r="B24">
        <v>1.2</v>
      </c>
      <c r="F24" s="159" t="s">
        <v>241</v>
      </c>
      <c r="G24" t="s">
        <v>239</v>
      </c>
      <c r="H24">
        <f>(H21*$B$11)*10^-3+6</f>
        <v>41</v>
      </c>
      <c r="K24" s="159"/>
      <c r="P24" s="159"/>
    </row>
    <row r="25" spans="1:19" x14ac:dyDescent="0.2">
      <c r="F25" s="159" t="s">
        <v>242</v>
      </c>
      <c r="G25" t="s">
        <v>243</v>
      </c>
      <c r="H25">
        <f>H23*H24</f>
        <v>1767.1000000000001</v>
      </c>
      <c r="K25" s="159"/>
      <c r="P25" s="159"/>
    </row>
    <row r="28" spans="1:19" x14ac:dyDescent="0.2">
      <c r="F28" s="150" t="s">
        <v>244</v>
      </c>
    </row>
    <row r="29" spans="1:19" x14ac:dyDescent="0.2">
      <c r="F29" t="s">
        <v>220</v>
      </c>
      <c r="K29" s="184"/>
      <c r="L29" s="184"/>
      <c r="M29" s="184"/>
      <c r="N29" s="184"/>
      <c r="O29" s="184"/>
      <c r="P29" s="184"/>
      <c r="Q29" s="184"/>
      <c r="R29" s="184"/>
      <c r="S29" s="184"/>
    </row>
    <row r="30" spans="1:19" x14ac:dyDescent="0.2">
      <c r="H30" t="s">
        <v>227</v>
      </c>
      <c r="K30" s="184"/>
      <c r="L30" s="184"/>
      <c r="M30" s="184"/>
      <c r="N30" s="184"/>
      <c r="O30" s="184"/>
      <c r="P30" s="184"/>
      <c r="Q30" s="184"/>
      <c r="R30" s="184"/>
      <c r="S30" s="184"/>
    </row>
    <row r="31" spans="1:19" x14ac:dyDescent="0.2">
      <c r="D31" s="159" t="s">
        <v>245</v>
      </c>
      <c r="E31">
        <f>2*$B$23+H31/carr_elev!K6+dimens_mag_buffer!H31/carr_elev!L6+dimens_mag_buffer!H32/carr_elev!N6+H32/carr_elev!O6</f>
        <v>193.39282509386732</v>
      </c>
      <c r="F31" t="s">
        <v>149</v>
      </c>
      <c r="G31" t="s">
        <v>246</v>
      </c>
      <c r="H31" s="159">
        <f>(H23/L4)+(H24/2)</f>
        <v>31.274999999999999</v>
      </c>
      <c r="I31" s="159"/>
      <c r="K31" s="184"/>
      <c r="L31" s="184"/>
      <c r="M31" s="184"/>
      <c r="N31" s="184"/>
      <c r="O31" s="184"/>
      <c r="P31" s="184"/>
      <c r="Q31" s="184"/>
      <c r="R31" s="184"/>
      <c r="S31" s="184"/>
    </row>
    <row r="32" spans="1:19" x14ac:dyDescent="0.2">
      <c r="D32" s="159" t="s">
        <v>247</v>
      </c>
      <c r="E32">
        <f>2*$B$23+H31/carr_elev!K6+dimens_mag_buffer!H31/carr_elev!L6+dimens_mag_buffer!H32/carr_elev!M6+H32/carr_elev!P6</f>
        <v>175.33275</v>
      </c>
      <c r="F32" t="s">
        <v>248</v>
      </c>
      <c r="G32" t="s">
        <v>249</v>
      </c>
      <c r="H32">
        <f>((H7-1)/2)*B13*10^-3</f>
        <v>6</v>
      </c>
      <c r="K32" s="184"/>
      <c r="L32" s="184"/>
      <c r="M32" s="184"/>
      <c r="N32" s="184"/>
      <c r="O32" s="184"/>
      <c r="P32" s="184"/>
      <c r="Q32" s="184"/>
      <c r="R32" s="184"/>
      <c r="S32" s="184"/>
    </row>
    <row r="33" spans="1:19" x14ac:dyDescent="0.2">
      <c r="F33" s="159" t="s">
        <v>250</v>
      </c>
      <c r="G33" t="s">
        <v>251</v>
      </c>
      <c r="H33">
        <f>SUM(E31+E32)</f>
        <v>368.72557509386729</v>
      </c>
      <c r="K33" s="184"/>
      <c r="L33" s="184"/>
      <c r="M33" s="184"/>
      <c r="N33" s="184"/>
      <c r="O33" s="184"/>
      <c r="P33" s="184"/>
      <c r="Q33" s="184"/>
      <c r="R33" s="184"/>
      <c r="S33" s="184"/>
    </row>
    <row r="34" spans="1:19" x14ac:dyDescent="0.2">
      <c r="F34" t="s">
        <v>252</v>
      </c>
      <c r="G34" t="s">
        <v>253</v>
      </c>
      <c r="H34">
        <f>ROUNDUP(($B$24*$B$21*H33)/3600,0)</f>
        <v>6</v>
      </c>
      <c r="K34" s="184"/>
      <c r="L34" s="184"/>
      <c r="M34" s="184"/>
      <c r="N34" s="184"/>
      <c r="O34" s="184"/>
      <c r="P34" s="184"/>
      <c r="Q34" s="184"/>
      <c r="R34" s="184"/>
      <c r="S34" s="184"/>
    </row>
    <row r="35" spans="1:19" x14ac:dyDescent="0.2">
      <c r="F35" s="159" t="s">
        <v>254</v>
      </c>
      <c r="G35" t="s">
        <v>255</v>
      </c>
      <c r="H35">
        <f>ROUNDUP(H34*3600/H33,0)</f>
        <v>59</v>
      </c>
      <c r="K35" s="184"/>
      <c r="L35" s="184"/>
      <c r="M35" s="184"/>
      <c r="N35" s="184"/>
      <c r="O35" s="184"/>
      <c r="P35" s="184"/>
      <c r="Q35" s="184"/>
      <c r="R35" s="184"/>
      <c r="S35" s="184"/>
    </row>
    <row r="36" spans="1:19" x14ac:dyDescent="0.2">
      <c r="F36" s="159"/>
      <c r="K36" s="184"/>
      <c r="L36" s="184"/>
      <c r="M36" s="184"/>
      <c r="N36" s="184"/>
      <c r="O36" s="184"/>
      <c r="P36" s="184"/>
      <c r="Q36" s="184"/>
      <c r="R36" s="184"/>
      <c r="S36" s="184"/>
    </row>
    <row r="37" spans="1:19" x14ac:dyDescent="0.2">
      <c r="K37" s="184"/>
      <c r="L37" s="184"/>
      <c r="M37" s="184"/>
      <c r="N37" s="184"/>
      <c r="O37" s="184"/>
      <c r="P37" s="184"/>
      <c r="Q37" s="184"/>
      <c r="R37" s="184"/>
      <c r="S37" s="184"/>
    </row>
    <row r="38" spans="1:19" x14ac:dyDescent="0.2">
      <c r="G38" t="s">
        <v>173</v>
      </c>
      <c r="H38" s="182">
        <f>H34*100000+H25*1000+100*($H$8*H21*H20)</f>
        <v>2843100</v>
      </c>
      <c r="I38" s="182"/>
      <c r="J38" s="182"/>
      <c r="K38" s="185"/>
      <c r="L38" s="185"/>
      <c r="M38" s="185"/>
      <c r="N38" s="185"/>
      <c r="O38" s="185"/>
      <c r="P38" s="185"/>
      <c r="Q38" s="185"/>
      <c r="R38" s="185"/>
      <c r="S38" s="185"/>
    </row>
    <row r="41" spans="1:19" x14ac:dyDescent="0.2">
      <c r="A41" s="74" t="s">
        <v>256</v>
      </c>
      <c r="F41" s="74"/>
    </row>
    <row r="45" spans="1:19" ht="20" x14ac:dyDescent="0.25">
      <c r="E45" s="165" t="s">
        <v>257</v>
      </c>
      <c r="F45" s="166">
        <f>B14</f>
        <v>1.6624999999999999</v>
      </c>
      <c r="G45" s="167" t="s">
        <v>258</v>
      </c>
      <c r="H45" s="168">
        <v>8</v>
      </c>
      <c r="I45" s="167"/>
      <c r="J45" s="169"/>
    </row>
    <row r="46" spans="1:19" ht="19" thickBot="1" x14ac:dyDescent="0.3">
      <c r="E46" s="38" t="s">
        <v>104</v>
      </c>
      <c r="F46" s="3">
        <f>INT(carr_elev!D6/dimens_mag_buffer!B13)+1</f>
        <v>8</v>
      </c>
      <c r="J46" s="170"/>
    </row>
    <row r="47" spans="1:19" ht="19" thickBot="1" x14ac:dyDescent="0.3">
      <c r="A47" t="s">
        <v>228</v>
      </c>
      <c r="B47">
        <f>SUM(mag_completo!X28:X31)</f>
        <v>4536</v>
      </c>
      <c r="C47" t="s">
        <v>124</v>
      </c>
      <c r="E47" s="478" t="s">
        <v>107</v>
      </c>
      <c r="F47" s="479"/>
      <c r="G47" s="196" t="s">
        <v>108</v>
      </c>
      <c r="H47" s="196" t="s">
        <v>109</v>
      </c>
      <c r="I47" s="195" t="s">
        <v>110</v>
      </c>
      <c r="J47" s="195" t="s">
        <v>111</v>
      </c>
    </row>
    <row r="48" spans="1:19" x14ac:dyDescent="0.2">
      <c r="A48" t="s">
        <v>231</v>
      </c>
      <c r="B48" s="60">
        <f>ROUNDUP(SUM(mag_completo!R28:R31)/(22*14.33),0)</f>
        <v>48</v>
      </c>
      <c r="C48" t="s">
        <v>232</v>
      </c>
      <c r="E48" s="480" t="s">
        <v>259</v>
      </c>
      <c r="F48" s="465"/>
      <c r="G48" s="3">
        <f>mag_completo!X28</f>
        <v>1280</v>
      </c>
      <c r="H48">
        <f>ROUNDUP(G48/$F$46,0)</f>
        <v>160</v>
      </c>
      <c r="I48" s="174">
        <f>ROUNDUP(H48/$H$45,0)</f>
        <v>20</v>
      </c>
      <c r="J48" s="175">
        <f>H48/$H$45/I48</f>
        <v>1</v>
      </c>
    </row>
    <row r="49" spans="5:17" x14ac:dyDescent="0.2">
      <c r="E49" s="480" t="s">
        <v>260</v>
      </c>
      <c r="F49" s="465"/>
      <c r="G49" s="3">
        <f>mag_completo!X29</f>
        <v>1280</v>
      </c>
      <c r="H49">
        <f>ROUNDUP(G49/$F$46,0)</f>
        <v>160</v>
      </c>
      <c r="I49" s="174">
        <f>ROUNDUP(H49/$H$45,0)</f>
        <v>20</v>
      </c>
      <c r="J49" s="175">
        <f>H49/$H$45/I49</f>
        <v>1</v>
      </c>
    </row>
    <row r="50" spans="5:17" x14ac:dyDescent="0.2">
      <c r="E50" s="480" t="s">
        <v>261</v>
      </c>
      <c r="F50" s="465"/>
      <c r="G50" s="3">
        <f>mag_completo!X30</f>
        <v>1203</v>
      </c>
      <c r="H50">
        <f>ROUNDUP(G50/$F$46,0)</f>
        <v>151</v>
      </c>
      <c r="I50" s="174">
        <f t="shared" ref="I50:I51" si="2">ROUNDUP(H50/$H$45,0)</f>
        <v>19</v>
      </c>
      <c r="J50" s="175">
        <f>H50/$H$45/I50</f>
        <v>0.99342105263157898</v>
      </c>
    </row>
    <row r="51" spans="5:17" ht="17" thickBot="1" x14ac:dyDescent="0.25">
      <c r="E51" s="481" t="s">
        <v>262</v>
      </c>
      <c r="F51" s="482"/>
      <c r="G51" s="178">
        <f>mag_completo!X31</f>
        <v>773</v>
      </c>
      <c r="H51" s="179">
        <f>ROUNDUP(G51/$F$46,0)</f>
        <v>97</v>
      </c>
      <c r="I51" s="177">
        <f t="shared" si="2"/>
        <v>13</v>
      </c>
      <c r="J51" s="180">
        <f>H51/$H$45/I51</f>
        <v>0.93269230769230771</v>
      </c>
    </row>
    <row r="53" spans="5:17" x14ac:dyDescent="0.2">
      <c r="H53" s="159" t="s">
        <v>263</v>
      </c>
      <c r="I53">
        <f>SUM(I48:I51)</f>
        <v>72</v>
      </c>
    </row>
    <row r="54" spans="5:17" x14ac:dyDescent="0.2">
      <c r="F54" t="s">
        <v>264</v>
      </c>
    </row>
    <row r="55" spans="5:17" x14ac:dyDescent="0.2">
      <c r="Q55" s="57"/>
    </row>
    <row r="57" spans="5:17" x14ac:dyDescent="0.2">
      <c r="F57" s="60"/>
    </row>
    <row r="60" spans="5:17" ht="17" thickBot="1" x14ac:dyDescent="0.25"/>
    <row r="61" spans="5:17" ht="17" thickBot="1" x14ac:dyDescent="0.25">
      <c r="E61" s="477"/>
      <c r="F61" s="477"/>
      <c r="G61" s="74"/>
      <c r="I61" s="60"/>
      <c r="L61" s="475" t="s">
        <v>265</v>
      </c>
      <c r="M61" s="476"/>
    </row>
    <row r="62" spans="5:17" x14ac:dyDescent="0.2">
      <c r="F62" s="3"/>
      <c r="G62" s="3"/>
      <c r="I62" s="60"/>
      <c r="L62" s="171"/>
      <c r="M62" s="172" t="s">
        <v>146</v>
      </c>
      <c r="O62" t="s">
        <v>266</v>
      </c>
      <c r="P62" s="93">
        <f>(B11*12+6000+B11*12)*10^-3</f>
        <v>48</v>
      </c>
    </row>
    <row r="63" spans="5:17" x14ac:dyDescent="0.2">
      <c r="F63" s="3"/>
      <c r="G63" s="85"/>
      <c r="I63" s="60"/>
      <c r="L63" s="173" t="s">
        <v>267</v>
      </c>
      <c r="M63" s="174">
        <f>(P62/4+P63/2)</f>
        <v>30.6</v>
      </c>
      <c r="O63" t="s">
        <v>268</v>
      </c>
      <c r="P63" s="93">
        <f>(B12*H45*3+3200*2+4000*2)*10^-3</f>
        <v>37.200000000000003</v>
      </c>
    </row>
    <row r="64" spans="5:17" x14ac:dyDescent="0.2">
      <c r="F64" s="85"/>
      <c r="G64" s="85"/>
      <c r="L64" s="173" t="s">
        <v>269</v>
      </c>
      <c r="M64" s="175">
        <f>B13*10^-3*(F46-1)/2</f>
        <v>2.625</v>
      </c>
      <c r="O64" t="s">
        <v>270</v>
      </c>
      <c r="P64" s="57">
        <f>P62*P63</f>
        <v>1785.6000000000001</v>
      </c>
    </row>
    <row r="65" spans="2:29" x14ac:dyDescent="0.2">
      <c r="E65" s="159"/>
      <c r="F65" s="85"/>
      <c r="G65" s="85"/>
      <c r="L65" s="181" t="s">
        <v>271</v>
      </c>
      <c r="M65" s="175">
        <f>M63/carr_elev!L6+M63/carr_elev!K6+M64/carr_elev!N6+M64/carr_elev!O6+2*dimens_mag_buffer!B23</f>
        <v>165.81228285356696</v>
      </c>
      <c r="O65" t="s">
        <v>272</v>
      </c>
      <c r="P65" s="93">
        <f>P62/P63</f>
        <v>1.2903225806451613</v>
      </c>
    </row>
    <row r="66" spans="2:29" x14ac:dyDescent="0.2">
      <c r="B66" t="s">
        <v>273</v>
      </c>
      <c r="E66" s="159"/>
      <c r="F66" s="85"/>
      <c r="G66" s="85"/>
      <c r="L66" s="181" t="s">
        <v>274</v>
      </c>
      <c r="M66" s="175">
        <f>M63/carr_elev!L6+M63/carr_elev!K6+M64/carr_elev!M6+M64/carr_elev!P6+2*dimens_mag_buffer!B23</f>
        <v>157.911</v>
      </c>
      <c r="O66" t="s">
        <v>275</v>
      </c>
      <c r="P66" s="93">
        <f>SUM($G$48:$G$51)/P64</f>
        <v>2.540322580645161</v>
      </c>
    </row>
    <row r="67" spans="2:29" x14ac:dyDescent="0.2">
      <c r="E67" s="159"/>
      <c r="F67" s="85"/>
      <c r="G67" s="3"/>
      <c r="L67" s="181" t="s">
        <v>276</v>
      </c>
      <c r="M67" s="175">
        <f>B48</f>
        <v>48</v>
      </c>
    </row>
    <row r="68" spans="2:29" ht="18" x14ac:dyDescent="0.25">
      <c r="E68" s="159"/>
      <c r="F68" s="3"/>
      <c r="G68" s="85"/>
      <c r="L68" s="181" t="s">
        <v>277</v>
      </c>
      <c r="M68" s="174">
        <f>ROUNDUP(B24*B48*(M65+M66)/3600,0)</f>
        <v>6</v>
      </c>
      <c r="AC68" s="194"/>
    </row>
    <row r="69" spans="2:29" x14ac:dyDescent="0.2">
      <c r="E69" s="159"/>
      <c r="F69" s="85"/>
      <c r="G69" s="85"/>
      <c r="L69" s="219" t="s">
        <v>278</v>
      </c>
      <c r="M69" s="175">
        <f>ROUNDUP(M68*3600/(M65+M66),1)</f>
        <v>66.8</v>
      </c>
    </row>
    <row r="70" spans="2:29" ht="19" thickBot="1" x14ac:dyDescent="0.3">
      <c r="F70" s="3"/>
      <c r="G70" s="3"/>
      <c r="H70" s="182"/>
      <c r="L70" s="176" t="s">
        <v>169</v>
      </c>
      <c r="M70" s="177">
        <f>$I$53*$H$45*$F$46</f>
        <v>4608</v>
      </c>
      <c r="N70" s="186" t="s">
        <v>173</v>
      </c>
      <c r="O70" s="186"/>
      <c r="P70" s="186"/>
      <c r="Q70" s="187">
        <f>M70*80+M68*50000+1000*P64</f>
        <v>2454240</v>
      </c>
    </row>
    <row r="80" spans="2:29" x14ac:dyDescent="0.2">
      <c r="F80" t="s">
        <v>279</v>
      </c>
    </row>
    <row r="84" spans="12:19" x14ac:dyDescent="0.2">
      <c r="L84" s="475" t="s">
        <v>265</v>
      </c>
      <c r="M84" s="476"/>
    </row>
    <row r="85" spans="12:19" x14ac:dyDescent="0.2">
      <c r="L85" s="214"/>
      <c r="M85" s="221" t="s">
        <v>146</v>
      </c>
      <c r="P85" s="93"/>
    </row>
    <row r="86" spans="12:19" x14ac:dyDescent="0.2">
      <c r="L86" s="181" t="s">
        <v>280</v>
      </c>
      <c r="M86" s="174">
        <f>6+1.75*6+1.1+7.6*2+4*2</f>
        <v>40.799999999999997</v>
      </c>
      <c r="P86" s="93"/>
    </row>
    <row r="87" spans="12:19" x14ac:dyDescent="0.2">
      <c r="L87" s="181" t="s">
        <v>281</v>
      </c>
      <c r="M87" s="174">
        <f>4+7.6*2+4+2+3+1.75*6+1.1+2+7.6+2</f>
        <v>51.400000000000006</v>
      </c>
      <c r="P87" s="93"/>
    </row>
    <row r="88" spans="12:19" x14ac:dyDescent="0.2">
      <c r="L88" s="173" t="s">
        <v>269</v>
      </c>
      <c r="M88" s="175">
        <f>B13*10^-3*(F46-1)/2</f>
        <v>2.625</v>
      </c>
      <c r="O88" t="s">
        <v>270</v>
      </c>
      <c r="P88">
        <f>(6+1.75*6*2+4+2.2)*(7.6*4+4*5)+(1.75*6*2+4+2.2)*(7.6*2+4*3)</f>
        <v>2413.12</v>
      </c>
      <c r="R88" s="159" t="s">
        <v>282</v>
      </c>
      <c r="S88">
        <f>6+1.75*6+1.1+7.6*2+4*2</f>
        <v>40.799999999999997</v>
      </c>
    </row>
    <row r="89" spans="12:19" x14ac:dyDescent="0.2">
      <c r="L89" s="219" t="s">
        <v>283</v>
      </c>
      <c r="M89" s="175">
        <f>M86/carr_elev!L6+M86/carr_elev!K6+M88/carr_elev!N6+M88/carr_elev!O6+2*dimens_mag_buffer!B23</f>
        <v>174.07428285356696</v>
      </c>
      <c r="P89" s="93"/>
      <c r="R89" s="159" t="s">
        <v>284</v>
      </c>
      <c r="S89">
        <f>4+7.6*2+4+2+3+1.75*6+1.1+2+7.6+2</f>
        <v>51.400000000000006</v>
      </c>
    </row>
    <row r="90" spans="12:19" x14ac:dyDescent="0.2">
      <c r="L90" s="219" t="s">
        <v>285</v>
      </c>
      <c r="M90" s="175">
        <f>M87/carr_elev!L6+M87/carr_elev!K6+M88/carr_elev!M6+M88/carr_elev!P6+2*dimens_mag_buffer!B23</f>
        <v>174.75900000000001</v>
      </c>
      <c r="O90" t="s">
        <v>275</v>
      </c>
      <c r="P90" s="93">
        <f>SUM(G48:G51)/P88</f>
        <v>1.8797241745126643</v>
      </c>
    </row>
    <row r="91" spans="12:19" x14ac:dyDescent="0.2">
      <c r="L91" s="219" t="s">
        <v>286</v>
      </c>
      <c r="M91" s="175">
        <f>B48</f>
        <v>48</v>
      </c>
    </row>
    <row r="92" spans="12:19" x14ac:dyDescent="0.2">
      <c r="L92" s="219" t="s">
        <v>287</v>
      </c>
      <c r="M92" s="174">
        <f>ROUNDUP(B24*B48*(M89+M90)/3600,0)</f>
        <v>6</v>
      </c>
    </row>
    <row r="93" spans="12:19" x14ac:dyDescent="0.2">
      <c r="L93" s="219" t="s">
        <v>278</v>
      </c>
      <c r="M93" s="175">
        <f>ROUNDUP(M92*3600/(M89+M90),1)</f>
        <v>62</v>
      </c>
    </row>
    <row r="94" spans="12:19" x14ac:dyDescent="0.2">
      <c r="L94" s="220" t="s">
        <v>288</v>
      </c>
      <c r="M94" s="177">
        <f>$I$53*$H$45*$F$46</f>
        <v>4608</v>
      </c>
      <c r="N94" s="186" t="s">
        <v>173</v>
      </c>
      <c r="O94" s="186"/>
      <c r="P94" s="186"/>
      <c r="Q94" s="187">
        <f>M94*80+M92*50000+1000*P88</f>
        <v>3081760</v>
      </c>
    </row>
    <row r="107" spans="12:16" ht="17" thickBot="1" x14ac:dyDescent="0.25"/>
    <row r="108" spans="12:16" ht="17" thickBot="1" x14ac:dyDescent="0.25">
      <c r="L108" s="475" t="s">
        <v>265</v>
      </c>
      <c r="M108" s="476"/>
    </row>
    <row r="109" spans="12:16" x14ac:dyDescent="0.2">
      <c r="L109" s="214"/>
      <c r="M109" s="221" t="s">
        <v>146</v>
      </c>
    </row>
    <row r="110" spans="12:16" x14ac:dyDescent="0.2">
      <c r="L110" s="181" t="s">
        <v>280</v>
      </c>
      <c r="M110" s="174">
        <f>5+16.5+9+2+6</f>
        <v>38.5</v>
      </c>
      <c r="O110" t="s">
        <v>289</v>
      </c>
      <c r="P110" s="61">
        <f>F46/(F46*H45)</f>
        <v>0.125</v>
      </c>
    </row>
    <row r="111" spans="12:16" x14ac:dyDescent="0.2">
      <c r="L111" s="181" t="s">
        <v>281</v>
      </c>
      <c r="M111" s="174">
        <f>6.5+12+22</f>
        <v>40.5</v>
      </c>
    </row>
    <row r="112" spans="12:16" x14ac:dyDescent="0.2">
      <c r="L112" s="173" t="s">
        <v>269</v>
      </c>
      <c r="M112" s="175">
        <f>B13*10^-3*(F46-1)/2</f>
        <v>2.625</v>
      </c>
      <c r="O112" t="s">
        <v>290</v>
      </c>
      <c r="P112">
        <f>23.8*24+47.6*35.5</f>
        <v>2261</v>
      </c>
    </row>
    <row r="113" spans="12:17" x14ac:dyDescent="0.2">
      <c r="L113" s="181" t="s">
        <v>283</v>
      </c>
      <c r="M113" s="175">
        <f>M110/carr_elev!L6+M110/carr_elev!K6+M112/carr_elev!N6+M112/carr_elev!O6+2*dimens_mag_buffer!B23</f>
        <v>172.21128285356696</v>
      </c>
    </row>
    <row r="114" spans="12:17" x14ac:dyDescent="0.2">
      <c r="L114" s="181" t="s">
        <v>285</v>
      </c>
      <c r="M114" s="175">
        <f>M111/carr_elev!L6+M111/carr_elev!K6+M112/carr_elev!M6+M112/carr_elev!P6+2*dimens_mag_buffer!B23</f>
        <v>165.93</v>
      </c>
      <c r="O114" t="s">
        <v>291</v>
      </c>
      <c r="P114" s="60">
        <f>SUM(G48:G51)/P112</f>
        <v>2.0061919504643964</v>
      </c>
    </row>
    <row r="115" spans="12:17" x14ac:dyDescent="0.2">
      <c r="L115" s="181" t="s">
        <v>286</v>
      </c>
      <c r="M115" s="175">
        <f>B48</f>
        <v>48</v>
      </c>
      <c r="O115" t="s">
        <v>292</v>
      </c>
      <c r="P115" s="84">
        <f>P112/SUM(G48:G51)</f>
        <v>0.49845679012345678</v>
      </c>
    </row>
    <row r="116" spans="12:17" x14ac:dyDescent="0.2">
      <c r="L116" s="181" t="s">
        <v>287</v>
      </c>
      <c r="M116" s="174">
        <f>ROUNDUP(B48*B24*(M113+M114)/3600,0)</f>
        <v>6</v>
      </c>
    </row>
    <row r="117" spans="12:17" x14ac:dyDescent="0.2">
      <c r="L117" s="181" t="s">
        <v>278</v>
      </c>
      <c r="M117" s="175">
        <f>ROUNDUP(M116*3600/(M113+M114),1)</f>
        <v>63.9</v>
      </c>
    </row>
    <row r="118" spans="12:17" ht="17" thickBot="1" x14ac:dyDescent="0.25">
      <c r="L118" s="229" t="s">
        <v>288</v>
      </c>
      <c r="M118" s="177">
        <f>$I$53*$H$45*$F$46</f>
        <v>4608</v>
      </c>
      <c r="N118" s="186" t="s">
        <v>173</v>
      </c>
      <c r="O118" s="186"/>
      <c r="P118" s="186"/>
      <c r="Q118" s="187">
        <f>M118*80+M116*50000+1000*P112</f>
        <v>2929640</v>
      </c>
    </row>
    <row r="119" spans="12:17" x14ac:dyDescent="0.2">
      <c r="L119" t="s">
        <v>293</v>
      </c>
      <c r="M119">
        <f>M118</f>
        <v>4608</v>
      </c>
    </row>
  </sheetData>
  <mergeCells count="9">
    <mergeCell ref="L108:M108"/>
    <mergeCell ref="L84:M84"/>
    <mergeCell ref="L61:M61"/>
    <mergeCell ref="E61:F61"/>
    <mergeCell ref="E47:F47"/>
    <mergeCell ref="E48:F48"/>
    <mergeCell ref="E49:F49"/>
    <mergeCell ref="E50:F50"/>
    <mergeCell ref="E51:F51"/>
  </mergeCells>
  <conditionalFormatting sqref="J48:J51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56147-D61E-1940-9508-E1297F99D53A}">
  <dimension ref="A2:AD125"/>
  <sheetViews>
    <sheetView topLeftCell="A78" zoomScale="90" zoomScaleNormal="90" workbookViewId="0">
      <selection activeCell="B100" sqref="B100"/>
    </sheetView>
  </sheetViews>
  <sheetFormatPr baseColWidth="10" defaultColWidth="8.5" defaultRowHeight="16" x14ac:dyDescent="0.2"/>
  <cols>
    <col min="1" max="1" width="23.5" bestFit="1" customWidth="1"/>
    <col min="2" max="2" width="14.5" customWidth="1"/>
    <col min="3" max="3" width="22.5" bestFit="1" customWidth="1"/>
    <col min="4" max="4" width="14" bestFit="1" customWidth="1"/>
    <col min="5" max="6" width="11" bestFit="1" customWidth="1"/>
    <col min="7" max="7" width="11.5" bestFit="1" customWidth="1"/>
    <col min="8" max="19" width="11" bestFit="1" customWidth="1"/>
    <col min="20" max="20" width="14.5" bestFit="1" customWidth="1"/>
    <col min="21" max="21" width="11.5" bestFit="1" customWidth="1"/>
    <col min="22" max="23" width="11" bestFit="1" customWidth="1"/>
  </cols>
  <sheetData>
    <row r="2" spans="1:23" x14ac:dyDescent="0.2">
      <c r="A2" s="106" t="s">
        <v>294</v>
      </c>
      <c r="B2" s="104">
        <f>SUM(mag_completo!X23:X26)</f>
        <v>3660</v>
      </c>
      <c r="C2" s="104" t="s">
        <v>185</v>
      </c>
    </row>
    <row r="3" spans="1:23" x14ac:dyDescent="0.2">
      <c r="B3" s="104"/>
      <c r="C3" s="104"/>
      <c r="G3" s="57" t="s">
        <v>295</v>
      </c>
      <c r="H3">
        <v>45</v>
      </c>
    </row>
    <row r="4" spans="1:23" ht="17" x14ac:dyDescent="0.2">
      <c r="A4" s="106" t="s">
        <v>296</v>
      </c>
      <c r="B4" s="105" t="s">
        <v>297</v>
      </c>
      <c r="C4" s="104" t="s">
        <v>191</v>
      </c>
      <c r="G4" t="s">
        <v>298</v>
      </c>
      <c r="H4">
        <v>1.2</v>
      </c>
    </row>
    <row r="8" spans="1:23" x14ac:dyDescent="0.2">
      <c r="A8" s="106" t="s">
        <v>192</v>
      </c>
      <c r="P8" s="3"/>
      <c r="Q8" s="3"/>
      <c r="R8" s="3"/>
      <c r="S8" s="3"/>
      <c r="T8" s="3"/>
      <c r="U8" s="3"/>
      <c r="V8" s="3"/>
      <c r="W8" s="3"/>
    </row>
    <row r="9" spans="1:23" x14ac:dyDescent="0.2">
      <c r="F9" t="s">
        <v>225</v>
      </c>
      <c r="H9">
        <v>1.8</v>
      </c>
      <c r="I9" t="s">
        <v>299</v>
      </c>
      <c r="P9" s="3"/>
      <c r="Q9" s="3"/>
      <c r="R9" s="3"/>
      <c r="S9" s="3"/>
      <c r="T9" s="3"/>
      <c r="U9" s="3"/>
      <c r="V9" s="3"/>
      <c r="W9" s="3"/>
    </row>
    <row r="10" spans="1:23" x14ac:dyDescent="0.2">
      <c r="A10" s="107" t="s">
        <v>300</v>
      </c>
      <c r="B10" t="s">
        <v>301</v>
      </c>
      <c r="C10">
        <f>INT(12000/950)+1</f>
        <v>13</v>
      </c>
      <c r="F10" t="s">
        <v>302</v>
      </c>
      <c r="H10">
        <f>1.9*2+H9</f>
        <v>5.6</v>
      </c>
      <c r="I10" t="s">
        <v>36</v>
      </c>
      <c r="P10" s="3"/>
      <c r="Q10" s="3"/>
      <c r="R10" s="3"/>
      <c r="S10" s="3"/>
      <c r="T10" s="3"/>
      <c r="U10" s="3"/>
      <c r="V10" s="3"/>
      <c r="W10" s="3"/>
    </row>
    <row r="11" spans="1:23" ht="34" x14ac:dyDescent="0.2">
      <c r="B11" s="95" t="s">
        <v>303</v>
      </c>
      <c r="C11">
        <v>26</v>
      </c>
      <c r="F11" t="s">
        <v>304</v>
      </c>
      <c r="H11">
        <f>(1.9*2+1.8)*0.95</f>
        <v>5.3199999999999994</v>
      </c>
      <c r="I11" t="s">
        <v>205</v>
      </c>
      <c r="K11">
        <f>(1900*2+1800)*1000</f>
        <v>5600000</v>
      </c>
      <c r="L11" t="s">
        <v>203</v>
      </c>
      <c r="P11" s="3"/>
      <c r="Q11" s="3"/>
      <c r="R11" s="3"/>
      <c r="S11" s="3"/>
      <c r="T11" s="3"/>
      <c r="U11" s="3"/>
      <c r="V11" s="3"/>
      <c r="W11" s="3"/>
    </row>
    <row r="12" spans="1:23" x14ac:dyDescent="0.2">
      <c r="O12" s="162"/>
      <c r="P12" s="3"/>
      <c r="Q12" s="3"/>
      <c r="R12" s="3"/>
      <c r="S12" s="3"/>
      <c r="T12" s="3"/>
      <c r="U12" s="3"/>
      <c r="V12" s="3"/>
      <c r="W12" s="3"/>
    </row>
    <row r="13" spans="1:23" x14ac:dyDescent="0.2">
      <c r="B13" t="s">
        <v>305</v>
      </c>
      <c r="C13" s="84">
        <f>H11/C11</f>
        <v>0.20461538461538459</v>
      </c>
      <c r="D13" t="s">
        <v>306</v>
      </c>
      <c r="O13" s="162"/>
      <c r="P13" s="3"/>
      <c r="Q13" s="3"/>
      <c r="R13" s="3"/>
      <c r="S13" s="3"/>
      <c r="T13" s="3"/>
      <c r="U13" s="3"/>
      <c r="V13" s="3"/>
      <c r="W13" s="3"/>
    </row>
    <row r="14" spans="1:23" x14ac:dyDescent="0.2">
      <c r="B14" t="s">
        <v>307</v>
      </c>
      <c r="C14" s="60">
        <f>C13*B2</f>
        <v>748.89230769230755</v>
      </c>
      <c r="D14" t="s">
        <v>218</v>
      </c>
      <c r="O14" s="162"/>
      <c r="P14" s="3"/>
      <c r="Q14" s="3"/>
      <c r="R14" s="3"/>
      <c r="S14" s="3"/>
      <c r="T14" s="3"/>
      <c r="U14" s="3"/>
      <c r="V14" s="3"/>
      <c r="W14" s="3"/>
    </row>
    <row r="15" spans="1:23" ht="17" thickBot="1" x14ac:dyDescent="0.25">
      <c r="O15" s="162"/>
      <c r="P15" s="3"/>
      <c r="Q15" s="3"/>
      <c r="R15" s="3"/>
      <c r="S15" s="3"/>
      <c r="T15" s="3"/>
      <c r="U15" s="3"/>
      <c r="V15" s="3"/>
      <c r="W15" s="3"/>
    </row>
    <row r="16" spans="1:23" ht="35" thickBot="1" x14ac:dyDescent="0.25">
      <c r="B16" s="145" t="s">
        <v>308</v>
      </c>
      <c r="C16" s="149">
        <f>SQRT(H17/2*C14)</f>
        <v>38.701222401684099</v>
      </c>
      <c r="D16" s="146" t="s">
        <v>36</v>
      </c>
      <c r="E16" s="3" t="s">
        <v>309</v>
      </c>
      <c r="G16" t="s">
        <v>194</v>
      </c>
      <c r="H16" t="s">
        <v>41</v>
      </c>
      <c r="Q16" s="3"/>
      <c r="R16" s="3"/>
      <c r="S16" s="3"/>
      <c r="T16" s="3"/>
      <c r="U16" s="3"/>
      <c r="V16" s="3"/>
      <c r="W16" s="3"/>
    </row>
    <row r="17" spans="1:26" ht="17" thickBot="1" x14ac:dyDescent="0.25">
      <c r="B17" s="144" t="s">
        <v>310</v>
      </c>
      <c r="C17" s="149">
        <f>C16/2</f>
        <v>19.350611200842049</v>
      </c>
      <c r="D17" s="146" t="s">
        <v>36</v>
      </c>
      <c r="G17" s="104" t="s">
        <v>311</v>
      </c>
      <c r="H17" s="104">
        <v>4</v>
      </c>
      <c r="N17" s="497">
        <v>950</v>
      </c>
      <c r="O17" s="498"/>
      <c r="P17" s="499"/>
      <c r="Q17" s="499"/>
      <c r="R17" s="499"/>
      <c r="S17" s="504"/>
      <c r="T17" s="452"/>
      <c r="U17" s="452"/>
      <c r="V17" s="505"/>
      <c r="W17" s="487"/>
      <c r="X17" s="488"/>
      <c r="Y17" s="488"/>
      <c r="Z17" s="489"/>
    </row>
    <row r="18" spans="1:26" x14ac:dyDescent="0.2">
      <c r="G18" s="91" t="s">
        <v>312</v>
      </c>
      <c r="H18" s="91">
        <v>2</v>
      </c>
      <c r="N18" s="497"/>
      <c r="O18" s="500"/>
      <c r="P18" s="501"/>
      <c r="Q18" s="501"/>
      <c r="R18" s="501"/>
      <c r="S18" s="506"/>
      <c r="T18" s="456"/>
      <c r="U18" s="456"/>
      <c r="V18" s="507"/>
      <c r="W18" s="490"/>
      <c r="X18" s="491"/>
      <c r="Y18" s="491"/>
      <c r="Z18" s="492"/>
    </row>
    <row r="19" spans="1:26" ht="17" thickBot="1" x14ac:dyDescent="0.25">
      <c r="G19" t="s">
        <v>206</v>
      </c>
      <c r="H19">
        <v>3</v>
      </c>
      <c r="N19" s="497"/>
      <c r="O19" s="502"/>
      <c r="P19" s="503"/>
      <c r="Q19" s="503"/>
      <c r="R19" s="503"/>
      <c r="S19" s="508"/>
      <c r="T19" s="474"/>
      <c r="U19" s="474"/>
      <c r="V19" s="509"/>
      <c r="W19" s="493"/>
      <c r="X19" s="494"/>
      <c r="Y19" s="494"/>
      <c r="Z19" s="495"/>
    </row>
    <row r="20" spans="1:26" ht="17" thickBot="1" x14ac:dyDescent="0.25">
      <c r="B20" s="153" t="s">
        <v>308</v>
      </c>
      <c r="C20" s="154">
        <f>SQRT(H18/2*C14)</f>
        <v>27.36589680043955</v>
      </c>
      <c r="D20" s="155" t="s">
        <v>36</v>
      </c>
      <c r="E20" s="92" t="s">
        <v>313</v>
      </c>
    </row>
    <row r="21" spans="1:26" ht="17" thickBot="1" x14ac:dyDescent="0.25">
      <c r="B21" s="153" t="s">
        <v>310</v>
      </c>
      <c r="C21" s="156">
        <f>C14/C20</f>
        <v>27.365896800439547</v>
      </c>
      <c r="D21" s="157" t="s">
        <v>36</v>
      </c>
      <c r="E21" s="91"/>
      <c r="P21" s="456">
        <v>1900</v>
      </c>
      <c r="Q21" s="456"/>
      <c r="T21" s="456">
        <v>1800</v>
      </c>
      <c r="U21" s="456"/>
      <c r="X21" s="456">
        <v>1900</v>
      </c>
      <c r="Y21" s="456"/>
    </row>
    <row r="22" spans="1:26" x14ac:dyDescent="0.2">
      <c r="B22" s="95"/>
    </row>
    <row r="23" spans="1:26" ht="17" thickBot="1" x14ac:dyDescent="0.25">
      <c r="B23" s="95"/>
    </row>
    <row r="24" spans="1:26" ht="17" thickBot="1" x14ac:dyDescent="0.25">
      <c r="B24" s="144" t="s">
        <v>308</v>
      </c>
      <c r="C24" s="148">
        <f>SQRT(H19/2*C14)</f>
        <v>33.516241757369833</v>
      </c>
      <c r="D24" s="146" t="s">
        <v>36</v>
      </c>
      <c r="E24" s="3" t="s">
        <v>314</v>
      </c>
    </row>
    <row r="25" spans="1:26" ht="17" thickBot="1" x14ac:dyDescent="0.25">
      <c r="B25" s="144" t="s">
        <v>310</v>
      </c>
      <c r="C25" s="147">
        <f>C14/C24</f>
        <v>22.344161171579888</v>
      </c>
      <c r="D25" s="47" t="s">
        <v>36</v>
      </c>
    </row>
    <row r="26" spans="1:26" x14ac:dyDescent="0.2">
      <c r="B26" s="95"/>
    </row>
    <row r="27" spans="1:26" x14ac:dyDescent="0.2">
      <c r="B27" s="95"/>
    </row>
    <row r="28" spans="1:26" x14ac:dyDescent="0.2">
      <c r="A28" s="74" t="s">
        <v>315</v>
      </c>
      <c r="B28" s="95"/>
    </row>
    <row r="29" spans="1:26" x14ac:dyDescent="0.2">
      <c r="A29" s="74"/>
      <c r="B29" t="s">
        <v>309</v>
      </c>
      <c r="F29" s="91" t="s">
        <v>313</v>
      </c>
      <c r="G29" s="91"/>
      <c r="H29" s="91"/>
      <c r="K29" t="s">
        <v>314</v>
      </c>
    </row>
    <row r="30" spans="1:26" x14ac:dyDescent="0.2">
      <c r="A30" t="s">
        <v>316</v>
      </c>
      <c r="B30" t="s">
        <v>317</v>
      </c>
      <c r="C30" t="s">
        <v>318</v>
      </c>
      <c r="F30" s="91" t="s">
        <v>317</v>
      </c>
      <c r="G30" s="484" t="s">
        <v>318</v>
      </c>
      <c r="H30" s="484"/>
      <c r="K30" s="496" t="s">
        <v>317</v>
      </c>
      <c r="L30" s="496"/>
      <c r="M30" t="s">
        <v>318</v>
      </c>
    </row>
    <row r="31" spans="1:26" x14ac:dyDescent="0.2">
      <c r="F31" s="91"/>
      <c r="G31" s="91"/>
      <c r="H31" s="91"/>
      <c r="K31" s="456"/>
      <c r="L31" s="456"/>
      <c r="M31" s="456"/>
      <c r="N31" s="456"/>
    </row>
    <row r="32" spans="1:26" x14ac:dyDescent="0.2">
      <c r="A32" t="s">
        <v>319</v>
      </c>
      <c r="B32" s="95">
        <f>ROUNDUP(C17/H10,0)</f>
        <v>4</v>
      </c>
      <c r="C32">
        <f>ROUNDUP(C16/5, 0)</f>
        <v>8</v>
      </c>
      <c r="F32" s="91">
        <f>ROUNDUP(C21/H10,0)</f>
        <v>5</v>
      </c>
      <c r="G32" s="484">
        <f>ROUNDUP(C20/H10, 0)</f>
        <v>5</v>
      </c>
      <c r="H32" s="484"/>
      <c r="K32" s="485">
        <f>ROUNDUP(C25/H10,0)</f>
        <v>4</v>
      </c>
      <c r="L32" s="485"/>
      <c r="M32" s="485">
        <f>ROUNDUP(C24/H10, 0)</f>
        <v>6</v>
      </c>
      <c r="N32" s="485"/>
    </row>
    <row r="33" spans="1:14" x14ac:dyDescent="0.2">
      <c r="A33" t="s">
        <v>320</v>
      </c>
      <c r="B33" s="95">
        <f>ROUNDUP(B2/(B32*C11), 0)</f>
        <v>36</v>
      </c>
      <c r="C33">
        <f>ROUNDUP(B2/(C32*C11),0)</f>
        <v>18</v>
      </c>
      <c r="F33" s="91">
        <f>ROUNDUP(B2/(F32*C11), 0)</f>
        <v>29</v>
      </c>
      <c r="G33" s="486">
        <f>ROUNDUP(B2/(G32*C11),0)</f>
        <v>29</v>
      </c>
      <c r="H33" s="486"/>
      <c r="K33" s="485">
        <f>ROUNDUP(B2/(K32*C11), 0)</f>
        <v>36</v>
      </c>
      <c r="L33" s="485"/>
      <c r="M33" s="485">
        <f>ROUNDUP(B2/(M32*C11), 0)</f>
        <v>24</v>
      </c>
      <c r="N33" s="485"/>
    </row>
    <row r="34" spans="1:14" x14ac:dyDescent="0.2">
      <c r="A34" t="s">
        <v>321</v>
      </c>
      <c r="B34">
        <f>B32*B33*C11</f>
        <v>3744</v>
      </c>
      <c r="C34">
        <f>C32*C33*C11</f>
        <v>3744</v>
      </c>
      <c r="F34" s="91">
        <f>F32*F33*C11</f>
        <v>3770</v>
      </c>
      <c r="G34" s="486">
        <f>G32*G33*C11</f>
        <v>3770</v>
      </c>
      <c r="H34" s="486"/>
      <c r="K34" s="485">
        <f>K32*K33*C11</f>
        <v>3744</v>
      </c>
      <c r="L34" s="485"/>
      <c r="M34" s="485">
        <f>M32*M33*C11</f>
        <v>3744</v>
      </c>
      <c r="N34" s="485"/>
    </row>
    <row r="35" spans="1:14" x14ac:dyDescent="0.2">
      <c r="F35" s="91"/>
      <c r="G35" s="91"/>
      <c r="H35" s="91"/>
    </row>
    <row r="36" spans="1:14" x14ac:dyDescent="0.2">
      <c r="A36" t="s">
        <v>322</v>
      </c>
      <c r="B36">
        <f>B33*0.95+6</f>
        <v>40.199999999999996</v>
      </c>
      <c r="C36">
        <f>C32*H10+6</f>
        <v>50.8</v>
      </c>
      <c r="F36" s="91">
        <f>F33*0.95+6</f>
        <v>33.549999999999997</v>
      </c>
      <c r="G36" s="486">
        <f>G32*H10+6</f>
        <v>34</v>
      </c>
      <c r="H36" s="486"/>
      <c r="K36" s="485">
        <f>K33*0.95+6</f>
        <v>40.199999999999996</v>
      </c>
      <c r="L36" s="485"/>
      <c r="M36" s="483">
        <f>M32*H10+6</f>
        <v>39.599999999999994</v>
      </c>
      <c r="N36" s="483"/>
    </row>
    <row r="37" spans="1:14" x14ac:dyDescent="0.2">
      <c r="A37" t="s">
        <v>323</v>
      </c>
      <c r="B37">
        <f>B32*(1.9*2+1.8)</f>
        <v>22.4</v>
      </c>
      <c r="C37">
        <f>C33*0.95</f>
        <v>17.099999999999998</v>
      </c>
      <c r="F37" s="91">
        <f>F32*(1.9*2+1.8)</f>
        <v>28</v>
      </c>
      <c r="G37" s="484">
        <f>G33*1</f>
        <v>29</v>
      </c>
      <c r="H37" s="484"/>
      <c r="K37" s="483">
        <f>K32*H10</f>
        <v>22.4</v>
      </c>
      <c r="L37" s="483"/>
      <c r="M37" s="483">
        <f>M33*0.95</f>
        <v>22.799999999999997</v>
      </c>
      <c r="N37" s="483"/>
    </row>
    <row r="38" spans="1:14" x14ac:dyDescent="0.2">
      <c r="A38" t="s">
        <v>324</v>
      </c>
      <c r="B38">
        <f>B36*B37</f>
        <v>900.47999999999979</v>
      </c>
      <c r="C38">
        <f>C36*C37</f>
        <v>868.67999999999984</v>
      </c>
      <c r="F38" s="91">
        <f>F36*F37</f>
        <v>939.39999999999986</v>
      </c>
      <c r="G38" s="484">
        <f>G36*G37</f>
        <v>986</v>
      </c>
      <c r="H38" s="484"/>
      <c r="K38" s="483">
        <f>K36*K37</f>
        <v>900.47999999999979</v>
      </c>
      <c r="L38" s="483"/>
      <c r="M38" s="483">
        <f>M36*M37</f>
        <v>902.87999999999977</v>
      </c>
      <c r="N38" s="483"/>
    </row>
    <row r="40" spans="1:14" x14ac:dyDescent="0.2">
      <c r="A40" s="74" t="s">
        <v>265</v>
      </c>
    </row>
    <row r="42" spans="1:14" x14ac:dyDescent="0.2">
      <c r="A42" t="s">
        <v>325</v>
      </c>
      <c r="B42">
        <f>B36/H17+B37/2</f>
        <v>21.25</v>
      </c>
      <c r="C42">
        <f>C36/H17+C37/2</f>
        <v>21.25</v>
      </c>
      <c r="F42">
        <f>F36/H18+F37/2</f>
        <v>30.774999999999999</v>
      </c>
      <c r="G42" s="485">
        <f>G36/H18+G37/2</f>
        <v>31.5</v>
      </c>
      <c r="H42" s="485"/>
      <c r="K42" s="483">
        <f>K36/H19+K37/2</f>
        <v>24.599999999999998</v>
      </c>
      <c r="L42" s="483"/>
      <c r="M42" s="483">
        <f>M36/H19+M37/2</f>
        <v>24.599999999999994</v>
      </c>
      <c r="N42" s="483"/>
    </row>
    <row r="43" spans="1:14" x14ac:dyDescent="0.2">
      <c r="A43" t="s">
        <v>326</v>
      </c>
      <c r="B43">
        <f>((C10-1)/2)*0.95</f>
        <v>5.6999999999999993</v>
      </c>
      <c r="C43">
        <f>((C10-1)/2)*0.95</f>
        <v>5.6999999999999993</v>
      </c>
      <c r="F43">
        <f>((C10-1)/2)*0.95</f>
        <v>5.6999999999999993</v>
      </c>
      <c r="G43" s="483">
        <f>((C10-1)/2)*0.95</f>
        <v>5.6999999999999993</v>
      </c>
      <c r="H43" s="483"/>
      <c r="K43" s="483">
        <f>((C10-1)/2)*0.95</f>
        <v>5.6999999999999993</v>
      </c>
      <c r="L43" s="483"/>
      <c r="M43" s="483">
        <f>((C10-1)/2)*0.95</f>
        <v>5.6999999999999993</v>
      </c>
      <c r="N43" s="483"/>
    </row>
    <row r="44" spans="1:14" x14ac:dyDescent="0.2">
      <c r="A44" t="s">
        <v>327</v>
      </c>
      <c r="B44">
        <f>B42/carr_elev!$K33+dimensione_magazzinoPF!B43/carr_elev!$L33+dimensione_magazzinoPF!B43/carr_elev!$M33+B42/carr_elev!$K33+2*$H3</f>
        <v>130.49390919158361</v>
      </c>
      <c r="C44">
        <f>C42/carr_elev!$K33+dimensione_magazzinoPF!C43/carr_elev!$L33+dimensione_magazzinoPF!C43/carr_elev!$M33+C42/carr_elev!$K33+2*$H3</f>
        <v>130.49390919158361</v>
      </c>
      <c r="F44">
        <f>F42/carr_elev!$K33+dimensione_magazzinoPF!F43/carr_elev!$L33+dimensione_magazzinoPF!F43/carr_elev!$M33+F42/carr_elev!$K33+2*$H3</f>
        <v>137.02533776301217</v>
      </c>
      <c r="H44" s="84">
        <f>G42/carr_elev!$K33+dimensione_magazzinoPF!G43/carr_elev!$L33+dimensione_magazzinoPF!G43/carr_elev!$M33+G42/carr_elev!$K33+2*$H3</f>
        <v>137.52248062015502</v>
      </c>
      <c r="L44">
        <f>K42/carr_elev!$K33+dimensione_magazzinoPF!K43/carr_elev!$K33+dimensione_magazzinoPF!K43/carr_elev!$M33+K42/carr_elev!$K33+2*$H3</f>
        <v>121.4895238095238</v>
      </c>
      <c r="N44" s="84">
        <f>M42/carr_elev!$K33+dimensione_magazzinoPF!M43/carr_elev!$L33+dimensione_magazzinoPF!M43/carr_elev!$M33+M42/carr_elev!$K33+2*$H3</f>
        <v>132.79105204872647</v>
      </c>
    </row>
    <row r="45" spans="1:14" x14ac:dyDescent="0.2">
      <c r="A45" t="s">
        <v>328</v>
      </c>
      <c r="B45">
        <f>B42/carr_elev!$K33+B43/carr_elev!$L33+B43/carr_elev!$M33+B42/carr_elev!$K33+2*dimensione_magazzinoPF!$H3</f>
        <v>130.49390919158361</v>
      </c>
      <c r="C45">
        <f>C42/carr_elev!$K33+C43/carr_elev!$L33+C43/carr_elev!$M33+C42/carr_elev!$K33+2*dimensione_magazzinoPF!$H3</f>
        <v>130.49390919158361</v>
      </c>
      <c r="F45">
        <f>F42/carr_elev!$K33+F43/carr_elev!$L33+F43/carr_elev!$M33+F42/carr_elev!$K33+2*dimensione_magazzinoPF!$H3</f>
        <v>137.02533776301217</v>
      </c>
      <c r="H45">
        <f>G42/carr_elev!$K33+G43/carr_elev!$L33+G43/carr_elev!$M33+G42/carr_elev!$K33+2*dimensione_magazzinoPF!$H3</f>
        <v>137.52248062015502</v>
      </c>
      <c r="L45">
        <f>K42/carr_elev!$K33+K43/carr_elev!$L33+K43/carr_elev!$M33+K42/carr_elev!$K33+2*dimensione_magazzinoPF!$H3</f>
        <v>132.79105204872647</v>
      </c>
      <c r="N45">
        <f>M42/carr_elev!$K33+M43/carr_elev!$L33+M43/carr_elev!$M33+M42/carr_elev!$K33+2*dimensione_magazzinoPF!$H3</f>
        <v>132.79105204872647</v>
      </c>
    </row>
    <row r="46" spans="1:14" x14ac:dyDescent="0.2">
      <c r="A46" t="s">
        <v>329</v>
      </c>
      <c r="B46">
        <f>B44+B45</f>
        <v>260.98781838316722</v>
      </c>
      <c r="C46">
        <f>C44+C45</f>
        <v>260.98781838316722</v>
      </c>
      <c r="F46">
        <f>F44+F45</f>
        <v>274.05067552602435</v>
      </c>
      <c r="H46">
        <f>H44+H45</f>
        <v>275.04496124031004</v>
      </c>
      <c r="L46">
        <f>L44+L45</f>
        <v>254.28057585825027</v>
      </c>
      <c r="N46">
        <f>N44+N45</f>
        <v>265.58210409745294</v>
      </c>
    </row>
    <row r="51" spans="1:5" s="158" customFormat="1" ht="21" thickBot="1" x14ac:dyDescent="0.3">
      <c r="A51" s="158" t="s">
        <v>315</v>
      </c>
    </row>
    <row r="52" spans="1:5" ht="17" thickTop="1" x14ac:dyDescent="0.2"/>
    <row r="53" spans="1:5" s="205" customFormat="1" ht="17" thickBot="1" x14ac:dyDescent="0.25">
      <c r="A53" s="205" t="s">
        <v>330</v>
      </c>
    </row>
    <row r="54" spans="1:5" s="163" customFormat="1" ht="17" thickTop="1" x14ac:dyDescent="0.2">
      <c r="B54" s="164" t="s">
        <v>331</v>
      </c>
      <c r="C54" s="164" t="s">
        <v>332</v>
      </c>
      <c r="D54" s="164" t="s">
        <v>333</v>
      </c>
    </row>
    <row r="55" spans="1:5" s="163" customFormat="1" x14ac:dyDescent="0.2">
      <c r="A55" s="163" t="s">
        <v>334</v>
      </c>
      <c r="B55" s="163">
        <v>1900</v>
      </c>
      <c r="C55" s="163">
        <v>950</v>
      </c>
      <c r="D55" s="163">
        <v>950</v>
      </c>
      <c r="E55" s="163" t="s">
        <v>191</v>
      </c>
    </row>
    <row r="56" spans="1:5" s="163" customFormat="1" x14ac:dyDescent="0.2">
      <c r="A56" s="163" t="s">
        <v>335</v>
      </c>
      <c r="B56" s="163">
        <f>INT(carr_elev!D6/'dimensionamento magazzino PF'!C55)+1</f>
        <v>6</v>
      </c>
    </row>
    <row r="57" spans="1:5" s="163" customFormat="1" x14ac:dyDescent="0.2">
      <c r="A57" s="163" t="s">
        <v>336</v>
      </c>
      <c r="B57" s="163">
        <f>B56*C55/1000</f>
        <v>5.7</v>
      </c>
      <c r="C57" s="163" t="s">
        <v>36</v>
      </c>
    </row>
    <row r="58" spans="1:5" s="163" customFormat="1" x14ac:dyDescent="0.2">
      <c r="A58" s="163" t="s">
        <v>337</v>
      </c>
      <c r="B58" s="163">
        <v>9</v>
      </c>
    </row>
    <row r="59" spans="1:5" s="163" customFormat="1" x14ac:dyDescent="0.2">
      <c r="A59" s="163" t="s">
        <v>338</v>
      </c>
      <c r="B59" s="163">
        <f>D55*B58/1000</f>
        <v>8.5500000000000007</v>
      </c>
      <c r="C59" s="163" t="s">
        <v>36</v>
      </c>
    </row>
    <row r="60" spans="1:5" s="163" customFormat="1" x14ac:dyDescent="0.2">
      <c r="A60" s="163" t="s">
        <v>339</v>
      </c>
      <c r="B60" s="163">
        <f>B56*B58</f>
        <v>54</v>
      </c>
    </row>
    <row r="61" spans="1:5" s="163" customFormat="1" x14ac:dyDescent="0.2">
      <c r="A61" s="163" t="s">
        <v>340</v>
      </c>
      <c r="B61" s="163">
        <f>B60*SUM(C64:C67)</f>
        <v>3780</v>
      </c>
    </row>
    <row r="63" spans="1:5" s="205" customFormat="1" ht="17" thickBot="1" x14ac:dyDescent="0.25">
      <c r="A63" s="205" t="s">
        <v>341</v>
      </c>
      <c r="B63" s="205" t="s">
        <v>342</v>
      </c>
      <c r="C63" s="205" t="s">
        <v>343</v>
      </c>
    </row>
    <row r="64" spans="1:5" s="163" customFormat="1" ht="17" thickTop="1" x14ac:dyDescent="0.2">
      <c r="A64" s="163" t="s">
        <v>344</v>
      </c>
      <c r="B64" s="207" cm="1">
        <f t="array" ref="B64:B67">mag_completo!X23:X26</f>
        <v>1097</v>
      </c>
      <c r="C64" s="207">
        <f>ROUNDUP(B64/$B$60,0)</f>
        <v>21</v>
      </c>
    </row>
    <row r="65" spans="1:3" s="163" customFormat="1" x14ac:dyDescent="0.2">
      <c r="A65" s="163" t="s">
        <v>345</v>
      </c>
      <c r="B65" s="207">
        <v>975</v>
      </c>
      <c r="C65" s="207">
        <f>ROUNDUP(B65/$B$60,0)</f>
        <v>19</v>
      </c>
    </row>
    <row r="66" spans="1:3" s="163" customFormat="1" x14ac:dyDescent="0.2">
      <c r="A66" s="163" t="s">
        <v>73</v>
      </c>
      <c r="B66" s="207">
        <v>1010</v>
      </c>
      <c r="C66" s="207">
        <f>ROUNDUP(B66/$B$60,0)</f>
        <v>19</v>
      </c>
    </row>
    <row r="67" spans="1:3" s="163" customFormat="1" x14ac:dyDescent="0.2">
      <c r="A67" s="163" t="s">
        <v>76</v>
      </c>
      <c r="B67" s="207">
        <v>578</v>
      </c>
      <c r="C67" s="207">
        <f>ROUNDUP(B67/$B$60,0)</f>
        <v>11</v>
      </c>
    </row>
    <row r="69" spans="1:3" s="205" customFormat="1" ht="17" thickBot="1" x14ac:dyDescent="0.25">
      <c r="A69" s="205" t="s">
        <v>346</v>
      </c>
    </row>
    <row r="70" spans="1:3" s="163" customFormat="1" ht="17" thickTop="1" x14ac:dyDescent="0.2">
      <c r="A70" s="163" t="s">
        <v>347</v>
      </c>
      <c r="B70" s="163">
        <f>SUM(C64:C67)</f>
        <v>70</v>
      </c>
    </row>
    <row r="71" spans="1:3" s="163" customFormat="1" x14ac:dyDescent="0.2">
      <c r="A71" s="163" t="s">
        <v>348</v>
      </c>
      <c r="B71" s="163">
        <v>4</v>
      </c>
    </row>
    <row r="72" spans="1:3" s="163" customFormat="1" x14ac:dyDescent="0.2">
      <c r="A72" s="163" t="s">
        <v>349</v>
      </c>
      <c r="B72" s="163">
        <f>ROUNDUP(B70/B71,0)</f>
        <v>18</v>
      </c>
    </row>
    <row r="73" spans="1:3" s="163" customFormat="1" x14ac:dyDescent="0.2">
      <c r="A73" s="163" t="s">
        <v>350</v>
      </c>
      <c r="B73" s="163">
        <f>B72*B55/1000</f>
        <v>34.200000000000003</v>
      </c>
      <c r="C73" s="163" t="s">
        <v>36</v>
      </c>
    </row>
    <row r="74" spans="1:3" s="163" customFormat="1" x14ac:dyDescent="0.2">
      <c r="A74" s="163" t="s">
        <v>351</v>
      </c>
      <c r="B74" s="163">
        <v>6</v>
      </c>
      <c r="C74" s="163" t="s">
        <v>36</v>
      </c>
    </row>
    <row r="75" spans="1:3" s="163" customFormat="1" x14ac:dyDescent="0.2">
      <c r="A75" s="163" t="s">
        <v>352</v>
      </c>
      <c r="B75" s="163">
        <v>3.2</v>
      </c>
      <c r="C75" s="163" t="s">
        <v>36</v>
      </c>
    </row>
    <row r="76" spans="1:3" s="163" customFormat="1" x14ac:dyDescent="0.2"/>
    <row r="77" spans="1:3" s="163" customFormat="1" x14ac:dyDescent="0.2">
      <c r="A77" s="163" t="s">
        <v>353</v>
      </c>
      <c r="B77" s="208">
        <f>B59*2+B75+2*B74</f>
        <v>32.299999999999997</v>
      </c>
      <c r="C77" s="163" t="s">
        <v>36</v>
      </c>
    </row>
    <row r="78" spans="1:3" s="163" customFormat="1" x14ac:dyDescent="0.2">
      <c r="A78" s="163" t="s">
        <v>354</v>
      </c>
      <c r="B78" s="208">
        <f>B73*2+B74</f>
        <v>74.400000000000006</v>
      </c>
      <c r="C78" s="163" t="s">
        <v>36</v>
      </c>
    </row>
    <row r="79" spans="1:3" s="163" customFormat="1" x14ac:dyDescent="0.2">
      <c r="A79" s="163" t="s">
        <v>355</v>
      </c>
      <c r="B79" s="209">
        <f>PRODUCT(B77:B78)</f>
        <v>2403.12</v>
      </c>
      <c r="C79" s="163" t="s">
        <v>356</v>
      </c>
    </row>
    <row r="81" spans="1:22" s="158" customFormat="1" ht="21" thickBot="1" x14ac:dyDescent="0.3">
      <c r="A81" s="158" t="s">
        <v>265</v>
      </c>
    </row>
    <row r="82" spans="1:22" ht="17" thickTop="1" x14ac:dyDescent="0.2"/>
    <row r="83" spans="1:22" s="206" customFormat="1" x14ac:dyDescent="0.2">
      <c r="A83" s="206" t="s">
        <v>357</v>
      </c>
    </row>
    <row r="84" spans="1:22" s="163" customFormat="1" x14ac:dyDescent="0.2">
      <c r="A84" s="163" t="s">
        <v>358</v>
      </c>
      <c r="B84" s="163">
        <f>B75+B59+B75+B74/2+B73/2+B74/2</f>
        <v>38.049999999999997</v>
      </c>
      <c r="C84" s="163" t="s">
        <v>36</v>
      </c>
    </row>
    <row r="85" spans="1:22" s="163" customFormat="1" x14ac:dyDescent="0.2">
      <c r="A85" s="163" t="s">
        <v>359</v>
      </c>
      <c r="B85" s="163">
        <f>B84</f>
        <v>38.049999999999997</v>
      </c>
      <c r="C85" s="163" t="s">
        <v>36</v>
      </c>
    </row>
    <row r="86" spans="1:22" s="163" customFormat="1" x14ac:dyDescent="0.2">
      <c r="A86" s="163" t="s">
        <v>360</v>
      </c>
      <c r="B86" s="210">
        <f>(B56-1)/2*C55/1000</f>
        <v>2.375</v>
      </c>
      <c r="C86" s="163" t="s">
        <v>36</v>
      </c>
    </row>
    <row r="87" spans="1:22" s="163" customFormat="1" x14ac:dyDescent="0.2"/>
    <row r="88" spans="1:22" s="206" customFormat="1" x14ac:dyDescent="0.2">
      <c r="A88" s="206" t="s">
        <v>361</v>
      </c>
    </row>
    <row r="89" spans="1:22" s="163" customFormat="1" x14ac:dyDescent="0.2">
      <c r="A89" s="163" t="s">
        <v>362</v>
      </c>
      <c r="B89" s="210">
        <f>carr_elev!$K$6</f>
        <v>2.7777777777777777</v>
      </c>
      <c r="C89" s="163" t="s">
        <v>363</v>
      </c>
    </row>
    <row r="90" spans="1:22" s="163" customFormat="1" x14ac:dyDescent="0.2">
      <c r="A90" s="163" t="s">
        <v>364</v>
      </c>
      <c r="B90" s="210">
        <f>carr_elev!$L$6</f>
        <v>2.2222222222222223</v>
      </c>
      <c r="C90" s="163" t="s">
        <v>363</v>
      </c>
    </row>
    <row r="91" spans="1:22" s="163" customFormat="1" x14ac:dyDescent="0.2">
      <c r="B91" s="210"/>
      <c r="V91" s="209"/>
    </row>
    <row r="92" spans="1:22" s="163" customFormat="1" x14ac:dyDescent="0.2">
      <c r="A92" s="163" t="s">
        <v>365</v>
      </c>
      <c r="B92" s="210">
        <f>carr_elev!$M$6</f>
        <v>0.36</v>
      </c>
      <c r="C92" s="163" t="s">
        <v>363</v>
      </c>
    </row>
    <row r="93" spans="1:22" s="163" customFormat="1" x14ac:dyDescent="0.2">
      <c r="A93" s="163" t="s">
        <v>366</v>
      </c>
      <c r="B93" s="210">
        <f>carr_elev!$N$6</f>
        <v>0.17</v>
      </c>
      <c r="C93" s="163" t="s">
        <v>363</v>
      </c>
    </row>
    <row r="94" spans="1:22" s="163" customFormat="1" x14ac:dyDescent="0.2">
      <c r="A94" s="163" t="s">
        <v>367</v>
      </c>
      <c r="B94" s="210">
        <f>carr_elev!$O$6</f>
        <v>0.47</v>
      </c>
      <c r="C94" s="163" t="s">
        <v>363</v>
      </c>
    </row>
    <row r="95" spans="1:22" s="163" customFormat="1" x14ac:dyDescent="0.2">
      <c r="A95" s="163" t="s">
        <v>368</v>
      </c>
      <c r="B95" s="210">
        <f>carr_elev!$P$6</f>
        <v>0.45</v>
      </c>
      <c r="C95" s="163" t="s">
        <v>363</v>
      </c>
    </row>
    <row r="96" spans="1:22" s="163" customFormat="1" x14ac:dyDescent="0.2"/>
    <row r="97" spans="1:30" s="206" customFormat="1" x14ac:dyDescent="0.2">
      <c r="A97" s="206" t="s">
        <v>369</v>
      </c>
    </row>
    <row r="98" spans="1:30" s="163" customFormat="1" x14ac:dyDescent="0.2">
      <c r="A98" s="163" t="s">
        <v>370</v>
      </c>
      <c r="B98" s="163">
        <v>1.2</v>
      </c>
    </row>
    <row r="99" spans="1:30" s="163" customFormat="1" x14ac:dyDescent="0.2">
      <c r="A99" s="163" t="s">
        <v>371</v>
      </c>
      <c r="B99" s="163">
        <v>4</v>
      </c>
    </row>
    <row r="100" spans="1:30" s="163" customFormat="1" x14ac:dyDescent="0.2">
      <c r="A100" s="163" t="s">
        <v>372</v>
      </c>
      <c r="B100" s="163">
        <v>14.33</v>
      </c>
      <c r="C100" s="163" t="s">
        <v>60</v>
      </c>
    </row>
    <row r="101" spans="1:30" s="163" customFormat="1" x14ac:dyDescent="0.2"/>
    <row r="102" spans="1:30" s="163" customFormat="1" x14ac:dyDescent="0.2">
      <c r="A102" s="163" t="s">
        <v>373</v>
      </c>
      <c r="B102" s="163">
        <f>SUM(mag_completo!U23:U26)</f>
        <v>3050</v>
      </c>
      <c r="D102" s="211"/>
      <c r="E102" s="211"/>
      <c r="F102" s="211"/>
      <c r="G102" s="211"/>
      <c r="H102" s="211"/>
      <c r="I102" s="211"/>
      <c r="J102" s="211"/>
      <c r="K102" s="211"/>
      <c r="L102" s="211"/>
    </row>
    <row r="103" spans="1:30" s="163" customFormat="1" x14ac:dyDescent="0.2">
      <c r="D103" s="211"/>
      <c r="E103" s="211"/>
      <c r="F103" s="211"/>
      <c r="G103" s="211"/>
      <c r="H103" s="211"/>
      <c r="I103" s="211"/>
      <c r="J103" s="211"/>
      <c r="K103" s="211"/>
      <c r="L103" s="211"/>
      <c r="AD103" s="163" t="s">
        <v>374</v>
      </c>
    </row>
    <row r="104" spans="1:30" s="206" customFormat="1" x14ac:dyDescent="0.2">
      <c r="A104" s="206" t="s">
        <v>375</v>
      </c>
    </row>
    <row r="105" spans="1:30" s="163" customFormat="1" x14ac:dyDescent="0.2">
      <c r="A105" s="163" t="s">
        <v>376</v>
      </c>
      <c r="B105" s="163">
        <f>ROUNDUP(B102/(B100*B99),0)</f>
        <v>54</v>
      </c>
      <c r="C105" s="163" t="s">
        <v>377</v>
      </c>
    </row>
    <row r="106" spans="1:30" s="163" customFormat="1" x14ac:dyDescent="0.2">
      <c r="A106" s="163" t="s">
        <v>378</v>
      </c>
      <c r="B106" s="163">
        <f>ROUNDUP(MAX(B64:B67)/(B100),0)</f>
        <v>77</v>
      </c>
      <c r="C106" s="163" t="s">
        <v>377</v>
      </c>
      <c r="D106" s="211"/>
      <c r="E106" s="211"/>
      <c r="F106" s="211"/>
      <c r="G106" s="211"/>
      <c r="H106" s="211"/>
      <c r="I106" s="211"/>
      <c r="J106" s="211"/>
      <c r="K106" s="211"/>
    </row>
    <row r="107" spans="1:30" s="163" customFormat="1" x14ac:dyDescent="0.2">
      <c r="D107" s="211"/>
      <c r="E107" s="211"/>
      <c r="F107" s="211"/>
      <c r="G107" s="211"/>
      <c r="H107" s="211"/>
      <c r="I107" s="211"/>
      <c r="J107" s="211"/>
      <c r="K107" s="211"/>
    </row>
    <row r="108" spans="1:30" s="206" customFormat="1" x14ac:dyDescent="0.2">
      <c r="A108" s="206" t="s">
        <v>379</v>
      </c>
    </row>
    <row r="109" spans="1:30" s="163" customFormat="1" x14ac:dyDescent="0.2">
      <c r="A109" s="163" t="s">
        <v>380</v>
      </c>
      <c r="B109" s="163">
        <v>60</v>
      </c>
      <c r="C109" s="163" t="s">
        <v>121</v>
      </c>
    </row>
    <row r="110" spans="1:30" s="163" customFormat="1" x14ac:dyDescent="0.2"/>
    <row r="111" spans="1:30" s="163" customFormat="1" x14ac:dyDescent="0.2">
      <c r="A111" s="163" t="s">
        <v>381</v>
      </c>
      <c r="B111" s="210">
        <f>B109 + B84/B90 + B86/B93 + B86/B94 + B84/B89 + B109</f>
        <v>169.84427972465582</v>
      </c>
      <c r="C111" s="163" t="s">
        <v>121</v>
      </c>
    </row>
    <row r="112" spans="1:30" s="163" customFormat="1" x14ac:dyDescent="0.2">
      <c r="A112" s="163" t="s">
        <v>382</v>
      </c>
      <c r="B112" s="210">
        <f>B109 + B85/B89 + B86/B92 + B86/B95 + B85/B90 + B109</f>
        <v>162.69549999999998</v>
      </c>
      <c r="C112" s="163" t="s">
        <v>121</v>
      </c>
    </row>
    <row r="113" spans="1:7" s="163" customFormat="1" x14ac:dyDescent="0.2"/>
    <row r="114" spans="1:7" s="163" customFormat="1" x14ac:dyDescent="0.2">
      <c r="A114" s="163" t="s">
        <v>383</v>
      </c>
      <c r="B114" s="210">
        <f>SUM(B111*B105,B112*B106)/SUM(B105:B106)</f>
        <v>165.64232523001078</v>
      </c>
      <c r="C114" s="163" t="s">
        <v>121</v>
      </c>
    </row>
    <row r="115" spans="1:7" s="163" customFormat="1" x14ac:dyDescent="0.2"/>
    <row r="116" spans="1:7" s="163" customFormat="1" x14ac:dyDescent="0.2">
      <c r="A116" s="163" t="s">
        <v>384</v>
      </c>
      <c r="B116" s="210">
        <f>B98*(B105/3600*B111)</f>
        <v>3.0571970350438047</v>
      </c>
    </row>
    <row r="117" spans="1:7" s="163" customFormat="1" x14ac:dyDescent="0.2">
      <c r="A117" s="163" t="s">
        <v>385</v>
      </c>
      <c r="B117" s="210">
        <f>B98*(B106/3600*B112)</f>
        <v>4.175851166666666</v>
      </c>
    </row>
    <row r="118" spans="1:7" s="163" customFormat="1" x14ac:dyDescent="0.2">
      <c r="A118" s="163" t="s">
        <v>386</v>
      </c>
      <c r="B118" s="210">
        <f>ROUNDUP(SUM(B116:B117),0)</f>
        <v>8</v>
      </c>
      <c r="C118" s="163" t="s">
        <v>387</v>
      </c>
    </row>
    <row r="119" spans="1:7" s="163" customFormat="1" x14ac:dyDescent="0.2"/>
    <row r="120" spans="1:7" s="205" customFormat="1" ht="17" thickBot="1" x14ac:dyDescent="0.25">
      <c r="A120" s="205" t="s">
        <v>388</v>
      </c>
    </row>
    <row r="121" spans="1:7" s="163" customFormat="1" ht="17" thickTop="1" x14ac:dyDescent="0.2">
      <c r="A121" s="163" t="s">
        <v>389</v>
      </c>
      <c r="B121" s="210">
        <f>SUM(B64:B67)/B79</f>
        <v>1.523020073903925</v>
      </c>
      <c r="C121" s="163" t="s">
        <v>390</v>
      </c>
    </row>
    <row r="124" spans="1:7" x14ac:dyDescent="0.2">
      <c r="G124" s="191"/>
    </row>
    <row r="125" spans="1:7" x14ac:dyDescent="0.2">
      <c r="G125" s="60"/>
    </row>
  </sheetData>
  <mergeCells count="35">
    <mergeCell ref="K31:L31"/>
    <mergeCell ref="M31:N31"/>
    <mergeCell ref="G32:H32"/>
    <mergeCell ref="K32:L32"/>
    <mergeCell ref="W17:Z19"/>
    <mergeCell ref="P21:Q21"/>
    <mergeCell ref="T21:U21"/>
    <mergeCell ref="X21:Y21"/>
    <mergeCell ref="G30:H30"/>
    <mergeCell ref="K30:L30"/>
    <mergeCell ref="N17:N19"/>
    <mergeCell ref="O17:R19"/>
    <mergeCell ref="S17:V19"/>
    <mergeCell ref="M32:N32"/>
    <mergeCell ref="G33:H33"/>
    <mergeCell ref="K33:L33"/>
    <mergeCell ref="M33:N33"/>
    <mergeCell ref="G34:H34"/>
    <mergeCell ref="K34:L34"/>
    <mergeCell ref="M34:N34"/>
    <mergeCell ref="G36:H36"/>
    <mergeCell ref="K36:L36"/>
    <mergeCell ref="M36:N36"/>
    <mergeCell ref="G37:H37"/>
    <mergeCell ref="K37:L37"/>
    <mergeCell ref="M37:N37"/>
    <mergeCell ref="G43:H43"/>
    <mergeCell ref="K43:L43"/>
    <mergeCell ref="M43:N43"/>
    <mergeCell ref="G38:H38"/>
    <mergeCell ref="K38:L38"/>
    <mergeCell ref="M38:N38"/>
    <mergeCell ref="G42:H42"/>
    <mergeCell ref="K42:L42"/>
    <mergeCell ref="M42:N42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DB905-F250-401A-911C-4C96D48A497F}">
  <dimension ref="A2:AY141"/>
  <sheetViews>
    <sheetView zoomScale="66" zoomScaleNormal="70" workbookViewId="0">
      <selection activeCell="AC64" sqref="AC64:AE64"/>
    </sheetView>
  </sheetViews>
  <sheetFormatPr baseColWidth="10" defaultColWidth="8.5" defaultRowHeight="16" x14ac:dyDescent="0.2"/>
  <cols>
    <col min="1" max="1" width="31" bestFit="1" customWidth="1"/>
    <col min="2" max="2" width="25" customWidth="1"/>
    <col min="3" max="3" width="29.5" bestFit="1" customWidth="1"/>
    <col min="6" max="6" width="19" bestFit="1" customWidth="1"/>
    <col min="7" max="7" width="14" bestFit="1" customWidth="1"/>
    <col min="33" max="33" width="5" customWidth="1"/>
    <col min="34" max="34" width="34.5" customWidth="1"/>
  </cols>
  <sheetData>
    <row r="2" spans="1:23" x14ac:dyDescent="0.2">
      <c r="A2" s="106" t="s">
        <v>294</v>
      </c>
      <c r="B2" s="104">
        <f>SUM(mag_completo!X23:X26)</f>
        <v>3660</v>
      </c>
      <c r="C2" s="104" t="s">
        <v>185</v>
      </c>
    </row>
    <row r="3" spans="1:23" x14ac:dyDescent="0.2">
      <c r="B3" s="104"/>
      <c r="C3" s="104"/>
      <c r="G3" s="57" t="s">
        <v>295</v>
      </c>
      <c r="H3">
        <v>45</v>
      </c>
    </row>
    <row r="4" spans="1:23" ht="17" x14ac:dyDescent="0.2">
      <c r="A4" s="106" t="s">
        <v>296</v>
      </c>
      <c r="B4" s="105" t="s">
        <v>297</v>
      </c>
      <c r="C4" s="104" t="s">
        <v>191</v>
      </c>
      <c r="G4" t="s">
        <v>298</v>
      </c>
      <c r="H4">
        <v>1.2</v>
      </c>
    </row>
    <row r="8" spans="1:23" ht="16.5" customHeight="1" x14ac:dyDescent="0.2">
      <c r="A8" s="106" t="s">
        <v>192</v>
      </c>
      <c r="P8" s="3"/>
      <c r="Q8" s="3"/>
      <c r="R8" s="3"/>
      <c r="S8" s="3"/>
      <c r="T8" s="3"/>
      <c r="U8" s="3"/>
      <c r="V8" s="3"/>
      <c r="W8" s="3"/>
    </row>
    <row r="9" spans="1:23" ht="16.5" customHeight="1" x14ac:dyDescent="0.2">
      <c r="F9" t="s">
        <v>225</v>
      </c>
      <c r="H9">
        <v>1.8</v>
      </c>
      <c r="I9" t="s">
        <v>299</v>
      </c>
      <c r="P9" s="3"/>
      <c r="Q9" s="3"/>
      <c r="R9" s="3"/>
      <c r="S9" s="3"/>
      <c r="T9" s="3"/>
      <c r="U9" s="3"/>
      <c r="V9" s="3"/>
      <c r="W9" s="3"/>
    </row>
    <row r="10" spans="1:23" ht="16.5" customHeight="1" x14ac:dyDescent="0.2">
      <c r="A10" s="107" t="s">
        <v>300</v>
      </c>
      <c r="B10" t="s">
        <v>301</v>
      </c>
      <c r="C10">
        <f>INT(12000/950)+1</f>
        <v>13</v>
      </c>
      <c r="F10" t="s">
        <v>302</v>
      </c>
      <c r="H10">
        <f>1.9*2+H9</f>
        <v>5.6</v>
      </c>
      <c r="I10" t="s">
        <v>36</v>
      </c>
      <c r="P10" s="3"/>
      <c r="Q10" s="3"/>
      <c r="R10" s="3"/>
      <c r="S10" s="3"/>
      <c r="T10" s="3"/>
      <c r="U10" s="3"/>
      <c r="V10" s="3"/>
      <c r="W10" s="3"/>
    </row>
    <row r="11" spans="1:23" ht="17.25" customHeight="1" x14ac:dyDescent="0.2">
      <c r="B11" s="95" t="s">
        <v>303</v>
      </c>
      <c r="C11">
        <v>26</v>
      </c>
      <c r="F11" t="s">
        <v>304</v>
      </c>
      <c r="H11">
        <f>(1.9*2+1.8)*0.95</f>
        <v>5.3199999999999994</v>
      </c>
      <c r="I11" t="s">
        <v>205</v>
      </c>
      <c r="K11">
        <f>(1900*2+1800)*1000</f>
        <v>5600000</v>
      </c>
      <c r="L11" t="s">
        <v>203</v>
      </c>
      <c r="P11" s="3"/>
      <c r="Q11" s="3"/>
      <c r="R11" s="3"/>
      <c r="S11" s="3"/>
      <c r="T11" s="3"/>
      <c r="U11" s="3"/>
      <c r="V11" s="3"/>
      <c r="W11" s="3"/>
    </row>
    <row r="12" spans="1:23" ht="16.5" customHeight="1" x14ac:dyDescent="0.2">
      <c r="O12" s="162"/>
      <c r="P12" s="3"/>
      <c r="Q12" s="3"/>
      <c r="R12" s="3"/>
      <c r="S12" s="3"/>
      <c r="T12" s="3"/>
      <c r="U12" s="3"/>
      <c r="V12" s="3"/>
      <c r="W12" s="3"/>
    </row>
    <row r="13" spans="1:23" ht="16.5" customHeight="1" x14ac:dyDescent="0.2">
      <c r="B13" t="s">
        <v>305</v>
      </c>
      <c r="C13" s="84">
        <f>H11/C11</f>
        <v>0.20461538461538459</v>
      </c>
      <c r="D13" t="s">
        <v>306</v>
      </c>
      <c r="O13" s="162"/>
      <c r="P13" s="3"/>
      <c r="Q13" s="3"/>
      <c r="R13" s="3"/>
      <c r="S13" s="3"/>
      <c r="T13" s="3"/>
      <c r="U13" s="3"/>
      <c r="V13" s="3"/>
      <c r="W13" s="3"/>
    </row>
    <row r="14" spans="1:23" ht="16.5" customHeight="1" x14ac:dyDescent="0.2">
      <c r="B14" t="s">
        <v>307</v>
      </c>
      <c r="C14" s="60">
        <f>C13*B2</f>
        <v>748.89230769230755</v>
      </c>
      <c r="D14" t="s">
        <v>218</v>
      </c>
      <c r="O14" s="162"/>
      <c r="P14" s="3"/>
      <c r="Q14" s="3"/>
      <c r="R14" s="3"/>
      <c r="S14" s="3"/>
      <c r="T14" s="3"/>
      <c r="U14" s="3"/>
      <c r="V14" s="3"/>
      <c r="W14" s="3"/>
    </row>
    <row r="15" spans="1:23" ht="17.25" customHeight="1" thickBot="1" x14ac:dyDescent="0.25">
      <c r="O15" s="162"/>
      <c r="P15" s="3"/>
      <c r="Q15" s="3"/>
      <c r="R15" s="3"/>
      <c r="S15" s="3"/>
      <c r="T15" s="3"/>
      <c r="U15" s="3"/>
      <c r="V15" s="3"/>
      <c r="W15" s="3"/>
    </row>
    <row r="16" spans="1:23" ht="18" customHeight="1" thickBot="1" x14ac:dyDescent="0.25">
      <c r="B16" s="145" t="s">
        <v>308</v>
      </c>
      <c r="C16" s="149">
        <f>SQRT(H17/2*C14)</f>
        <v>38.701222401684099</v>
      </c>
      <c r="D16" s="146" t="s">
        <v>36</v>
      </c>
      <c r="E16" s="3" t="s">
        <v>309</v>
      </c>
      <c r="G16" t="s">
        <v>194</v>
      </c>
      <c r="H16" t="s">
        <v>41</v>
      </c>
      <c r="Q16" s="3"/>
      <c r="R16" s="3"/>
      <c r="S16" s="3"/>
      <c r="T16" s="3"/>
      <c r="U16" s="3"/>
      <c r="V16" s="3"/>
      <c r="W16" s="3"/>
    </row>
    <row r="17" spans="1:26" ht="17.25" customHeight="1" thickBot="1" x14ac:dyDescent="0.25">
      <c r="B17" s="144" t="s">
        <v>310</v>
      </c>
      <c r="C17" s="149">
        <f>C16/2</f>
        <v>19.350611200842049</v>
      </c>
      <c r="D17" s="146" t="s">
        <v>36</v>
      </c>
      <c r="G17" s="104" t="s">
        <v>311</v>
      </c>
      <c r="H17" s="104">
        <v>4</v>
      </c>
      <c r="N17" s="497">
        <v>950</v>
      </c>
      <c r="O17" s="498"/>
      <c r="P17" s="499"/>
      <c r="Q17" s="499"/>
      <c r="R17" s="499"/>
      <c r="S17" s="504"/>
      <c r="T17" s="452"/>
      <c r="U17" s="452"/>
      <c r="V17" s="505"/>
      <c r="W17" s="487"/>
      <c r="X17" s="488"/>
      <c r="Y17" s="488"/>
      <c r="Z17" s="489"/>
    </row>
    <row r="18" spans="1:26" ht="16.5" customHeight="1" x14ac:dyDescent="0.2">
      <c r="G18" s="91" t="s">
        <v>312</v>
      </c>
      <c r="H18" s="91">
        <v>2</v>
      </c>
      <c r="N18" s="497"/>
      <c r="O18" s="500"/>
      <c r="P18" s="501"/>
      <c r="Q18" s="501"/>
      <c r="R18" s="501"/>
      <c r="S18" s="506"/>
      <c r="T18" s="456"/>
      <c r="U18" s="456"/>
      <c r="V18" s="507"/>
      <c r="W18" s="490"/>
      <c r="X18" s="491"/>
      <c r="Y18" s="491"/>
      <c r="Z18" s="492"/>
    </row>
    <row r="19" spans="1:26" ht="17.25" customHeight="1" thickBot="1" x14ac:dyDescent="0.25">
      <c r="G19" t="s">
        <v>206</v>
      </c>
      <c r="H19">
        <v>3</v>
      </c>
      <c r="N19" s="497"/>
      <c r="O19" s="502"/>
      <c r="P19" s="503"/>
      <c r="Q19" s="503"/>
      <c r="R19" s="503"/>
      <c r="S19" s="508"/>
      <c r="T19" s="474"/>
      <c r="U19" s="474"/>
      <c r="V19" s="509"/>
      <c r="W19" s="493"/>
      <c r="X19" s="494"/>
      <c r="Y19" s="494"/>
      <c r="Z19" s="495"/>
    </row>
    <row r="20" spans="1:26" ht="17" thickBot="1" x14ac:dyDescent="0.25">
      <c r="B20" s="153" t="s">
        <v>308</v>
      </c>
      <c r="C20" s="154">
        <f>SQRT(H18/2*C14)</f>
        <v>27.36589680043955</v>
      </c>
      <c r="D20" s="155" t="s">
        <v>36</v>
      </c>
      <c r="E20" s="92" t="s">
        <v>313</v>
      </c>
    </row>
    <row r="21" spans="1:26" ht="17" thickBot="1" x14ac:dyDescent="0.25">
      <c r="B21" s="153" t="s">
        <v>310</v>
      </c>
      <c r="C21" s="156">
        <f>C14/C20</f>
        <v>27.365896800439547</v>
      </c>
      <c r="D21" s="157" t="s">
        <v>36</v>
      </c>
      <c r="E21" s="91"/>
      <c r="P21" s="456">
        <v>1900</v>
      </c>
      <c r="Q21" s="456"/>
      <c r="T21" s="456">
        <v>1800</v>
      </c>
      <c r="U21" s="456"/>
      <c r="X21" s="456">
        <v>1900</v>
      </c>
      <c r="Y21" s="456"/>
    </row>
    <row r="22" spans="1:26" x14ac:dyDescent="0.2">
      <c r="B22" s="95"/>
    </row>
    <row r="23" spans="1:26" ht="17" thickBot="1" x14ac:dyDescent="0.25">
      <c r="B23" s="95"/>
    </row>
    <row r="24" spans="1:26" ht="17" thickBot="1" x14ac:dyDescent="0.25">
      <c r="B24" s="144" t="s">
        <v>308</v>
      </c>
      <c r="C24" s="148">
        <f>SQRT(H19/2*C14)</f>
        <v>33.516241757369833</v>
      </c>
      <c r="D24" s="146" t="s">
        <v>36</v>
      </c>
      <c r="E24" s="3" t="s">
        <v>314</v>
      </c>
    </row>
    <row r="25" spans="1:26" ht="17" thickBot="1" x14ac:dyDescent="0.25">
      <c r="B25" s="144" t="s">
        <v>310</v>
      </c>
      <c r="C25" s="147">
        <f>C14/C24</f>
        <v>22.344161171579888</v>
      </c>
      <c r="D25" s="47" t="s">
        <v>36</v>
      </c>
    </row>
    <row r="26" spans="1:26" x14ac:dyDescent="0.2">
      <c r="B26" s="95"/>
    </row>
    <row r="27" spans="1:26" x14ac:dyDescent="0.2">
      <c r="B27" s="95"/>
    </row>
    <row r="28" spans="1:26" x14ac:dyDescent="0.2">
      <c r="A28" s="74" t="s">
        <v>315</v>
      </c>
      <c r="B28" s="95"/>
    </row>
    <row r="29" spans="1:26" x14ac:dyDescent="0.2">
      <c r="A29" s="74"/>
      <c r="B29" t="s">
        <v>309</v>
      </c>
      <c r="F29" s="91" t="s">
        <v>313</v>
      </c>
      <c r="G29" s="91"/>
      <c r="H29" s="91"/>
      <c r="K29" t="s">
        <v>314</v>
      </c>
    </row>
    <row r="30" spans="1:26" ht="16.5" customHeight="1" x14ac:dyDescent="0.2">
      <c r="A30" t="s">
        <v>316</v>
      </c>
      <c r="B30" t="s">
        <v>317</v>
      </c>
      <c r="C30" t="s">
        <v>318</v>
      </c>
      <c r="F30" s="91" t="s">
        <v>317</v>
      </c>
      <c r="G30" s="484" t="s">
        <v>318</v>
      </c>
      <c r="H30" s="484"/>
      <c r="K30" s="496" t="s">
        <v>317</v>
      </c>
      <c r="L30" s="496"/>
      <c r="M30" t="s">
        <v>318</v>
      </c>
    </row>
    <row r="31" spans="1:26" x14ac:dyDescent="0.2">
      <c r="F31" s="91"/>
      <c r="G31" s="91"/>
      <c r="H31" s="91"/>
      <c r="K31" s="456"/>
      <c r="L31" s="456"/>
      <c r="M31" s="456"/>
      <c r="N31" s="456"/>
    </row>
    <row r="32" spans="1:26" x14ac:dyDescent="0.2">
      <c r="A32" t="s">
        <v>319</v>
      </c>
      <c r="B32" s="95">
        <f>ROUNDUP(C17/H10,0)</f>
        <v>4</v>
      </c>
      <c r="C32">
        <f>ROUNDUP(C16/5, 0)</f>
        <v>8</v>
      </c>
      <c r="F32" s="91">
        <f>ROUNDUP(C21/H10,0)</f>
        <v>5</v>
      </c>
      <c r="G32" s="484">
        <f>ROUNDUP(C20/H10, 0)</f>
        <v>5</v>
      </c>
      <c r="H32" s="484"/>
      <c r="K32" s="485">
        <f>ROUNDUP(C25/H10,0)</f>
        <v>4</v>
      </c>
      <c r="L32" s="485"/>
      <c r="M32" s="485">
        <f>ROUNDUP(C24/H10, 0)</f>
        <v>6</v>
      </c>
      <c r="N32" s="485"/>
    </row>
    <row r="33" spans="1:44" x14ac:dyDescent="0.2">
      <c r="A33" t="s">
        <v>320</v>
      </c>
      <c r="B33" s="95">
        <f>ROUNDUP(B2/(B32*C11), 0)</f>
        <v>36</v>
      </c>
      <c r="C33">
        <f>ROUNDUP(B2/(C32*C11),0)</f>
        <v>18</v>
      </c>
      <c r="F33" s="91">
        <f>ROUNDUP(B2/(F32*C11), 0)</f>
        <v>29</v>
      </c>
      <c r="G33" s="486">
        <f>ROUNDUP(B2/(G32*C11),0)</f>
        <v>29</v>
      </c>
      <c r="H33" s="486"/>
      <c r="K33" s="485">
        <f>ROUNDUP(B2/(K32*C11), 0)</f>
        <v>36</v>
      </c>
      <c r="L33" s="485"/>
      <c r="M33" s="485">
        <f>ROUNDUP(B2/(M32*C11), 0)</f>
        <v>24</v>
      </c>
      <c r="N33" s="485"/>
    </row>
    <row r="34" spans="1:44" x14ac:dyDescent="0.2">
      <c r="A34" t="s">
        <v>321</v>
      </c>
      <c r="B34">
        <f>B32*B33*C11</f>
        <v>3744</v>
      </c>
      <c r="C34">
        <f>C32*C33*C11</f>
        <v>3744</v>
      </c>
      <c r="F34" s="91">
        <f>F32*F33*C11</f>
        <v>3770</v>
      </c>
      <c r="G34" s="486">
        <f>G32*G33*C11</f>
        <v>3770</v>
      </c>
      <c r="H34" s="486"/>
      <c r="K34" s="485">
        <f>K32*K33*C11</f>
        <v>3744</v>
      </c>
      <c r="L34" s="485"/>
      <c r="M34" s="485">
        <f>M32*M33*C11</f>
        <v>3744</v>
      </c>
      <c r="N34" s="485"/>
    </row>
    <row r="35" spans="1:44" x14ac:dyDescent="0.2">
      <c r="F35" s="91"/>
      <c r="G35" s="91"/>
      <c r="H35" s="91"/>
    </row>
    <row r="36" spans="1:44" ht="16.5" customHeight="1" x14ac:dyDescent="0.2">
      <c r="A36" t="s">
        <v>322</v>
      </c>
      <c r="B36">
        <f>B33*0.95+6</f>
        <v>40.199999999999996</v>
      </c>
      <c r="C36">
        <f>C32*H10+6</f>
        <v>50.8</v>
      </c>
      <c r="F36" s="91">
        <f>F33*0.95+6</f>
        <v>33.549999999999997</v>
      </c>
      <c r="G36" s="486">
        <f>G32*H10+6</f>
        <v>34</v>
      </c>
      <c r="H36" s="486"/>
      <c r="K36" s="485">
        <f>K33*0.95+6</f>
        <v>40.199999999999996</v>
      </c>
      <c r="L36" s="485"/>
      <c r="M36" s="483">
        <f>M32*H10+6</f>
        <v>39.599999999999994</v>
      </c>
      <c r="N36" s="483"/>
    </row>
    <row r="37" spans="1:44" ht="16.5" customHeight="1" x14ac:dyDescent="0.2">
      <c r="A37" t="s">
        <v>323</v>
      </c>
      <c r="B37">
        <f>B32*(1.9*2+1.8)</f>
        <v>22.4</v>
      </c>
      <c r="C37">
        <f>C33*0.95</f>
        <v>17.099999999999998</v>
      </c>
      <c r="F37" s="91">
        <f>F32*(1.9*2+1.8)</f>
        <v>28</v>
      </c>
      <c r="G37" s="484">
        <f>G33*1</f>
        <v>29</v>
      </c>
      <c r="H37" s="484"/>
      <c r="K37" s="483">
        <f>K32*H10</f>
        <v>22.4</v>
      </c>
      <c r="L37" s="483"/>
      <c r="M37" s="483">
        <f>M33*0.95</f>
        <v>22.799999999999997</v>
      </c>
      <c r="N37" s="483"/>
    </row>
    <row r="38" spans="1:44" ht="16.5" customHeight="1" x14ac:dyDescent="0.2">
      <c r="A38" t="s">
        <v>324</v>
      </c>
      <c r="B38">
        <f>B36*B37</f>
        <v>900.47999999999979</v>
      </c>
      <c r="C38">
        <f>C36*C37</f>
        <v>868.67999999999984</v>
      </c>
      <c r="F38" s="91">
        <f>F36*F37</f>
        <v>939.39999999999986</v>
      </c>
      <c r="G38" s="484">
        <f>G36*G37</f>
        <v>986</v>
      </c>
      <c r="H38" s="484"/>
      <c r="K38" s="483">
        <f>K36*K37</f>
        <v>900.47999999999979</v>
      </c>
      <c r="L38" s="483"/>
      <c r="M38" s="483">
        <f>M36*M37</f>
        <v>902.87999999999977</v>
      </c>
      <c r="N38" s="483"/>
    </row>
    <row r="40" spans="1:44" x14ac:dyDescent="0.2">
      <c r="A40" s="74" t="s">
        <v>265</v>
      </c>
    </row>
    <row r="42" spans="1:44" ht="16.5" customHeight="1" x14ac:dyDescent="0.2">
      <c r="A42" t="s">
        <v>325</v>
      </c>
      <c r="B42">
        <f>B36/H17+B37/2</f>
        <v>21.25</v>
      </c>
      <c r="C42">
        <f>C36/H17+C37/2</f>
        <v>21.25</v>
      </c>
      <c r="F42">
        <f>F36/H18+F37/2</f>
        <v>30.774999999999999</v>
      </c>
      <c r="G42" s="485">
        <f>G36/H18+G37/2</f>
        <v>31.5</v>
      </c>
      <c r="H42" s="485"/>
      <c r="K42" s="483">
        <f>K36/H19+K37/2</f>
        <v>24.599999999999998</v>
      </c>
      <c r="L42" s="483"/>
      <c r="M42" s="483">
        <f>M36/H19+M37/2</f>
        <v>24.599999999999994</v>
      </c>
      <c r="N42" s="483"/>
    </row>
    <row r="43" spans="1:44" ht="16.5" customHeight="1" x14ac:dyDescent="0.2">
      <c r="A43" t="s">
        <v>326</v>
      </c>
      <c r="B43">
        <f>((C10-1)/2)*0.95</f>
        <v>5.6999999999999993</v>
      </c>
      <c r="C43">
        <f>((C10-1)/2)*0.95</f>
        <v>5.6999999999999993</v>
      </c>
      <c r="F43">
        <f>((C10-1)/2)*0.95</f>
        <v>5.6999999999999993</v>
      </c>
      <c r="G43" s="483">
        <f>((C10-1)/2)*0.95</f>
        <v>5.6999999999999993</v>
      </c>
      <c r="H43" s="483"/>
      <c r="K43" s="483">
        <f>((C10-1)/2)*0.95</f>
        <v>5.6999999999999993</v>
      </c>
      <c r="L43" s="483"/>
      <c r="M43" s="483">
        <f>((C10-1)/2)*0.95</f>
        <v>5.6999999999999993</v>
      </c>
      <c r="N43" s="483"/>
    </row>
    <row r="44" spans="1:44" x14ac:dyDescent="0.2">
      <c r="A44" t="s">
        <v>327</v>
      </c>
      <c r="B44">
        <f>B42/carr_elev!$K33+dimensione_magazzinoPF!B43/carr_elev!$L33+dimensione_magazzinoPF!B43/carr_elev!$M33+B42/carr_elev!$K33+2*$H3</f>
        <v>130.49390919158361</v>
      </c>
      <c r="C44">
        <f>C42/carr_elev!$K33+dimensione_magazzinoPF!C43/carr_elev!$L33+dimensione_magazzinoPF!C43/carr_elev!$M33+C42/carr_elev!$K33+2*$H3</f>
        <v>130.49390919158361</v>
      </c>
      <c r="F44">
        <f>F42/carr_elev!$K33+dimensione_magazzinoPF!F43/carr_elev!$L33+dimensione_magazzinoPF!F43/carr_elev!$M33+F42/carr_elev!$K33+2*$H3</f>
        <v>137.02533776301217</v>
      </c>
      <c r="H44" s="84">
        <f>G42/carr_elev!$K33+dimensione_magazzinoPF!G43/carr_elev!$L33+dimensione_magazzinoPF!G43/carr_elev!$M33+G42/carr_elev!$K33+2*$H3</f>
        <v>137.52248062015502</v>
      </c>
      <c r="L44">
        <f>K42/carr_elev!$K33+dimensione_magazzinoPF!K43/carr_elev!$K33+dimensione_magazzinoPF!K43/carr_elev!$M33+K42/carr_elev!$K33+2*$H3</f>
        <v>121.4895238095238</v>
      </c>
      <c r="N44" s="84">
        <f>M42/carr_elev!$K33+dimensione_magazzinoPF!M43/carr_elev!$L33+dimensione_magazzinoPF!M43/carr_elev!$M33+M42/carr_elev!$K33+2*$H3</f>
        <v>132.79105204872647</v>
      </c>
    </row>
    <row r="45" spans="1:44" x14ac:dyDescent="0.2">
      <c r="A45" t="s">
        <v>328</v>
      </c>
      <c r="B45">
        <f>B42/carr_elev!$K33+B43/carr_elev!$L33+B43/carr_elev!$M33+B42/carr_elev!$K33+2*dimensione_magazzinoPF!$H3</f>
        <v>130.49390919158361</v>
      </c>
      <c r="C45">
        <f>C42/carr_elev!$K33+C43/carr_elev!$L33+C43/carr_elev!$M33+C42/carr_elev!$K33+2*dimensione_magazzinoPF!$H3</f>
        <v>130.49390919158361</v>
      </c>
      <c r="F45">
        <f>F42/carr_elev!$K33+F43/carr_elev!$L33+F43/carr_elev!$M33+F42/carr_elev!$K33+2*dimensione_magazzinoPF!$H3</f>
        <v>137.02533776301217</v>
      </c>
      <c r="H45">
        <f>G42/carr_elev!$K33+G43/carr_elev!$L33+G43/carr_elev!$M33+G42/carr_elev!$K33+2*dimensione_magazzinoPF!$H3</f>
        <v>137.52248062015502</v>
      </c>
      <c r="L45">
        <f>K42/carr_elev!$K33+K43/carr_elev!$L33+K43/carr_elev!$M33+K42/carr_elev!$K33+2*dimensione_magazzinoPF!$H3</f>
        <v>132.79105204872647</v>
      </c>
      <c r="N45">
        <f>M42/carr_elev!$K33+M43/carr_elev!$L33+M43/carr_elev!$M33+M42/carr_elev!$K33+2*dimensione_magazzinoPF!$H3</f>
        <v>132.79105204872647</v>
      </c>
    </row>
    <row r="46" spans="1:44" x14ac:dyDescent="0.2">
      <c r="A46" t="s">
        <v>329</v>
      </c>
      <c r="B46">
        <f>B44+B45</f>
        <v>260.98781838316722</v>
      </c>
      <c r="C46">
        <f>C44+C45</f>
        <v>260.98781838316722</v>
      </c>
      <c r="F46">
        <f>F44+F45</f>
        <v>274.05067552602435</v>
      </c>
      <c r="H46">
        <f>H44+H45</f>
        <v>275.04496124031004</v>
      </c>
      <c r="L46">
        <f t="shared" ref="L46:N46" si="0">L44+L45</f>
        <v>254.28057585825027</v>
      </c>
      <c r="N46">
        <f t="shared" si="0"/>
        <v>265.58210409745294</v>
      </c>
    </row>
    <row r="48" spans="1:44" x14ac:dyDescent="0.2">
      <c r="A48" s="106" t="s">
        <v>391</v>
      </c>
      <c r="P48" s="529">
        <v>1</v>
      </c>
      <c r="Q48" s="530"/>
      <c r="R48" s="535">
        <v>2</v>
      </c>
      <c r="S48" s="530"/>
      <c r="T48" s="535" t="s">
        <v>392</v>
      </c>
      <c r="U48" s="530"/>
      <c r="V48" s="535" t="s">
        <v>392</v>
      </c>
      <c r="W48" s="530"/>
      <c r="X48" s="535">
        <v>11</v>
      </c>
      <c r="Y48" s="530"/>
      <c r="Z48" s="535">
        <v>12</v>
      </c>
      <c r="AA48" s="538"/>
      <c r="AB48" s="523"/>
      <c r="AC48" s="524"/>
      <c r="AD48" s="524"/>
      <c r="AE48" s="524"/>
      <c r="AF48" s="524"/>
      <c r="AG48" s="518"/>
      <c r="AH48" s="518"/>
      <c r="AI48" s="518"/>
      <c r="AJ48" s="518"/>
      <c r="AK48" s="520"/>
      <c r="AL48" s="518"/>
      <c r="AM48" s="518"/>
      <c r="AN48" s="518"/>
      <c r="AO48" s="512"/>
      <c r="AP48" s="512"/>
      <c r="AQ48" s="512"/>
      <c r="AR48" s="513"/>
    </row>
    <row r="49" spans="1:51" x14ac:dyDescent="0.2">
      <c r="F49" t="s">
        <v>225</v>
      </c>
      <c r="H49">
        <f>3.2</f>
        <v>3.2</v>
      </c>
      <c r="I49" t="s">
        <v>36</v>
      </c>
      <c r="P49" s="531"/>
      <c r="Q49" s="532"/>
      <c r="R49" s="536"/>
      <c r="S49" s="532"/>
      <c r="T49" s="536"/>
      <c r="U49" s="532"/>
      <c r="V49" s="536"/>
      <c r="W49" s="532"/>
      <c r="X49" s="536"/>
      <c r="Y49" s="532"/>
      <c r="Z49" s="536"/>
      <c r="AA49" s="539"/>
      <c r="AB49" s="525"/>
      <c r="AC49" s="526"/>
      <c r="AD49" s="526"/>
      <c r="AE49" s="526"/>
      <c r="AF49" s="526"/>
      <c r="AG49" s="514"/>
      <c r="AH49" s="514"/>
      <c r="AI49" s="514"/>
      <c r="AJ49" s="514"/>
      <c r="AK49" s="521"/>
      <c r="AL49" s="514"/>
      <c r="AM49" s="514"/>
      <c r="AN49" s="514"/>
      <c r="AO49" s="514"/>
      <c r="AP49" s="514"/>
      <c r="AQ49" s="514"/>
      <c r="AR49" s="515"/>
    </row>
    <row r="50" spans="1:51" x14ac:dyDescent="0.2">
      <c r="A50" s="107" t="s">
        <v>393</v>
      </c>
      <c r="B50" t="s">
        <v>301</v>
      </c>
      <c r="C50">
        <f>INT(carr_elev!D6/950)+1</f>
        <v>6</v>
      </c>
      <c r="F50" t="s">
        <v>302</v>
      </c>
      <c r="H50">
        <f>C51*0.95*2+H49</f>
        <v>25.999999999999996</v>
      </c>
      <c r="I50" t="s">
        <v>36</v>
      </c>
      <c r="P50" s="531"/>
      <c r="Q50" s="532"/>
      <c r="R50" s="536"/>
      <c r="S50" s="532"/>
      <c r="T50" s="536"/>
      <c r="U50" s="532"/>
      <c r="V50" s="536"/>
      <c r="W50" s="532"/>
      <c r="X50" s="536"/>
      <c r="Y50" s="532"/>
      <c r="Z50" s="536"/>
      <c r="AA50" s="539"/>
      <c r="AB50" s="525"/>
      <c r="AC50" s="526"/>
      <c r="AD50" s="526"/>
      <c r="AE50" s="526"/>
      <c r="AF50" s="526"/>
      <c r="AG50" s="514"/>
      <c r="AH50" s="514"/>
      <c r="AI50" s="514"/>
      <c r="AJ50" s="514"/>
      <c r="AK50" s="521"/>
      <c r="AL50" s="514"/>
      <c r="AM50" s="514"/>
      <c r="AN50" s="514"/>
      <c r="AO50" s="514"/>
      <c r="AP50" s="514"/>
      <c r="AQ50" s="514"/>
      <c r="AR50" s="515"/>
    </row>
    <row r="51" spans="1:51" x14ac:dyDescent="0.2">
      <c r="B51" t="s">
        <v>394</v>
      </c>
      <c r="C51">
        <f>12</f>
        <v>12</v>
      </c>
      <c r="F51" t="s">
        <v>304</v>
      </c>
      <c r="H51" s="143">
        <f>H50*1.9</f>
        <v>49.399999999999991</v>
      </c>
      <c r="I51" t="s">
        <v>205</v>
      </c>
      <c r="P51" s="531"/>
      <c r="Q51" s="532"/>
      <c r="R51" s="536"/>
      <c r="S51" s="532"/>
      <c r="T51" s="536"/>
      <c r="U51" s="532"/>
      <c r="V51" s="536"/>
      <c r="W51" s="532"/>
      <c r="X51" s="536"/>
      <c r="Y51" s="532"/>
      <c r="Z51" s="536"/>
      <c r="AA51" s="539"/>
      <c r="AB51" s="525"/>
      <c r="AC51" s="526"/>
      <c r="AD51" s="526"/>
      <c r="AE51" s="526"/>
      <c r="AF51" s="526"/>
      <c r="AG51" s="514"/>
      <c r="AH51" s="514"/>
      <c r="AI51" s="514"/>
      <c r="AJ51" s="514"/>
      <c r="AK51" s="521"/>
      <c r="AL51" s="514"/>
      <c r="AM51" s="514"/>
      <c r="AN51" s="514"/>
      <c r="AO51" s="514"/>
      <c r="AP51" s="514"/>
      <c r="AQ51" s="514"/>
      <c r="AR51" s="515"/>
    </row>
    <row r="52" spans="1:51" x14ac:dyDescent="0.2">
      <c r="B52" t="s">
        <v>303</v>
      </c>
      <c r="C52">
        <f>C50*C51*2</f>
        <v>144</v>
      </c>
      <c r="O52" s="497">
        <v>1900</v>
      </c>
      <c r="P52" s="531"/>
      <c r="Q52" s="532"/>
      <c r="R52" s="536"/>
      <c r="S52" s="532"/>
      <c r="T52" s="536"/>
      <c r="U52" s="532"/>
      <c r="V52" s="536"/>
      <c r="W52" s="532"/>
      <c r="X52" s="536"/>
      <c r="Y52" s="532"/>
      <c r="Z52" s="536"/>
      <c r="AA52" s="539"/>
      <c r="AB52" s="525"/>
      <c r="AC52" s="526"/>
      <c r="AD52" s="526"/>
      <c r="AE52" s="526"/>
      <c r="AF52" s="526"/>
      <c r="AG52" s="514"/>
      <c r="AH52" s="514"/>
      <c r="AI52" s="514"/>
      <c r="AJ52" s="514"/>
      <c r="AK52" s="521"/>
      <c r="AL52" s="514"/>
      <c r="AM52" s="514"/>
      <c r="AN52" s="514"/>
      <c r="AO52" s="514"/>
      <c r="AP52" s="514"/>
      <c r="AQ52" s="514"/>
      <c r="AR52" s="515"/>
    </row>
    <row r="53" spans="1:51" x14ac:dyDescent="0.2">
      <c r="O53" s="497"/>
      <c r="P53" s="531"/>
      <c r="Q53" s="532"/>
      <c r="R53" s="536"/>
      <c r="S53" s="532"/>
      <c r="T53" s="536"/>
      <c r="U53" s="532"/>
      <c r="V53" s="536"/>
      <c r="W53" s="532"/>
      <c r="X53" s="536"/>
      <c r="Y53" s="532"/>
      <c r="Z53" s="536"/>
      <c r="AA53" s="539"/>
      <c r="AB53" s="525"/>
      <c r="AC53" s="526"/>
      <c r="AD53" s="526"/>
      <c r="AE53" s="526"/>
      <c r="AF53" s="526"/>
      <c r="AG53" s="514"/>
      <c r="AH53" s="514"/>
      <c r="AI53" s="514"/>
      <c r="AJ53" s="514"/>
      <c r="AK53" s="521"/>
      <c r="AL53" s="514"/>
      <c r="AM53" s="514"/>
      <c r="AN53" s="514"/>
      <c r="AO53" s="514"/>
      <c r="AP53" s="514"/>
      <c r="AQ53" s="514"/>
      <c r="AR53" s="515"/>
    </row>
    <row r="54" spans="1:51" x14ac:dyDescent="0.2">
      <c r="B54" t="s">
        <v>305</v>
      </c>
      <c r="C54" s="84">
        <f>H51/C52</f>
        <v>0.3430555555555555</v>
      </c>
      <c r="D54" t="s">
        <v>306</v>
      </c>
      <c r="F54" s="84"/>
      <c r="O54" s="497"/>
      <c r="P54" s="531"/>
      <c r="Q54" s="532"/>
      <c r="R54" s="536"/>
      <c r="S54" s="532"/>
      <c r="T54" s="536"/>
      <c r="U54" s="532"/>
      <c r="V54" s="536"/>
      <c r="W54" s="532"/>
      <c r="X54" s="536"/>
      <c r="Y54" s="532"/>
      <c r="Z54" s="536"/>
      <c r="AA54" s="539"/>
      <c r="AB54" s="525"/>
      <c r="AC54" s="526"/>
      <c r="AD54" s="526"/>
      <c r="AE54" s="526"/>
      <c r="AF54" s="526"/>
      <c r="AG54" s="514"/>
      <c r="AH54" s="514"/>
      <c r="AI54" s="514"/>
      <c r="AJ54" s="514"/>
      <c r="AK54" s="521"/>
      <c r="AL54" s="514"/>
      <c r="AM54" s="514"/>
      <c r="AN54" s="514"/>
      <c r="AO54" s="514"/>
      <c r="AP54" s="514"/>
      <c r="AQ54" s="514"/>
      <c r="AR54" s="515"/>
    </row>
    <row r="55" spans="1:51" x14ac:dyDescent="0.2">
      <c r="B55" t="s">
        <v>307</v>
      </c>
      <c r="C55">
        <f>C54*B2</f>
        <v>1255.583333333333</v>
      </c>
      <c r="D55" t="s">
        <v>218</v>
      </c>
      <c r="O55" s="497"/>
      <c r="P55" s="531"/>
      <c r="Q55" s="532"/>
      <c r="R55" s="536"/>
      <c r="S55" s="532"/>
      <c r="T55" s="536"/>
      <c r="U55" s="532"/>
      <c r="V55" s="536"/>
      <c r="W55" s="532"/>
      <c r="X55" s="536"/>
      <c r="Y55" s="532"/>
      <c r="Z55" s="536"/>
      <c r="AA55" s="539"/>
      <c r="AB55" s="525"/>
      <c r="AC55" s="526"/>
      <c r="AD55" s="526"/>
      <c r="AE55" s="526"/>
      <c r="AF55" s="526"/>
      <c r="AG55" s="514"/>
      <c r="AH55" s="514"/>
      <c r="AI55" s="514"/>
      <c r="AJ55" s="514"/>
      <c r="AK55" s="521"/>
      <c r="AL55" s="514"/>
      <c r="AM55" s="514"/>
      <c r="AN55" s="514"/>
      <c r="AO55" s="514"/>
      <c r="AP55" s="514"/>
      <c r="AQ55" s="514"/>
      <c r="AR55" s="515"/>
    </row>
    <row r="56" spans="1:51" x14ac:dyDescent="0.2">
      <c r="P56" s="531"/>
      <c r="Q56" s="532"/>
      <c r="R56" s="536"/>
      <c r="S56" s="532"/>
      <c r="T56" s="536"/>
      <c r="U56" s="532"/>
      <c r="V56" s="536"/>
      <c r="W56" s="532"/>
      <c r="X56" s="536"/>
      <c r="Y56" s="532"/>
      <c r="Z56" s="536"/>
      <c r="AA56" s="539"/>
      <c r="AB56" s="525"/>
      <c r="AC56" s="526"/>
      <c r="AD56" s="526"/>
      <c r="AE56" s="526"/>
      <c r="AF56" s="526"/>
      <c r="AG56" s="514"/>
      <c r="AH56" s="514"/>
      <c r="AI56" s="514"/>
      <c r="AJ56" s="514"/>
      <c r="AK56" s="521"/>
      <c r="AL56" s="514"/>
      <c r="AM56" s="514"/>
      <c r="AN56" s="514"/>
      <c r="AO56" s="514"/>
      <c r="AP56" s="514"/>
      <c r="AQ56" s="514"/>
      <c r="AR56" s="515"/>
    </row>
    <row r="57" spans="1:51" ht="17" x14ac:dyDescent="0.2">
      <c r="B57" s="145" t="s">
        <v>308</v>
      </c>
      <c r="C57" s="149">
        <f>SQRT(H17/2*C55)</f>
        <v>50.11154224993146</v>
      </c>
      <c r="D57" s="146" t="s">
        <v>36</v>
      </c>
      <c r="E57" s="3" t="s">
        <v>309</v>
      </c>
      <c r="P57" s="531"/>
      <c r="Q57" s="532"/>
      <c r="R57" s="536"/>
      <c r="S57" s="532"/>
      <c r="T57" s="536"/>
      <c r="U57" s="532"/>
      <c r="V57" s="536"/>
      <c r="W57" s="532"/>
      <c r="X57" s="536"/>
      <c r="Y57" s="532"/>
      <c r="Z57" s="536"/>
      <c r="AA57" s="539"/>
      <c r="AB57" s="525"/>
      <c r="AC57" s="526"/>
      <c r="AD57" s="526"/>
      <c r="AE57" s="526"/>
      <c r="AF57" s="526"/>
      <c r="AG57" s="514"/>
      <c r="AH57" s="514"/>
      <c r="AI57" s="514"/>
      <c r="AJ57" s="514"/>
      <c r="AK57" s="521"/>
      <c r="AL57" s="514"/>
      <c r="AM57" s="514"/>
      <c r="AN57" s="514"/>
      <c r="AO57" s="514"/>
      <c r="AP57" s="514"/>
      <c r="AQ57" s="514"/>
      <c r="AR57" s="515"/>
    </row>
    <row r="58" spans="1:51" x14ac:dyDescent="0.2">
      <c r="B58" s="144" t="s">
        <v>310</v>
      </c>
      <c r="C58" s="149">
        <f>C55/C57</f>
        <v>25.055771124965734</v>
      </c>
      <c r="D58" s="146" t="s">
        <v>36</v>
      </c>
      <c r="P58" s="531"/>
      <c r="Q58" s="532"/>
      <c r="R58" s="536"/>
      <c r="S58" s="532"/>
      <c r="T58" s="536"/>
      <c r="U58" s="532"/>
      <c r="V58" s="536"/>
      <c r="W58" s="532"/>
      <c r="X58" s="536"/>
      <c r="Y58" s="532"/>
      <c r="Z58" s="536"/>
      <c r="AA58" s="539"/>
      <c r="AB58" s="525"/>
      <c r="AC58" s="526"/>
      <c r="AD58" s="526"/>
      <c r="AE58" s="526"/>
      <c r="AF58" s="526"/>
      <c r="AG58" s="514"/>
      <c r="AH58" s="514"/>
      <c r="AI58" s="514"/>
      <c r="AJ58" s="514"/>
      <c r="AK58" s="521"/>
      <c r="AL58" s="514"/>
      <c r="AM58" s="514"/>
      <c r="AN58" s="514"/>
      <c r="AO58" s="514"/>
      <c r="AP58" s="514"/>
      <c r="AQ58" s="514"/>
      <c r="AR58" s="515"/>
    </row>
    <row r="59" spans="1:51" ht="15.75" customHeight="1" x14ac:dyDescent="0.2">
      <c r="P59" s="533"/>
      <c r="Q59" s="534"/>
      <c r="R59" s="537"/>
      <c r="S59" s="534"/>
      <c r="T59" s="537"/>
      <c r="U59" s="534"/>
      <c r="V59" s="537"/>
      <c r="W59" s="534"/>
      <c r="X59" s="537"/>
      <c r="Y59" s="534"/>
      <c r="Z59" s="537"/>
      <c r="AA59" s="540"/>
      <c r="AB59" s="527"/>
      <c r="AC59" s="528"/>
      <c r="AD59" s="528"/>
      <c r="AE59" s="528"/>
      <c r="AF59" s="528"/>
      <c r="AG59" s="519"/>
      <c r="AH59" s="519"/>
      <c r="AI59" s="519"/>
      <c r="AJ59" s="519"/>
      <c r="AK59" s="522"/>
      <c r="AL59" s="519"/>
      <c r="AM59" s="519"/>
      <c r="AN59" s="519"/>
      <c r="AO59" s="516"/>
      <c r="AP59" s="516"/>
      <c r="AQ59" s="516"/>
      <c r="AR59" s="517"/>
      <c r="AY59" s="213"/>
    </row>
    <row r="60" spans="1:51" ht="15.75" customHeight="1" x14ac:dyDescent="0.2">
      <c r="AY60" s="213"/>
    </row>
    <row r="61" spans="1:51" ht="15.75" customHeight="1" x14ac:dyDescent="0.2">
      <c r="B61" s="145" t="s">
        <v>308</v>
      </c>
      <c r="C61" s="149">
        <f>SQRT(H18/2*C55)</f>
        <v>35.434211340642719</v>
      </c>
      <c r="D61" s="146" t="s">
        <v>36</v>
      </c>
      <c r="E61" s="3" t="s">
        <v>313</v>
      </c>
      <c r="G61" s="161"/>
      <c r="P61" s="456">
        <v>950</v>
      </c>
      <c r="Q61" s="456"/>
      <c r="AD61" s="3">
        <v>3200</v>
      </c>
      <c r="AY61" s="213"/>
    </row>
    <row r="62" spans="1:51" ht="15.75" customHeight="1" x14ac:dyDescent="0.2">
      <c r="B62" s="144" t="s">
        <v>310</v>
      </c>
      <c r="C62" s="149">
        <f>C55/C61</f>
        <v>35.434211340642719</v>
      </c>
      <c r="D62" s="146" t="s">
        <v>36</v>
      </c>
      <c r="G62" s="161"/>
      <c r="AY62" s="213"/>
    </row>
    <row r="63" spans="1:51" ht="15.75" customHeight="1" x14ac:dyDescent="0.2">
      <c r="P63" s="214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15"/>
      <c r="AR63" s="216"/>
      <c r="AY63" s="213"/>
    </row>
    <row r="64" spans="1:51" ht="15.75" customHeight="1" x14ac:dyDescent="0.2">
      <c r="P64" s="173"/>
      <c r="AC64" s="541" t="s">
        <v>395</v>
      </c>
      <c r="AD64" s="541"/>
      <c r="AE64" s="541"/>
      <c r="AF64" s="152"/>
      <c r="AI64" s="152"/>
      <c r="AL64" s="152"/>
      <c r="AR64" s="217"/>
      <c r="AY64" s="213"/>
    </row>
    <row r="65" spans="1:44" ht="17" x14ac:dyDescent="0.2">
      <c r="B65" s="145" t="s">
        <v>308</v>
      </c>
      <c r="C65" s="149">
        <f>SQRT(H19/2*C55)</f>
        <v>43.397868611257856</v>
      </c>
      <c r="D65" s="146" t="s">
        <v>36</v>
      </c>
      <c r="E65" s="3" t="s">
        <v>314</v>
      </c>
      <c r="P65" s="173"/>
      <c r="X65" s="477" t="s">
        <v>396</v>
      </c>
      <c r="Y65" s="477"/>
      <c r="Z65" s="477"/>
      <c r="AA65" s="477"/>
      <c r="AH65" s="477" t="s">
        <v>397</v>
      </c>
      <c r="AI65" s="477"/>
      <c r="AJ65" s="74"/>
      <c r="AR65" s="217"/>
    </row>
    <row r="66" spans="1:44" x14ac:dyDescent="0.2">
      <c r="B66" s="144" t="s">
        <v>310</v>
      </c>
      <c r="C66" s="149">
        <f>C55/C65</f>
        <v>28.931912407505234</v>
      </c>
      <c r="D66" s="146" t="s">
        <v>36</v>
      </c>
      <c r="P66" s="173"/>
      <c r="Y66" t="s">
        <v>398</v>
      </c>
      <c r="Z66" t="s">
        <v>399</v>
      </c>
      <c r="AR66" s="217"/>
    </row>
    <row r="67" spans="1:44" x14ac:dyDescent="0.2">
      <c r="P67" s="173"/>
      <c r="X67" t="s">
        <v>30</v>
      </c>
      <c r="Y67">
        <v>1097</v>
      </c>
      <c r="Z67">
        <f>ROUNDUP(Y67/($C$50*$C$51),0)</f>
        <v>16</v>
      </c>
      <c r="AH67" t="s">
        <v>325</v>
      </c>
      <c r="AI67">
        <f>B78/4+B79/2+C51*0.95/2</f>
        <v>33.5</v>
      </c>
      <c r="AR67" s="217"/>
    </row>
    <row r="68" spans="1:44" x14ac:dyDescent="0.2">
      <c r="P68" s="173"/>
      <c r="X68" t="s">
        <v>31</v>
      </c>
      <c r="Y68">
        <v>975</v>
      </c>
      <c r="Z68">
        <f t="shared" ref="Z68:Z70" si="1">ROUNDUP(Y68/($C$50*$C$51),0)</f>
        <v>14</v>
      </c>
      <c r="AH68" t="s">
        <v>326</v>
      </c>
      <c r="AI68">
        <f>((C50-1)/2)*0.95</f>
        <v>2.375</v>
      </c>
      <c r="AR68" s="217"/>
    </row>
    <row r="69" spans="1:44" x14ac:dyDescent="0.2">
      <c r="P69" s="173"/>
      <c r="X69" t="s">
        <v>32</v>
      </c>
      <c r="Y69">
        <v>1010</v>
      </c>
      <c r="Z69">
        <f t="shared" si="1"/>
        <v>15</v>
      </c>
      <c r="AH69" t="s">
        <v>327</v>
      </c>
      <c r="AI69">
        <f>(AI67/carr_elev!$L6)+(dimensione_magazzinoPF!AI68/carr_elev!$N6)+(AI67/carr_elev!$K6)+(dimensione_magazzinoPF!AI68/carr_elev!$O6)+2*$H3</f>
        <v>136.1587797246558</v>
      </c>
      <c r="AR69" s="217"/>
    </row>
    <row r="70" spans="1:44" x14ac:dyDescent="0.2">
      <c r="A70" s="74" t="s">
        <v>315</v>
      </c>
      <c r="B70" s="95"/>
      <c r="P70" s="173"/>
      <c r="X70" t="s">
        <v>33</v>
      </c>
      <c r="Y70">
        <v>578</v>
      </c>
      <c r="Z70">
        <f t="shared" si="1"/>
        <v>9</v>
      </c>
      <c r="AH70" t="s">
        <v>328</v>
      </c>
      <c r="AI70">
        <f>(AI67/carr_elev!$L6)+(AI67/carr_elev!$K6)+(dimensione_magazzinoPF!AI68/carr_elev!$P6)+(dimensione_magazzinoPF!AI68/carr_elev!$M6)+2*dimensione_magazzinoPF!$H3</f>
        <v>129.01</v>
      </c>
      <c r="AR70" s="217"/>
    </row>
    <row r="71" spans="1:44" x14ac:dyDescent="0.2">
      <c r="A71" s="74"/>
      <c r="B71" t="s">
        <v>309</v>
      </c>
      <c r="F71" t="s">
        <v>313</v>
      </c>
      <c r="K71" t="s">
        <v>314</v>
      </c>
      <c r="P71" s="173"/>
      <c r="AH71" t="s">
        <v>329</v>
      </c>
      <c r="AI71">
        <f>AI69+AI70</f>
        <v>265.16877972465579</v>
      </c>
      <c r="AJ71" s="97"/>
      <c r="AR71" s="217"/>
    </row>
    <row r="72" spans="1:44" x14ac:dyDescent="0.2">
      <c r="A72" t="s">
        <v>316</v>
      </c>
      <c r="B72" t="s">
        <v>317</v>
      </c>
      <c r="C72" t="s">
        <v>318</v>
      </c>
      <c r="F72" t="s">
        <v>317</v>
      </c>
      <c r="G72" t="s">
        <v>318</v>
      </c>
      <c r="K72" s="496" t="s">
        <v>317</v>
      </c>
      <c r="L72" s="496"/>
      <c r="M72" t="s">
        <v>318</v>
      </c>
      <c r="P72" s="173"/>
      <c r="X72" t="s">
        <v>400</v>
      </c>
      <c r="Y72" s="97">
        <f>SUM(Z67:Z70)/2</f>
        <v>27</v>
      </c>
      <c r="AH72" t="s">
        <v>401</v>
      </c>
      <c r="AI72">
        <f>ROUNDUP(SUM(mag_completo!U23:U26)/(14.33*4),0)</f>
        <v>54</v>
      </c>
      <c r="AR72" s="217"/>
    </row>
    <row r="73" spans="1:44" x14ac:dyDescent="0.2">
      <c r="K73" s="456"/>
      <c r="L73" s="456"/>
      <c r="M73" s="456"/>
      <c r="N73" s="456"/>
      <c r="P73" s="173"/>
      <c r="X73" t="s">
        <v>402</v>
      </c>
      <c r="Y73">
        <f>ROUNDUP(SUM(Y67:Y70)/C52,0)</f>
        <v>26</v>
      </c>
      <c r="AH73" t="s">
        <v>403</v>
      </c>
      <c r="AI73">
        <f>CEILING(($H4*AI72*AI71)/3600,1)</f>
        <v>5</v>
      </c>
      <c r="AR73" s="217"/>
    </row>
    <row r="74" spans="1:44" x14ac:dyDescent="0.2">
      <c r="A74" t="s">
        <v>319</v>
      </c>
      <c r="B74" s="95">
        <f>ROUNDUP(C58/H50,0)</f>
        <v>1</v>
      </c>
      <c r="C74">
        <f>ROUNDUP(C57/$H50, 0)</f>
        <v>2</v>
      </c>
      <c r="F74">
        <f>ROUNDUP(C62/H50,0)</f>
        <v>2</v>
      </c>
      <c r="G74" s="483">
        <f>ROUNDUP(C61/H50, 0)</f>
        <v>2</v>
      </c>
      <c r="H74" s="483"/>
      <c r="K74" s="485">
        <f>ROUNDUP(C66/H50,0)</f>
        <v>2</v>
      </c>
      <c r="L74" s="485"/>
      <c r="M74" s="485">
        <f>ROUNDUP(C65/H50, 0)</f>
        <v>2</v>
      </c>
      <c r="N74" s="485"/>
      <c r="P74" s="173"/>
      <c r="X74" t="s">
        <v>404</v>
      </c>
      <c r="Y74">
        <f>SUM(Z67:Z70)</f>
        <v>54</v>
      </c>
      <c r="AH74" t="s">
        <v>405</v>
      </c>
      <c r="AI74">
        <f>(AI73*3600)/AI71</f>
        <v>67.881294391785943</v>
      </c>
      <c r="AR74" s="217"/>
    </row>
    <row r="75" spans="1:44" x14ac:dyDescent="0.2">
      <c r="A75" t="s">
        <v>320</v>
      </c>
      <c r="B75" s="95">
        <f>ROUNDUP($B2/(B74*$C52), 0)</f>
        <v>26</v>
      </c>
      <c r="C75">
        <f>ROUNDUP(B2/(C74*C52), 0)</f>
        <v>13</v>
      </c>
      <c r="F75" s="95">
        <f>ROUNDUP($B2/(F74*$C52), 0)</f>
        <v>13</v>
      </c>
      <c r="G75" s="510">
        <f>ROUNDUP($B2/(G74*$C52), 0)</f>
        <v>13</v>
      </c>
      <c r="H75" s="510"/>
      <c r="K75" s="510">
        <f>ROUNDUP($B2/(K74*$C52), 0)</f>
        <v>13</v>
      </c>
      <c r="L75" s="510"/>
      <c r="M75" s="510">
        <f>ROUNDUP($B2/(M74*$C52), 0)</f>
        <v>13</v>
      </c>
      <c r="N75" s="510"/>
      <c r="P75" s="173"/>
      <c r="X75" t="s">
        <v>406</v>
      </c>
      <c r="Y75">
        <f>ROUNDUP(Y74/4,0)</f>
        <v>14</v>
      </c>
      <c r="AR75" s="217"/>
    </row>
    <row r="76" spans="1:44" x14ac:dyDescent="0.2">
      <c r="A76" t="s">
        <v>321</v>
      </c>
      <c r="B76">
        <f>B74*B75*$C52</f>
        <v>3744</v>
      </c>
      <c r="C76">
        <f>C74*C75*$C52</f>
        <v>3744</v>
      </c>
      <c r="F76">
        <f>F74*F75*$C52</f>
        <v>3744</v>
      </c>
      <c r="G76" s="485">
        <f>G74*G75*$C52</f>
        <v>3744</v>
      </c>
      <c r="H76" s="485"/>
      <c r="K76" s="485">
        <f>K74*K75*$C52</f>
        <v>3744</v>
      </c>
      <c r="L76" s="485"/>
      <c r="M76" s="485">
        <f>M74*M75*$C52</f>
        <v>3744</v>
      </c>
      <c r="N76" s="485"/>
      <c r="P76" s="173"/>
      <c r="X76" t="s">
        <v>407</v>
      </c>
      <c r="Y76">
        <f>4</f>
        <v>4</v>
      </c>
      <c r="AR76" s="217"/>
    </row>
    <row r="77" spans="1:44" x14ac:dyDescent="0.2">
      <c r="P77" s="173"/>
      <c r="X77" t="s">
        <v>408</v>
      </c>
      <c r="Y77">
        <f>0.95*C51*2+3.2</f>
        <v>25.999999999999996</v>
      </c>
      <c r="Z77" t="s">
        <v>36</v>
      </c>
      <c r="AR77" s="217"/>
    </row>
    <row r="78" spans="1:44" x14ac:dyDescent="0.2">
      <c r="A78" t="s">
        <v>409</v>
      </c>
      <c r="B78">
        <f>Y78</f>
        <v>59.199999999999996</v>
      </c>
      <c r="C78">
        <f>C74*$H50</f>
        <v>51.999999999999993</v>
      </c>
      <c r="F78">
        <f>F75*1.9+6</f>
        <v>30.7</v>
      </c>
      <c r="H78">
        <f>G74*$H50</f>
        <v>51.999999999999993</v>
      </c>
      <c r="K78" s="485">
        <f>K75*1.9+6</f>
        <v>30.7</v>
      </c>
      <c r="L78" s="485"/>
      <c r="M78" s="485">
        <f>M74*H50</f>
        <v>51.999999999999993</v>
      </c>
      <c r="N78" s="485"/>
      <c r="P78" s="173"/>
      <c r="X78" t="s">
        <v>410</v>
      </c>
      <c r="Y78">
        <f>Y75*1.9*2+6</f>
        <v>59.199999999999996</v>
      </c>
      <c r="Z78" t="s">
        <v>36</v>
      </c>
      <c r="AR78" s="217"/>
    </row>
    <row r="79" spans="1:44" x14ac:dyDescent="0.2">
      <c r="A79" t="s">
        <v>411</v>
      </c>
      <c r="B79">
        <f>Y77</f>
        <v>25.999999999999996</v>
      </c>
      <c r="C79">
        <f>C75*1.9+6</f>
        <v>30.7</v>
      </c>
      <c r="F79">
        <f>F74*$H50</f>
        <v>51.999999999999993</v>
      </c>
      <c r="H79">
        <f>G75*1.9+6</f>
        <v>30.7</v>
      </c>
      <c r="K79" s="485">
        <f>K74*$H50</f>
        <v>51.999999999999993</v>
      </c>
      <c r="L79" s="485"/>
      <c r="N79">
        <f>M75*1.9+6</f>
        <v>30.7</v>
      </c>
      <c r="P79" s="173"/>
      <c r="X79" t="s">
        <v>412</v>
      </c>
      <c r="Y79">
        <f>Y77*Y78</f>
        <v>1539.1999999999996</v>
      </c>
      <c r="Z79" t="s">
        <v>205</v>
      </c>
      <c r="AR79" s="217"/>
    </row>
    <row r="80" spans="1:44" x14ac:dyDescent="0.2">
      <c r="A80" t="s">
        <v>413</v>
      </c>
      <c r="B80">
        <f>B78*B79</f>
        <v>1539.1999999999996</v>
      </c>
      <c r="C80">
        <f t="shared" ref="C80:H80" si="2">C78*C79</f>
        <v>1596.3999999999996</v>
      </c>
      <c r="F80">
        <f t="shared" si="2"/>
        <v>1596.3999999999996</v>
      </c>
      <c r="H80">
        <f t="shared" si="2"/>
        <v>1596.3999999999996</v>
      </c>
      <c r="K80" s="485">
        <f>K78*K79</f>
        <v>1596.3999999999996</v>
      </c>
      <c r="L80" s="485"/>
      <c r="N80">
        <f>M78*N79</f>
        <v>1596.3999999999996</v>
      </c>
      <c r="P80" s="173"/>
      <c r="AR80" s="217"/>
    </row>
    <row r="81" spans="1:44" x14ac:dyDescent="0.2">
      <c r="P81" s="173"/>
      <c r="X81" t="s">
        <v>414</v>
      </c>
      <c r="Y81">
        <f>SUM(Y67:Y70)/Y79</f>
        <v>2.3778586278586284</v>
      </c>
      <c r="AR81" s="217"/>
    </row>
    <row r="82" spans="1:44" x14ac:dyDescent="0.2">
      <c r="A82" s="74" t="s">
        <v>265</v>
      </c>
      <c r="P82" s="173"/>
      <c r="AR82" s="217"/>
    </row>
    <row r="83" spans="1:44" x14ac:dyDescent="0.2">
      <c r="B83" t="s">
        <v>309</v>
      </c>
      <c r="F83" t="s">
        <v>313</v>
      </c>
      <c r="K83" t="s">
        <v>314</v>
      </c>
      <c r="P83" s="173"/>
      <c r="AR83" s="217"/>
    </row>
    <row r="84" spans="1:44" x14ac:dyDescent="0.2">
      <c r="A84" t="s">
        <v>316</v>
      </c>
      <c r="B84" t="s">
        <v>317</v>
      </c>
      <c r="C84" t="s">
        <v>318</v>
      </c>
      <c r="F84" t="s">
        <v>317</v>
      </c>
      <c r="G84" t="s">
        <v>318</v>
      </c>
      <c r="K84" s="496" t="s">
        <v>317</v>
      </c>
      <c r="L84" s="496"/>
      <c r="M84" t="s">
        <v>318</v>
      </c>
      <c r="P84" s="173"/>
      <c r="AR84" s="217"/>
    </row>
    <row r="85" spans="1:44" x14ac:dyDescent="0.2">
      <c r="P85" s="173"/>
      <c r="AR85" s="217"/>
    </row>
    <row r="86" spans="1:44" x14ac:dyDescent="0.2">
      <c r="C86">
        <f>C78/H17+C79/2</f>
        <v>28.349999999999998</v>
      </c>
      <c r="F86">
        <f>F78/H18+F79/2</f>
        <v>41.349999999999994</v>
      </c>
      <c r="G86">
        <f>H78/H18+H79/2</f>
        <v>41.349999999999994</v>
      </c>
      <c r="K86" s="511">
        <f>K78/H19+K79/2</f>
        <v>36.233333333333327</v>
      </c>
      <c r="L86" s="511"/>
      <c r="M86" s="511">
        <f>M78/H19+N79/2</f>
        <v>32.68333333333333</v>
      </c>
      <c r="N86" s="511"/>
      <c r="P86" s="173"/>
      <c r="AR86" s="217"/>
    </row>
    <row r="87" spans="1:44" x14ac:dyDescent="0.2">
      <c r="C87">
        <v>2.375</v>
      </c>
      <c r="F87">
        <v>2.375</v>
      </c>
      <c r="G87">
        <v>2.375</v>
      </c>
      <c r="L87">
        <v>2.375</v>
      </c>
      <c r="N87">
        <v>2.375</v>
      </c>
      <c r="P87" s="173"/>
      <c r="AR87" s="217"/>
    </row>
    <row r="88" spans="1:44" x14ac:dyDescent="0.2">
      <c r="C88">
        <f>(C86/carr_elev!$L6)+(dimensione_magazzinoPF!C87/carr_elev!$N6)+(C86/carr_elev!$K6)+(dimensione_magazzinoPF!C87/carr_elev!$O6)+2*$H3</f>
        <v>131.98727972465582</v>
      </c>
      <c r="F88">
        <f>(F86/carr_elev!$L6)+(dimensione_magazzinoPF!F87/carr_elev!$N6)+(F86/carr_elev!$K6)+(dimensione_magazzinoPF!F87/carr_elev!$O6)+2*$H3</f>
        <v>142.51727972465582</v>
      </c>
      <c r="G88">
        <f>(G86/carr_elev!$L6)+(dimensione_magazzinoPF!G87/carr_elev!$N6)+(G86/carr_elev!$K6)+(dimensione_magazzinoPF!G87/carr_elev!$O6)+2*$H3</f>
        <v>142.51727972465582</v>
      </c>
      <c r="L88">
        <f>(K86/carr_elev!$L6)+(dimensione_magazzinoPF!L87/carr_elev!$N6)+(K86/carr_elev!$K6)+(dimensione_magazzinoPF!L87/carr_elev!$O6)+2*$H3</f>
        <v>138.3727797246558</v>
      </c>
      <c r="N88">
        <f>(M86/carr_elev!$L6)+(dimensione_magazzinoPF!N87/carr_elev!$N6)+(M86/carr_elev!$K6)+(dimensione_magazzinoPF!N87/carr_elev!$O6)+2*$H3</f>
        <v>135.49727972465581</v>
      </c>
      <c r="P88" s="173"/>
      <c r="AR88" s="217"/>
    </row>
    <row r="89" spans="1:44" x14ac:dyDescent="0.2">
      <c r="C89">
        <f>(C86/carr_elev!$L6)+(C86/carr_elev!$K6)+(dimensione_magazzinoPF!C87/carr_elev!$P6)+(dimensione_magazzinoPF!C87/carr_elev!$M6)+2*dimensione_magazzinoPF!$H3</f>
        <v>124.8385</v>
      </c>
      <c r="F89">
        <f>(F86/carr_elev!$L6)+(F86/carr_elev!$K6)+(dimensione_magazzinoPF!F87/carr_elev!$P6)+(dimensione_magazzinoPF!F87/carr_elev!$M6)+2*dimensione_magazzinoPF!$H3</f>
        <v>135.36849999999998</v>
      </c>
      <c r="G89">
        <f>(G86/carr_elev!$L6)+(G86/carr_elev!$K6)+(dimensione_magazzinoPF!G87/carr_elev!$P6)+(dimensione_magazzinoPF!G87/carr_elev!$M6)+2*dimensione_magazzinoPF!$H3</f>
        <v>135.36849999999998</v>
      </c>
      <c r="L89">
        <f>(K86/carr_elev!$L6)+(K86/carr_elev!$K6)+(dimensione_magazzinoPF!L87/carr_elev!$P6)+(dimensione_magazzinoPF!L87/carr_elev!$M6)+2*dimensione_magazzinoPF!$H3</f>
        <v>131.22399999999999</v>
      </c>
      <c r="N89">
        <f>(M86/carr_elev!$L6)+(M86/carr_elev!$K6)+(dimensione_magazzinoPF!N87/carr_elev!$P6)+(dimensione_magazzinoPF!N87/carr_elev!$M6)+2*dimensione_magazzinoPF!$H3</f>
        <v>128.3485</v>
      </c>
      <c r="P89" s="173"/>
      <c r="AR89" s="217"/>
    </row>
    <row r="90" spans="1:44" x14ac:dyDescent="0.2">
      <c r="C90">
        <f t="shared" ref="C90:N90" si="3">C88+C89</f>
        <v>256.82577972465583</v>
      </c>
      <c r="F90">
        <f t="shared" si="3"/>
        <v>277.88577972465578</v>
      </c>
      <c r="G90">
        <f t="shared" si="3"/>
        <v>277.88577972465578</v>
      </c>
      <c r="L90">
        <f t="shared" si="3"/>
        <v>269.59677972465579</v>
      </c>
      <c r="N90">
        <f t="shared" si="3"/>
        <v>263.84577972465581</v>
      </c>
      <c r="P90" s="173"/>
      <c r="AR90" s="217"/>
    </row>
    <row r="91" spans="1:44" x14ac:dyDescent="0.2">
      <c r="C91">
        <f>CEILING(($H4*SUM(tab_consegne!$D68:$D71)*C90)/3600,1)</f>
        <v>19</v>
      </c>
      <c r="F91">
        <f>CEILING(($H4*SUM(tab_consegne!$D68:$D71)*F90)/3600,1)</f>
        <v>20</v>
      </c>
      <c r="G91">
        <f>CEILING(($H4*SUM(tab_consegne!$D68:$D71)*G90)/3600,1)</f>
        <v>20</v>
      </c>
      <c r="L91">
        <f>CEILING(($H4*SUM(tab_consegne!$D68:$D71)*L90)/3600,1)</f>
        <v>20</v>
      </c>
      <c r="N91">
        <f>CEILING(($H4*SUM(tab_consegne!$D68:$D71)*N90)/3600,1)</f>
        <v>19</v>
      </c>
      <c r="P91" s="173"/>
      <c r="AR91" s="217"/>
    </row>
    <row r="92" spans="1:44" x14ac:dyDescent="0.2">
      <c r="C92">
        <f t="shared" ref="C92:N92" si="4">(C91*3600)/C90</f>
        <v>266.32840392164672</v>
      </c>
      <c r="F92">
        <f t="shared" si="4"/>
        <v>259.09926039159501</v>
      </c>
      <c r="G92">
        <f t="shared" si="4"/>
        <v>259.09926039159501</v>
      </c>
      <c r="L92">
        <f t="shared" si="4"/>
        <v>267.06550454176397</v>
      </c>
      <c r="N92">
        <f t="shared" si="4"/>
        <v>259.24235010080844</v>
      </c>
      <c r="P92" s="173"/>
      <c r="AR92" s="217"/>
    </row>
    <row r="93" spans="1:44" x14ac:dyDescent="0.2">
      <c r="P93" s="173"/>
      <c r="AR93" s="217"/>
    </row>
    <row r="94" spans="1:44" x14ac:dyDescent="0.2">
      <c r="A94" s="212"/>
      <c r="P94" s="173"/>
      <c r="AR94" s="217"/>
    </row>
    <row r="95" spans="1:44" x14ac:dyDescent="0.2">
      <c r="P95" s="173"/>
      <c r="AR95" s="217"/>
    </row>
    <row r="96" spans="1:44" x14ac:dyDescent="0.2">
      <c r="P96" s="173"/>
      <c r="AR96" s="217"/>
    </row>
    <row r="97" spans="2:44" x14ac:dyDescent="0.2">
      <c r="P97" s="173"/>
      <c r="AR97" s="217"/>
    </row>
    <row r="98" spans="2:44" x14ac:dyDescent="0.2">
      <c r="P98" s="173"/>
      <c r="AR98" s="217"/>
    </row>
    <row r="99" spans="2:44" x14ac:dyDescent="0.2">
      <c r="P99" s="173"/>
      <c r="AR99" s="217"/>
    </row>
    <row r="100" spans="2:44" x14ac:dyDescent="0.2">
      <c r="P100" s="173"/>
      <c r="AR100" s="217"/>
    </row>
    <row r="101" spans="2:44" x14ac:dyDescent="0.2">
      <c r="C101" s="84"/>
      <c r="P101" s="173"/>
      <c r="AR101" s="217"/>
    </row>
    <row r="102" spans="2:44" x14ac:dyDescent="0.2">
      <c r="P102" s="173"/>
      <c r="AR102" s="217"/>
    </row>
    <row r="103" spans="2:44" x14ac:dyDescent="0.2">
      <c r="P103" s="173"/>
      <c r="AR103" s="217"/>
    </row>
    <row r="104" spans="2:44" x14ac:dyDescent="0.2">
      <c r="P104" s="173"/>
      <c r="AR104" s="217"/>
    </row>
    <row r="105" spans="2:44" x14ac:dyDescent="0.2">
      <c r="B105" s="95"/>
      <c r="C105" s="84"/>
      <c r="E105" s="3"/>
      <c r="P105" s="173"/>
      <c r="AR105" s="217"/>
    </row>
    <row r="106" spans="2:44" x14ac:dyDescent="0.2">
      <c r="C106" s="84"/>
      <c r="P106" s="176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  <c r="AC106" s="179"/>
      <c r="AD106" s="179"/>
      <c r="AE106" s="179"/>
      <c r="AF106" s="179"/>
      <c r="AG106" s="179"/>
      <c r="AH106" s="179"/>
      <c r="AI106" s="179"/>
      <c r="AJ106" s="179"/>
      <c r="AK106" s="179"/>
      <c r="AL106" s="179"/>
      <c r="AM106" s="179"/>
      <c r="AN106" s="179"/>
      <c r="AO106" s="179"/>
      <c r="AP106" s="179"/>
      <c r="AQ106" s="179"/>
      <c r="AR106" s="218"/>
    </row>
    <row r="109" spans="2:44" x14ac:dyDescent="0.2">
      <c r="B109" s="95"/>
      <c r="C109" s="84"/>
      <c r="E109" s="3"/>
    </row>
    <row r="110" spans="2:44" x14ac:dyDescent="0.2">
      <c r="C110" s="84"/>
    </row>
    <row r="113" spans="1:14" x14ac:dyDescent="0.2">
      <c r="B113" s="95"/>
      <c r="C113" s="84"/>
      <c r="E113" s="3"/>
    </row>
    <row r="114" spans="1:14" x14ac:dyDescent="0.2">
      <c r="C114" s="84"/>
    </row>
    <row r="118" spans="1:14" x14ac:dyDescent="0.2">
      <c r="A118" s="74"/>
    </row>
    <row r="120" spans="1:14" x14ac:dyDescent="0.2">
      <c r="A120" s="74"/>
    </row>
    <row r="121" spans="1:14" x14ac:dyDescent="0.2">
      <c r="K121" s="496"/>
      <c r="L121" s="496"/>
    </row>
    <row r="122" spans="1:14" x14ac:dyDescent="0.2">
      <c r="K122" s="456"/>
      <c r="L122" s="456"/>
      <c r="M122" s="456"/>
      <c r="N122" s="456"/>
    </row>
    <row r="123" spans="1:14" x14ac:dyDescent="0.2">
      <c r="B123" s="95"/>
      <c r="G123" s="483"/>
      <c r="H123" s="483"/>
      <c r="K123" s="485"/>
      <c r="L123" s="485"/>
      <c r="M123" s="485"/>
      <c r="N123" s="485"/>
    </row>
    <row r="124" spans="1:14" x14ac:dyDescent="0.2">
      <c r="B124" s="95"/>
      <c r="G124" s="485"/>
      <c r="H124" s="485"/>
      <c r="K124" s="485"/>
      <c r="L124" s="485"/>
      <c r="M124" s="485"/>
      <c r="N124" s="485"/>
    </row>
    <row r="125" spans="1:14" x14ac:dyDescent="0.2">
      <c r="G125" s="485"/>
      <c r="H125" s="485"/>
      <c r="K125" s="485"/>
      <c r="L125" s="485"/>
      <c r="M125" s="485"/>
      <c r="N125" s="485"/>
    </row>
    <row r="127" spans="1:14" x14ac:dyDescent="0.2"/>
    <row r="135" spans="1:12" x14ac:dyDescent="0.2">
      <c r="A135" s="74"/>
    </row>
    <row r="139" spans="1:12" x14ac:dyDescent="0.2">
      <c r="A139" s="74"/>
    </row>
    <row r="140" spans="1:12" x14ac:dyDescent="0.2">
      <c r="K140" s="496"/>
      <c r="L140" s="496"/>
    </row>
    <row r="141" spans="1:12" x14ac:dyDescent="0.2">
      <c r="K141" s="21"/>
      <c r="L141" s="21"/>
    </row>
  </sheetData>
  <mergeCells count="85">
    <mergeCell ref="AC64:AE64"/>
    <mergeCell ref="X65:AA65"/>
    <mergeCell ref="AH65:AI65"/>
    <mergeCell ref="G30:H30"/>
    <mergeCell ref="K36:L36"/>
    <mergeCell ref="K37:L37"/>
    <mergeCell ref="K38:L38"/>
    <mergeCell ref="G36:H36"/>
    <mergeCell ref="G37:H37"/>
    <mergeCell ref="G38:H38"/>
    <mergeCell ref="AG48:AH59"/>
    <mergeCell ref="G32:H32"/>
    <mergeCell ref="G33:H33"/>
    <mergeCell ref="G34:H34"/>
    <mergeCell ref="K30:L30"/>
    <mergeCell ref="K31:L31"/>
    <mergeCell ref="G76:H76"/>
    <mergeCell ref="G43:H43"/>
    <mergeCell ref="G42:H42"/>
    <mergeCell ref="K43:L43"/>
    <mergeCell ref="K42:L42"/>
    <mergeCell ref="W17:Z19"/>
    <mergeCell ref="S17:V19"/>
    <mergeCell ref="X21:Y21"/>
    <mergeCell ref="T21:U21"/>
    <mergeCell ref="M78:N78"/>
    <mergeCell ref="M31:N31"/>
    <mergeCell ref="M32:N32"/>
    <mergeCell ref="M33:N33"/>
    <mergeCell ref="M34:N34"/>
    <mergeCell ref="O52:O55"/>
    <mergeCell ref="P61:Q61"/>
    <mergeCell ref="M73:N73"/>
    <mergeCell ref="M36:N36"/>
    <mergeCell ref="M37:N37"/>
    <mergeCell ref="M38:N38"/>
    <mergeCell ref="M43:N43"/>
    <mergeCell ref="AB48:AF59"/>
    <mergeCell ref="P48:Q59"/>
    <mergeCell ref="R48:S59"/>
    <mergeCell ref="T48:U59"/>
    <mergeCell ref="V48:W59"/>
    <mergeCell ref="X48:Y59"/>
    <mergeCell ref="Z48:AA59"/>
    <mergeCell ref="AQ48:AR59"/>
    <mergeCell ref="AI48:AJ59"/>
    <mergeCell ref="AK48:AL59"/>
    <mergeCell ref="AM48:AN59"/>
    <mergeCell ref="AO48:AP59"/>
    <mergeCell ref="G123:H123"/>
    <mergeCell ref="K123:L123"/>
    <mergeCell ref="M123:N123"/>
    <mergeCell ref="M76:N76"/>
    <mergeCell ref="G74:H74"/>
    <mergeCell ref="K74:L74"/>
    <mergeCell ref="M74:N74"/>
    <mergeCell ref="G75:H75"/>
    <mergeCell ref="K75:L75"/>
    <mergeCell ref="M75:N75"/>
    <mergeCell ref="K79:L79"/>
    <mergeCell ref="K80:L80"/>
    <mergeCell ref="K84:L84"/>
    <mergeCell ref="K76:L76"/>
    <mergeCell ref="K86:L86"/>
    <mergeCell ref="M86:N86"/>
    <mergeCell ref="G124:H124"/>
    <mergeCell ref="K124:L124"/>
    <mergeCell ref="M124:N124"/>
    <mergeCell ref="G125:H125"/>
    <mergeCell ref="K125:L125"/>
    <mergeCell ref="M125:N125"/>
    <mergeCell ref="K140:L140"/>
    <mergeCell ref="O17:R19"/>
    <mergeCell ref="N17:N19"/>
    <mergeCell ref="K121:L121"/>
    <mergeCell ref="K122:L122"/>
    <mergeCell ref="M122:N122"/>
    <mergeCell ref="P21:Q21"/>
    <mergeCell ref="K72:L72"/>
    <mergeCell ref="K73:L73"/>
    <mergeCell ref="M42:N42"/>
    <mergeCell ref="K32:L32"/>
    <mergeCell ref="K33:L33"/>
    <mergeCell ref="K34:L34"/>
    <mergeCell ref="K78:L78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9C921-6FAA-E649-A071-D25200BE51F5}">
  <dimension ref="B3:Q71"/>
  <sheetViews>
    <sheetView topLeftCell="A2" zoomScale="75" zoomScaleNormal="112" workbookViewId="0">
      <selection activeCell="L18" sqref="L18"/>
    </sheetView>
  </sheetViews>
  <sheetFormatPr baseColWidth="10" defaultColWidth="9" defaultRowHeight="15.75" customHeight="1" x14ac:dyDescent="0.2"/>
  <cols>
    <col min="1" max="1" width="9" style="3"/>
    <col min="2" max="2" width="8.5" style="3" bestFit="1" customWidth="1"/>
    <col min="3" max="3" width="10" style="3" bestFit="1" customWidth="1"/>
    <col min="4" max="4" width="27" style="3" bestFit="1" customWidth="1"/>
    <col min="5" max="6" width="12.5" style="3" bestFit="1" customWidth="1"/>
    <col min="7" max="7" width="20" style="3" bestFit="1" customWidth="1"/>
    <col min="8" max="8" width="22" style="3" bestFit="1" customWidth="1"/>
    <col min="9" max="9" width="24.5" style="3" bestFit="1" customWidth="1"/>
    <col min="10" max="10" width="31" style="3" bestFit="1" customWidth="1"/>
    <col min="11" max="11" width="34" style="3" bestFit="1" customWidth="1"/>
    <col min="12" max="12" width="34.5" style="3" bestFit="1" customWidth="1"/>
    <col min="13" max="13" width="42.5" style="3" bestFit="1" customWidth="1"/>
    <col min="14" max="14" width="25.5" style="3" bestFit="1" customWidth="1"/>
    <col min="15" max="15" width="27" style="3" customWidth="1"/>
    <col min="16" max="16" width="26" style="3" bestFit="1" customWidth="1"/>
    <col min="17" max="18" width="27.5" style="3" bestFit="1" customWidth="1"/>
    <col min="19" max="16384" width="9" style="3"/>
  </cols>
  <sheetData>
    <row r="3" spans="2:17" ht="15.75" customHeight="1" x14ac:dyDescent="0.2">
      <c r="E3" s="3" t="s">
        <v>415</v>
      </c>
    </row>
    <row r="5" spans="2:17" ht="16" x14ac:dyDescent="0.2">
      <c r="B5" s="88" t="s">
        <v>416</v>
      </c>
      <c r="C5" s="88" t="s">
        <v>417</v>
      </c>
      <c r="D5" s="88" t="s">
        <v>418</v>
      </c>
      <c r="E5" s="88" t="s">
        <v>419</v>
      </c>
      <c r="F5" s="88" t="s">
        <v>93</v>
      </c>
      <c r="G5" s="88" t="s">
        <v>420</v>
      </c>
      <c r="H5" s="88" t="s">
        <v>421</v>
      </c>
      <c r="I5" s="88" t="s">
        <v>422</v>
      </c>
      <c r="J5" s="100" t="s">
        <v>423</v>
      </c>
      <c r="K5" s="88" t="s">
        <v>424</v>
      </c>
      <c r="L5" s="88" t="s">
        <v>425</v>
      </c>
      <c r="M5" s="88" t="s">
        <v>426</v>
      </c>
      <c r="N5" s="88" t="s">
        <v>427</v>
      </c>
      <c r="O5" s="88" t="s">
        <v>428</v>
      </c>
      <c r="P5" s="88" t="s">
        <v>429</v>
      </c>
      <c r="Q5" s="88" t="s">
        <v>430</v>
      </c>
    </row>
    <row r="6" spans="2:17" ht="16" x14ac:dyDescent="0.2">
      <c r="B6" s="8" t="s">
        <v>431</v>
      </c>
      <c r="C6" s="8" t="s">
        <v>432</v>
      </c>
      <c r="D6" s="8">
        <v>5400</v>
      </c>
      <c r="E6" s="8">
        <v>790</v>
      </c>
      <c r="F6" s="8">
        <v>2180</v>
      </c>
      <c r="G6" s="8">
        <v>390</v>
      </c>
      <c r="H6" s="8">
        <v>1740</v>
      </c>
      <c r="I6" s="8">
        <v>1600</v>
      </c>
      <c r="J6" s="101">
        <f>I6*2</f>
        <v>3200</v>
      </c>
      <c r="K6" s="8">
        <f>10/3.6</f>
        <v>2.7777777777777777</v>
      </c>
      <c r="L6" s="8">
        <f>8/3.6</f>
        <v>2.2222222222222223</v>
      </c>
      <c r="M6" s="8">
        <v>0.36</v>
      </c>
      <c r="N6" s="8">
        <v>0.17</v>
      </c>
      <c r="O6" s="8">
        <v>0.47</v>
      </c>
      <c r="P6" s="8">
        <v>0.45</v>
      </c>
      <c r="Q6" s="102">
        <v>5.5</v>
      </c>
    </row>
    <row r="8" spans="2:17" ht="15.75" customHeight="1" x14ac:dyDescent="0.2">
      <c r="K8" s="88" t="s">
        <v>433</v>
      </c>
      <c r="L8" s="88" t="s">
        <v>434</v>
      </c>
      <c r="M8" s="88" t="s">
        <v>435</v>
      </c>
      <c r="N8" s="88" t="s">
        <v>436</v>
      </c>
    </row>
    <row r="9" spans="2:17" ht="15.75" customHeight="1" x14ac:dyDescent="0.2">
      <c r="K9" s="8">
        <v>24</v>
      </c>
      <c r="L9" s="8">
        <v>300</v>
      </c>
      <c r="M9" s="8">
        <v>0.77</v>
      </c>
      <c r="N9" s="183">
        <f>L9/(M9*1000/K9)</f>
        <v>9.3506493506493502</v>
      </c>
    </row>
    <row r="32" spans="2:15" ht="16" x14ac:dyDescent="0.2">
      <c r="B32" s="88" t="s">
        <v>416</v>
      </c>
      <c r="C32" s="88" t="s">
        <v>417</v>
      </c>
      <c r="D32" s="88" t="s">
        <v>418</v>
      </c>
      <c r="E32" s="88" t="s">
        <v>419</v>
      </c>
      <c r="F32" s="88" t="s">
        <v>93</v>
      </c>
      <c r="G32" s="88" t="s">
        <v>420</v>
      </c>
      <c r="H32" s="88" t="s">
        <v>421</v>
      </c>
      <c r="I32" s="88" t="s">
        <v>422</v>
      </c>
      <c r="J32" s="88" t="s">
        <v>423</v>
      </c>
      <c r="K32" s="88" t="s">
        <v>437</v>
      </c>
      <c r="L32" s="88" t="s">
        <v>438</v>
      </c>
      <c r="M32" s="88" t="s">
        <v>439</v>
      </c>
      <c r="N32" s="88" t="s">
        <v>440</v>
      </c>
      <c r="O32" s="88" t="s">
        <v>430</v>
      </c>
    </row>
    <row r="33" spans="2:15" ht="16" x14ac:dyDescent="0.2">
      <c r="B33" s="8" t="s">
        <v>441</v>
      </c>
      <c r="C33" s="8" t="s">
        <v>442</v>
      </c>
      <c r="D33" s="8">
        <v>13950</v>
      </c>
      <c r="E33" s="8">
        <v>1600</v>
      </c>
      <c r="F33" s="8">
        <v>3208</v>
      </c>
      <c r="G33" s="8" t="s">
        <v>443</v>
      </c>
      <c r="H33" s="8">
        <v>2147</v>
      </c>
      <c r="I33" s="8">
        <v>1500</v>
      </c>
      <c r="J33" s="8">
        <v>3000</v>
      </c>
      <c r="K33" s="8">
        <f>10.5/3.6</f>
        <v>2.9166666666666665</v>
      </c>
      <c r="L33" s="8">
        <v>0.43</v>
      </c>
      <c r="M33" s="8">
        <v>0.45</v>
      </c>
      <c r="N33" s="8">
        <v>0.28999999999999998</v>
      </c>
      <c r="O33" s="8">
        <v>6</v>
      </c>
    </row>
    <row r="64" spans="2:10" ht="15.75" customHeight="1" x14ac:dyDescent="0.2">
      <c r="B64" s="88" t="s">
        <v>416</v>
      </c>
      <c r="C64" s="88" t="s">
        <v>417</v>
      </c>
      <c r="D64" s="88" t="s">
        <v>418</v>
      </c>
      <c r="E64" s="88" t="s">
        <v>419</v>
      </c>
      <c r="F64" s="88" t="s">
        <v>93</v>
      </c>
      <c r="G64" s="88" t="s">
        <v>420</v>
      </c>
      <c r="H64" s="88" t="s">
        <v>421</v>
      </c>
      <c r="I64" s="88" t="s">
        <v>422</v>
      </c>
      <c r="J64" s="88" t="s">
        <v>423</v>
      </c>
    </row>
    <row r="65" spans="2:10" ht="15.75" customHeight="1" x14ac:dyDescent="0.2">
      <c r="B65" s="8" t="s">
        <v>444</v>
      </c>
      <c r="C65" s="8" t="s">
        <v>445</v>
      </c>
      <c r="D65" s="8">
        <v>5000</v>
      </c>
      <c r="E65" s="8">
        <v>800</v>
      </c>
      <c r="F65" s="8">
        <v>1512</v>
      </c>
      <c r="G65" s="8"/>
      <c r="H65" s="8"/>
      <c r="I65" s="8"/>
      <c r="J65" s="8"/>
    </row>
    <row r="70" spans="2:10" ht="15.75" customHeight="1" x14ac:dyDescent="0.2">
      <c r="B70" s="223" t="s">
        <v>416</v>
      </c>
      <c r="C70" s="223" t="s">
        <v>417</v>
      </c>
      <c r="D70" s="226" t="s">
        <v>418</v>
      </c>
      <c r="E70" s="223" t="s">
        <v>419</v>
      </c>
      <c r="F70" s="223" t="s">
        <v>93</v>
      </c>
    </row>
    <row r="71" spans="2:10" ht="15.75" customHeight="1" x14ac:dyDescent="0.2">
      <c r="B71" s="224" t="s">
        <v>446</v>
      </c>
      <c r="C71" s="224" t="s">
        <v>447</v>
      </c>
      <c r="D71" s="227">
        <v>1000</v>
      </c>
      <c r="E71" s="224">
        <v>1070</v>
      </c>
      <c r="F71" s="225">
        <v>2069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CB929-E82F-9849-BDDF-2BF476BBCC19}">
  <dimension ref="A1:V76"/>
  <sheetViews>
    <sheetView topLeftCell="A7" zoomScale="85" zoomScaleNormal="85" workbookViewId="0">
      <selection activeCell="K44" sqref="K44"/>
    </sheetView>
  </sheetViews>
  <sheetFormatPr baseColWidth="10" defaultColWidth="11" defaultRowHeight="16" x14ac:dyDescent="0.2"/>
  <cols>
    <col min="2" max="2" width="21.5" bestFit="1" customWidth="1"/>
    <col min="3" max="3" width="11.5" bestFit="1" customWidth="1"/>
    <col min="4" max="4" width="17.5" bestFit="1" customWidth="1"/>
    <col min="7" max="8" width="13" customWidth="1"/>
    <col min="9" max="9" width="10" customWidth="1"/>
    <col min="10" max="10" width="15" bestFit="1" customWidth="1"/>
    <col min="12" max="12" width="12" bestFit="1" customWidth="1"/>
    <col min="14" max="14" width="12" bestFit="1" customWidth="1"/>
    <col min="22" max="22" width="10.5" customWidth="1"/>
  </cols>
  <sheetData>
    <row r="1" spans="1:22" x14ac:dyDescent="0.2">
      <c r="A1" s="543" t="s">
        <v>448</v>
      </c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5"/>
    </row>
    <row r="2" spans="1:22" x14ac:dyDescent="0.2">
      <c r="A2" s="38"/>
      <c r="B2" s="39" t="s">
        <v>87</v>
      </c>
      <c r="C2" s="40">
        <v>2</v>
      </c>
      <c r="D2">
        <f>C2+3</f>
        <v>5</v>
      </c>
      <c r="E2">
        <f t="shared" ref="E2:N2" si="0">D2+3</f>
        <v>8</v>
      </c>
      <c r="F2">
        <f>E2+3</f>
        <v>11</v>
      </c>
      <c r="G2">
        <f>F2+3</f>
        <v>14</v>
      </c>
      <c r="H2">
        <f t="shared" si="0"/>
        <v>17</v>
      </c>
      <c r="I2">
        <f t="shared" si="0"/>
        <v>20</v>
      </c>
      <c r="J2">
        <f t="shared" si="0"/>
        <v>23</v>
      </c>
      <c r="K2">
        <f t="shared" si="0"/>
        <v>26</v>
      </c>
      <c r="L2">
        <f t="shared" si="0"/>
        <v>29</v>
      </c>
      <c r="M2">
        <f t="shared" si="0"/>
        <v>32</v>
      </c>
      <c r="N2">
        <f t="shared" si="0"/>
        <v>35</v>
      </c>
      <c r="O2">
        <f>N2+3</f>
        <v>38</v>
      </c>
      <c r="P2">
        <f t="shared" ref="P2:V2" si="1">O2+3</f>
        <v>41</v>
      </c>
      <c r="Q2">
        <f t="shared" si="1"/>
        <v>44</v>
      </c>
      <c r="R2">
        <f t="shared" si="1"/>
        <v>47</v>
      </c>
      <c r="S2">
        <f t="shared" si="1"/>
        <v>50</v>
      </c>
      <c r="T2">
        <f t="shared" si="1"/>
        <v>53</v>
      </c>
      <c r="U2">
        <f t="shared" si="1"/>
        <v>56</v>
      </c>
      <c r="V2" s="41">
        <f t="shared" si="1"/>
        <v>59</v>
      </c>
    </row>
    <row r="3" spans="1:22" x14ac:dyDescent="0.2">
      <c r="A3" s="38"/>
      <c r="B3" s="39" t="s">
        <v>88</v>
      </c>
      <c r="C3" s="40">
        <v>4</v>
      </c>
      <c r="D3">
        <f>C3+5</f>
        <v>9</v>
      </c>
      <c r="E3">
        <f t="shared" ref="E3:N3" si="2">D3+5</f>
        <v>14</v>
      </c>
      <c r="F3">
        <f>E3+5</f>
        <v>19</v>
      </c>
      <c r="G3">
        <f>F3+5</f>
        <v>24</v>
      </c>
      <c r="H3">
        <f t="shared" si="2"/>
        <v>29</v>
      </c>
      <c r="I3">
        <f t="shared" si="2"/>
        <v>34</v>
      </c>
      <c r="J3">
        <f t="shared" si="2"/>
        <v>39</v>
      </c>
      <c r="K3">
        <f t="shared" si="2"/>
        <v>44</v>
      </c>
      <c r="L3">
        <f t="shared" si="2"/>
        <v>49</v>
      </c>
      <c r="M3">
        <f t="shared" si="2"/>
        <v>54</v>
      </c>
      <c r="N3">
        <f t="shared" si="2"/>
        <v>59</v>
      </c>
      <c r="O3">
        <f>N3+5</f>
        <v>64</v>
      </c>
      <c r="P3" s="2"/>
      <c r="Q3" s="23"/>
      <c r="R3" s="24"/>
      <c r="S3" s="24"/>
      <c r="T3" s="25"/>
      <c r="U3" s="25"/>
      <c r="V3" s="42"/>
    </row>
    <row r="4" spans="1:22" x14ac:dyDescent="0.2">
      <c r="A4" s="38"/>
      <c r="B4" s="39" t="s">
        <v>89</v>
      </c>
      <c r="C4" s="43">
        <v>1</v>
      </c>
      <c r="D4" s="44">
        <f>C4+3</f>
        <v>4</v>
      </c>
      <c r="E4" s="44">
        <f t="shared" ref="E4:N4" si="3">D4+3</f>
        <v>7</v>
      </c>
      <c r="F4" s="44">
        <f>E4+3</f>
        <v>10</v>
      </c>
      <c r="G4" s="44">
        <f>F4+3</f>
        <v>13</v>
      </c>
      <c r="H4" s="44">
        <f t="shared" si="3"/>
        <v>16</v>
      </c>
      <c r="I4" s="44">
        <f t="shared" si="3"/>
        <v>19</v>
      </c>
      <c r="J4" s="44">
        <f t="shared" si="3"/>
        <v>22</v>
      </c>
      <c r="K4" s="44">
        <f t="shared" si="3"/>
        <v>25</v>
      </c>
      <c r="L4" s="44">
        <f t="shared" si="3"/>
        <v>28</v>
      </c>
      <c r="M4" s="44">
        <f t="shared" si="3"/>
        <v>31</v>
      </c>
      <c r="N4" s="44">
        <f t="shared" si="3"/>
        <v>34</v>
      </c>
      <c r="O4" s="44">
        <f>N4+3</f>
        <v>37</v>
      </c>
      <c r="P4" s="44">
        <f t="shared" ref="P4:V4" si="4">O4+3</f>
        <v>40</v>
      </c>
      <c r="Q4" s="44">
        <f t="shared" si="4"/>
        <v>43</v>
      </c>
      <c r="R4" s="44">
        <f t="shared" si="4"/>
        <v>46</v>
      </c>
      <c r="S4" s="44">
        <f t="shared" si="4"/>
        <v>49</v>
      </c>
      <c r="T4" s="44">
        <f>S4+3</f>
        <v>52</v>
      </c>
      <c r="U4" s="44">
        <f t="shared" si="4"/>
        <v>55</v>
      </c>
      <c r="V4" s="45">
        <f t="shared" si="4"/>
        <v>58</v>
      </c>
    </row>
    <row r="5" spans="1:22" x14ac:dyDescent="0.2">
      <c r="A5" s="38"/>
      <c r="B5" s="11"/>
      <c r="C5" s="2"/>
      <c r="J5" s="22"/>
      <c r="K5" s="22"/>
      <c r="L5" s="22"/>
      <c r="M5" s="22"/>
      <c r="N5" s="22"/>
      <c r="O5" s="2"/>
      <c r="P5" s="2"/>
      <c r="Q5" s="23"/>
      <c r="R5" s="24"/>
      <c r="S5" s="24"/>
      <c r="T5" s="24"/>
      <c r="U5" s="25"/>
      <c r="V5" s="42"/>
    </row>
    <row r="6" spans="1:22" x14ac:dyDescent="0.2">
      <c r="A6" s="38"/>
      <c r="B6" s="542" t="s">
        <v>449</v>
      </c>
      <c r="C6" s="57" t="s">
        <v>450</v>
      </c>
      <c r="D6">
        <f t="shared" ref="D6:V6" si="5">COUNTIF($C$2:$V$2,D3)</f>
        <v>0</v>
      </c>
      <c r="E6">
        <f>COUNTIF($C$2:$V$2,E3)</f>
        <v>1</v>
      </c>
      <c r="F6">
        <f t="shared" si="5"/>
        <v>0</v>
      </c>
      <c r="G6">
        <f t="shared" si="5"/>
        <v>0</v>
      </c>
      <c r="H6">
        <f>COUNTIF($C$2:$V$2,H3)</f>
        <v>1</v>
      </c>
      <c r="I6">
        <f t="shared" si="5"/>
        <v>0</v>
      </c>
      <c r="J6">
        <f t="shared" si="5"/>
        <v>0</v>
      </c>
      <c r="K6">
        <f t="shared" si="5"/>
        <v>1</v>
      </c>
      <c r="L6">
        <f t="shared" si="5"/>
        <v>0</v>
      </c>
      <c r="M6">
        <f t="shared" si="5"/>
        <v>0</v>
      </c>
      <c r="N6">
        <f t="shared" si="5"/>
        <v>1</v>
      </c>
      <c r="O6">
        <f t="shared" si="5"/>
        <v>0</v>
      </c>
      <c r="P6">
        <f t="shared" si="5"/>
        <v>0</v>
      </c>
      <c r="Q6">
        <f t="shared" si="5"/>
        <v>0</v>
      </c>
      <c r="R6">
        <f t="shared" si="5"/>
        <v>0</v>
      </c>
      <c r="S6">
        <f t="shared" si="5"/>
        <v>0</v>
      </c>
      <c r="T6">
        <f t="shared" si="5"/>
        <v>0</v>
      </c>
      <c r="U6">
        <f t="shared" si="5"/>
        <v>0</v>
      </c>
      <c r="V6" s="41">
        <f t="shared" si="5"/>
        <v>0</v>
      </c>
    </row>
    <row r="7" spans="1:22" x14ac:dyDescent="0.2">
      <c r="A7" s="38"/>
      <c r="B7" s="542"/>
      <c r="C7" s="57" t="s">
        <v>451</v>
      </c>
      <c r="D7">
        <f t="shared" ref="D7:V7" si="6">COUNTIF($C$2:$V$2,D4)</f>
        <v>0</v>
      </c>
      <c r="E7">
        <f t="shared" si="6"/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6"/>
        <v>0</v>
      </c>
      <c r="J7">
        <f t="shared" si="6"/>
        <v>0</v>
      </c>
      <c r="K7">
        <f t="shared" si="6"/>
        <v>0</v>
      </c>
      <c r="L7">
        <f t="shared" si="6"/>
        <v>0</v>
      </c>
      <c r="M7">
        <f t="shared" si="6"/>
        <v>0</v>
      </c>
      <c r="N7">
        <f t="shared" si="6"/>
        <v>0</v>
      </c>
      <c r="O7">
        <f t="shared" si="6"/>
        <v>0</v>
      </c>
      <c r="P7">
        <f t="shared" si="6"/>
        <v>0</v>
      </c>
      <c r="Q7">
        <f t="shared" si="6"/>
        <v>0</v>
      </c>
      <c r="R7">
        <f t="shared" si="6"/>
        <v>0</v>
      </c>
      <c r="S7">
        <f t="shared" si="6"/>
        <v>0</v>
      </c>
      <c r="T7">
        <f t="shared" si="6"/>
        <v>0</v>
      </c>
      <c r="U7">
        <f t="shared" si="6"/>
        <v>0</v>
      </c>
      <c r="V7" s="41">
        <f t="shared" si="6"/>
        <v>0</v>
      </c>
    </row>
    <row r="8" spans="1:22" x14ac:dyDescent="0.2">
      <c r="A8" s="38"/>
      <c r="B8" s="542"/>
      <c r="C8" s="57" t="s">
        <v>452</v>
      </c>
      <c r="D8">
        <f t="shared" ref="D8:V8" si="7">COUNTIF($D$3:$O$3,D4)</f>
        <v>0</v>
      </c>
      <c r="E8">
        <f t="shared" si="7"/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f t="shared" si="7"/>
        <v>1</v>
      </c>
      <c r="J8">
        <f t="shared" si="7"/>
        <v>0</v>
      </c>
      <c r="K8">
        <f t="shared" si="7"/>
        <v>0</v>
      </c>
      <c r="L8">
        <f t="shared" si="7"/>
        <v>0</v>
      </c>
      <c r="M8">
        <f t="shared" si="7"/>
        <v>0</v>
      </c>
      <c r="N8">
        <f t="shared" si="7"/>
        <v>1</v>
      </c>
      <c r="O8">
        <f t="shared" si="7"/>
        <v>0</v>
      </c>
      <c r="P8">
        <f t="shared" si="7"/>
        <v>0</v>
      </c>
      <c r="Q8">
        <f t="shared" si="7"/>
        <v>0</v>
      </c>
      <c r="R8">
        <f t="shared" si="7"/>
        <v>0</v>
      </c>
      <c r="S8">
        <f t="shared" si="7"/>
        <v>1</v>
      </c>
      <c r="T8">
        <f t="shared" si="7"/>
        <v>0</v>
      </c>
      <c r="U8">
        <f t="shared" si="7"/>
        <v>0</v>
      </c>
      <c r="V8" s="41">
        <f t="shared" si="7"/>
        <v>0</v>
      </c>
    </row>
    <row r="9" spans="1:22" x14ac:dyDescent="0.2">
      <c r="A9" s="38"/>
      <c r="D9" s="3" t="s">
        <v>453</v>
      </c>
      <c r="V9" s="41"/>
    </row>
    <row r="10" spans="1:22" ht="17" thickBot="1" x14ac:dyDescent="0.25">
      <c r="A10" s="46"/>
      <c r="B10" s="36"/>
      <c r="C10" s="36"/>
      <c r="D10" s="50">
        <f>COUNTIF(D6:V8,1)</f>
        <v>7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47"/>
    </row>
    <row r="11" spans="1:22" ht="17" thickBot="1" x14ac:dyDescent="0.25"/>
    <row r="12" spans="1:22" x14ac:dyDescent="0.2">
      <c r="A12" s="543" t="s">
        <v>454</v>
      </c>
      <c r="B12" s="544"/>
      <c r="C12" s="544"/>
      <c r="D12" s="544"/>
      <c r="E12" s="544"/>
      <c r="F12" s="544"/>
      <c r="G12" s="544"/>
      <c r="H12" s="544"/>
      <c r="I12" s="544"/>
      <c r="J12" s="544"/>
      <c r="K12" s="544"/>
      <c r="L12" s="544"/>
      <c r="M12" s="544"/>
      <c r="N12" s="544"/>
      <c r="O12" s="544"/>
      <c r="P12" s="545"/>
      <c r="Q12" s="74"/>
      <c r="R12" s="74"/>
      <c r="S12" s="74"/>
      <c r="T12" s="74"/>
      <c r="U12" s="74"/>
      <c r="V12" s="74"/>
    </row>
    <row r="13" spans="1:22" x14ac:dyDescent="0.2">
      <c r="A13" s="399" t="s">
        <v>30</v>
      </c>
      <c r="B13" s="400"/>
      <c r="C13" s="40">
        <v>1</v>
      </c>
      <c r="D13" s="3">
        <f>C13+4</f>
        <v>5</v>
      </c>
      <c r="E13" s="3">
        <f t="shared" ref="E13:P13" si="8">D13+4</f>
        <v>9</v>
      </c>
      <c r="F13" s="3">
        <f t="shared" ref="F13:G16" si="9">E13+4</f>
        <v>13</v>
      </c>
      <c r="G13" s="3">
        <f t="shared" si="9"/>
        <v>17</v>
      </c>
      <c r="H13" s="3">
        <f t="shared" si="8"/>
        <v>21</v>
      </c>
      <c r="I13" s="3">
        <f t="shared" si="8"/>
        <v>25</v>
      </c>
      <c r="J13" s="3">
        <f t="shared" si="8"/>
        <v>29</v>
      </c>
      <c r="K13" s="3">
        <f t="shared" si="8"/>
        <v>33</v>
      </c>
      <c r="L13" s="3">
        <f t="shared" si="8"/>
        <v>37</v>
      </c>
      <c r="M13" s="3">
        <f t="shared" si="8"/>
        <v>41</v>
      </c>
      <c r="N13" s="3">
        <f t="shared" si="8"/>
        <v>45</v>
      </c>
      <c r="O13" s="3">
        <f t="shared" si="8"/>
        <v>49</v>
      </c>
      <c r="P13" s="89">
        <f t="shared" si="8"/>
        <v>53</v>
      </c>
    </row>
    <row r="14" spans="1:22" x14ac:dyDescent="0.2">
      <c r="A14" s="399" t="s">
        <v>31</v>
      </c>
      <c r="B14" s="400"/>
      <c r="C14" s="40">
        <v>2</v>
      </c>
      <c r="D14" s="3">
        <f t="shared" ref="D14:P16" si="10">C14+4</f>
        <v>6</v>
      </c>
      <c r="E14" s="3">
        <f t="shared" si="10"/>
        <v>10</v>
      </c>
      <c r="F14" s="3">
        <f t="shared" si="9"/>
        <v>14</v>
      </c>
      <c r="G14" s="3">
        <f t="shared" si="9"/>
        <v>18</v>
      </c>
      <c r="H14" s="3">
        <f t="shared" si="10"/>
        <v>22</v>
      </c>
      <c r="I14" s="3">
        <f t="shared" si="10"/>
        <v>26</v>
      </c>
      <c r="J14" s="3">
        <f t="shared" si="10"/>
        <v>30</v>
      </c>
      <c r="K14" s="3">
        <f t="shared" si="10"/>
        <v>34</v>
      </c>
      <c r="L14" s="3">
        <f t="shared" si="10"/>
        <v>38</v>
      </c>
      <c r="M14" s="3">
        <f t="shared" si="10"/>
        <v>42</v>
      </c>
      <c r="N14" s="3">
        <f t="shared" si="10"/>
        <v>46</v>
      </c>
      <c r="O14" s="3">
        <f t="shared" si="10"/>
        <v>50</v>
      </c>
      <c r="P14" s="89">
        <f t="shared" si="10"/>
        <v>54</v>
      </c>
    </row>
    <row r="15" spans="1:22" x14ac:dyDescent="0.2">
      <c r="A15" s="399" t="s">
        <v>32</v>
      </c>
      <c r="B15" s="400"/>
      <c r="C15" s="40">
        <v>3</v>
      </c>
      <c r="D15" s="3">
        <f t="shared" si="10"/>
        <v>7</v>
      </c>
      <c r="E15" s="3">
        <f t="shared" si="10"/>
        <v>11</v>
      </c>
      <c r="F15" s="3">
        <f t="shared" si="9"/>
        <v>15</v>
      </c>
      <c r="G15" s="3">
        <f t="shared" si="9"/>
        <v>19</v>
      </c>
      <c r="H15" s="3">
        <f t="shared" si="10"/>
        <v>23</v>
      </c>
      <c r="I15" s="3">
        <f t="shared" si="10"/>
        <v>27</v>
      </c>
      <c r="J15" s="3">
        <f t="shared" si="10"/>
        <v>31</v>
      </c>
      <c r="K15" s="3">
        <f t="shared" si="10"/>
        <v>35</v>
      </c>
      <c r="L15" s="3">
        <f t="shared" si="10"/>
        <v>39</v>
      </c>
      <c r="M15" s="3">
        <f t="shared" si="10"/>
        <v>43</v>
      </c>
      <c r="N15" s="3">
        <f t="shared" si="10"/>
        <v>47</v>
      </c>
      <c r="O15" s="3">
        <f t="shared" si="10"/>
        <v>51</v>
      </c>
      <c r="P15" s="89">
        <f t="shared" si="10"/>
        <v>55</v>
      </c>
    </row>
    <row r="16" spans="1:22" ht="17" thickBot="1" x14ac:dyDescent="0.25">
      <c r="A16" s="552" t="s">
        <v>33</v>
      </c>
      <c r="B16" s="553"/>
      <c r="C16" s="90">
        <v>4</v>
      </c>
      <c r="D16" s="35">
        <f t="shared" si="10"/>
        <v>8</v>
      </c>
      <c r="E16" s="35">
        <f t="shared" si="10"/>
        <v>12</v>
      </c>
      <c r="F16" s="35">
        <f t="shared" si="9"/>
        <v>16</v>
      </c>
      <c r="G16" s="35">
        <f t="shared" si="9"/>
        <v>20</v>
      </c>
      <c r="H16" s="35">
        <f t="shared" si="10"/>
        <v>24</v>
      </c>
      <c r="I16" s="35">
        <f t="shared" si="10"/>
        <v>28</v>
      </c>
      <c r="J16" s="35">
        <f t="shared" si="10"/>
        <v>32</v>
      </c>
      <c r="K16" s="35">
        <f t="shared" si="10"/>
        <v>36</v>
      </c>
      <c r="L16" s="35">
        <f t="shared" si="10"/>
        <v>40</v>
      </c>
      <c r="M16" s="35">
        <f t="shared" si="10"/>
        <v>44</v>
      </c>
      <c r="N16" s="35">
        <f t="shared" si="10"/>
        <v>48</v>
      </c>
      <c r="O16" s="35">
        <f t="shared" si="10"/>
        <v>52</v>
      </c>
      <c r="P16" s="87">
        <f t="shared" si="10"/>
        <v>56</v>
      </c>
    </row>
    <row r="29" spans="1:15" ht="17" thickBot="1" x14ac:dyDescent="0.25"/>
    <row r="30" spans="1:15" ht="17" thickBot="1" x14ac:dyDescent="0.25">
      <c r="A30" s="556" t="s">
        <v>455</v>
      </c>
      <c r="B30" s="557"/>
      <c r="C30" s="557"/>
      <c r="D30" s="557"/>
      <c r="E30" s="557"/>
      <c r="F30" s="557"/>
      <c r="G30" s="557"/>
      <c r="H30" s="557"/>
      <c r="I30" s="557"/>
      <c r="J30" s="557"/>
      <c r="K30" s="557"/>
      <c r="L30" s="557"/>
      <c r="M30" s="557"/>
      <c r="N30" s="557"/>
      <c r="O30" s="558"/>
    </row>
    <row r="31" spans="1:15" x14ac:dyDescent="0.2">
      <c r="A31" s="451"/>
      <c r="B31" s="452"/>
      <c r="C31" s="135" t="s">
        <v>456</v>
      </c>
      <c r="D31" s="135" t="s">
        <v>457</v>
      </c>
      <c r="E31" s="135" t="s">
        <v>458</v>
      </c>
      <c r="F31" s="135" t="s">
        <v>398</v>
      </c>
      <c r="G31" s="138" t="s">
        <v>459</v>
      </c>
      <c r="H31" s="135" t="s">
        <v>460</v>
      </c>
      <c r="I31" s="569" t="s">
        <v>461</v>
      </c>
      <c r="J31" s="569"/>
      <c r="K31" s="135" t="s">
        <v>462</v>
      </c>
      <c r="L31" s="135" t="s">
        <v>463</v>
      </c>
      <c r="M31" s="136" t="s">
        <v>464</v>
      </c>
      <c r="N31" s="137" t="s">
        <v>465</v>
      </c>
      <c r="O31" s="114"/>
    </row>
    <row r="32" spans="1:15" ht="16.5" customHeight="1" x14ac:dyDescent="0.2">
      <c r="A32" s="399" t="s">
        <v>30</v>
      </c>
      <c r="B32" s="400"/>
      <c r="C32" s="25">
        <f>mag_completo!T23</f>
        <v>3654.5142857142855</v>
      </c>
      <c r="D32" s="3">
        <f>ROUNDDOWN(mag_completo!N23/(22),0)</f>
        <v>1162</v>
      </c>
      <c r="E32" s="3">
        <f>ROUNDUP(C32/D32,0)</f>
        <v>4</v>
      </c>
      <c r="F32" s="34">
        <f>ROUNDUP(C32/mag_completo!Q23,0)</f>
        <v>914</v>
      </c>
      <c r="G32" s="3">
        <v>42</v>
      </c>
      <c r="H32" s="555">
        <v>1626</v>
      </c>
      <c r="I32" s="549">
        <f t="shared" ref="I32:I40" si="11">ROUNDUP(F32/G32,0)</f>
        <v>22</v>
      </c>
      <c r="J32" s="549"/>
      <c r="K32" s="3">
        <f>I32*45/60</f>
        <v>16.5</v>
      </c>
      <c r="L32">
        <f t="shared" ref="L32:L40" si="12">K32/$R$33</f>
        <v>1.1514305652477321</v>
      </c>
      <c r="M32" s="3">
        <f t="shared" ref="M32:M40" si="13">ROUNDUP(K32/$R$33,0)</f>
        <v>2</v>
      </c>
      <c r="N32" s="551">
        <f>MAX(M32:M35)</f>
        <v>2</v>
      </c>
      <c r="O32" s="554" t="s">
        <v>466</v>
      </c>
    </row>
    <row r="33" spans="1:18" x14ac:dyDescent="0.2">
      <c r="A33" s="399" t="s">
        <v>31</v>
      </c>
      <c r="B33" s="400"/>
      <c r="C33" s="25">
        <f>mag_completo!T24</f>
        <v>2436.3428571428572</v>
      </c>
      <c r="D33" s="3">
        <f>ROUNDDOWN(mag_completo!N24/(22),0)</f>
        <v>775</v>
      </c>
      <c r="E33" s="3">
        <f>ROUNDUP(C33/D33,0)</f>
        <v>4</v>
      </c>
      <c r="F33" s="34">
        <f>ROUNDUP(C33/mag_completo!Q24,0)</f>
        <v>813</v>
      </c>
      <c r="G33" s="3">
        <v>42</v>
      </c>
      <c r="H33" s="555"/>
      <c r="I33" s="549">
        <f t="shared" si="11"/>
        <v>20</v>
      </c>
      <c r="J33" s="549"/>
      <c r="K33" s="3">
        <f t="shared" ref="K33:K35" si="14">I33*45/60</f>
        <v>15</v>
      </c>
      <c r="L33">
        <f t="shared" si="12"/>
        <v>1.0467550593161201</v>
      </c>
      <c r="M33" s="3">
        <f t="shared" si="13"/>
        <v>2</v>
      </c>
      <c r="N33" s="551"/>
      <c r="O33" s="554"/>
      <c r="P33" s="559" t="s">
        <v>467</v>
      </c>
      <c r="Q33" s="560"/>
      <c r="R33" s="62">
        <v>14.33</v>
      </c>
    </row>
    <row r="34" spans="1:18" x14ac:dyDescent="0.2">
      <c r="A34" s="399" t="s">
        <v>32</v>
      </c>
      <c r="B34" s="400"/>
      <c r="C34" s="25">
        <f>mag_completo!T25</f>
        <v>3366</v>
      </c>
      <c r="D34" s="3">
        <f>ROUNDDOWN(mag_completo!N25/(22),0)</f>
        <v>1071</v>
      </c>
      <c r="E34" s="3">
        <f t="shared" ref="E34" si="15">ROUNDUP(C34/D34,0)</f>
        <v>4</v>
      </c>
      <c r="F34" s="34">
        <f>ROUNDUP(C34/mag_completo!Q25,0)</f>
        <v>842</v>
      </c>
      <c r="G34" s="3">
        <v>42</v>
      </c>
      <c r="H34" s="555"/>
      <c r="I34" s="549">
        <f t="shared" si="11"/>
        <v>21</v>
      </c>
      <c r="J34" s="549"/>
      <c r="K34" s="3">
        <f t="shared" si="14"/>
        <v>15.75</v>
      </c>
      <c r="L34">
        <f t="shared" si="12"/>
        <v>1.0990928122819261</v>
      </c>
      <c r="M34" s="3">
        <f t="shared" si="13"/>
        <v>2</v>
      </c>
      <c r="N34" s="551"/>
      <c r="O34" s="554"/>
      <c r="P34" s="559" t="s">
        <v>468</v>
      </c>
      <c r="Q34" s="560"/>
      <c r="R34" s="65">
        <v>32800</v>
      </c>
    </row>
    <row r="35" spans="1:18" x14ac:dyDescent="0.2">
      <c r="A35" s="399" t="s">
        <v>33</v>
      </c>
      <c r="B35" s="400"/>
      <c r="C35" s="25">
        <f>mag_completo!T26</f>
        <v>1442.5714285714287</v>
      </c>
      <c r="D35" s="3">
        <f>ROUNDDOWN(mag_completo!N26/(22),0)</f>
        <v>459</v>
      </c>
      <c r="E35" s="3">
        <f>ROUNDUP(C35/D35,0)</f>
        <v>4</v>
      </c>
      <c r="F35" s="34">
        <f>ROUNDUP(C35/mag_completo!Q26,0)</f>
        <v>481</v>
      </c>
      <c r="G35" s="3">
        <v>42</v>
      </c>
      <c r="H35" s="555"/>
      <c r="I35" s="549">
        <f t="shared" si="11"/>
        <v>12</v>
      </c>
      <c r="J35" s="549"/>
      <c r="K35" s="3">
        <f t="shared" si="14"/>
        <v>9</v>
      </c>
      <c r="L35">
        <f t="shared" si="12"/>
        <v>0.62805303558967196</v>
      </c>
      <c r="M35" s="3">
        <f t="shared" si="13"/>
        <v>1</v>
      </c>
      <c r="N35" s="551"/>
      <c r="O35" s="554"/>
    </row>
    <row r="36" spans="1:18" ht="16.5" customHeight="1" x14ac:dyDescent="0.2">
      <c r="A36" s="562" t="s">
        <v>469</v>
      </c>
      <c r="B36" s="563"/>
      <c r="C36" s="3" t="s">
        <v>470</v>
      </c>
      <c r="D36" s="3" t="s">
        <v>470</v>
      </c>
      <c r="E36" s="3">
        <v>5</v>
      </c>
      <c r="F36" s="139">
        <f>SUM(mag_completo!U15:U16)</f>
        <v>104</v>
      </c>
      <c r="G36" s="3">
        <v>33</v>
      </c>
      <c r="H36" s="568">
        <v>31680</v>
      </c>
      <c r="I36" s="549">
        <f t="shared" si="11"/>
        <v>4</v>
      </c>
      <c r="J36" s="549"/>
      <c r="K36" s="3">
        <f>I36*45/60</f>
        <v>3</v>
      </c>
      <c r="L36">
        <f t="shared" si="12"/>
        <v>0.209351011863224</v>
      </c>
      <c r="M36" s="3">
        <f t="shared" si="13"/>
        <v>1</v>
      </c>
      <c r="N36" s="551">
        <f>MAX(ROUNDUP(SUM(L38:L40,L36),0),ROUNDUP(SUM(L37,L36),0))+1</f>
        <v>6</v>
      </c>
      <c r="O36" s="554" t="s">
        <v>471</v>
      </c>
      <c r="P36" s="91"/>
      <c r="Q36" s="91"/>
    </row>
    <row r="37" spans="1:18" x14ac:dyDescent="0.2">
      <c r="A37" s="562" t="s">
        <v>472</v>
      </c>
      <c r="B37" s="563"/>
      <c r="C37" s="3" t="s">
        <v>470</v>
      </c>
      <c r="D37" s="3" t="s">
        <v>470</v>
      </c>
      <c r="E37" s="3">
        <v>3</v>
      </c>
      <c r="F37" s="139">
        <f>SUM(mag_completo!U17:U21)</f>
        <v>69</v>
      </c>
      <c r="G37" s="3">
        <v>33</v>
      </c>
      <c r="H37" s="568"/>
      <c r="I37" s="549">
        <f t="shared" si="11"/>
        <v>3</v>
      </c>
      <c r="J37" s="549"/>
      <c r="K37" s="3">
        <f>I37*45/60</f>
        <v>2.25</v>
      </c>
      <c r="L37">
        <f t="shared" si="12"/>
        <v>0.15701325889741799</v>
      </c>
      <c r="M37" s="3">
        <f t="shared" si="13"/>
        <v>1</v>
      </c>
      <c r="N37" s="551"/>
      <c r="O37" s="554"/>
      <c r="P37" s="92"/>
      <c r="Q37" s="98"/>
    </row>
    <row r="38" spans="1:18" x14ac:dyDescent="0.2">
      <c r="A38" s="562" t="s">
        <v>473</v>
      </c>
      <c r="B38" s="563"/>
      <c r="C38" s="3" t="s">
        <v>470</v>
      </c>
      <c r="D38" s="3" t="s">
        <v>470</v>
      </c>
      <c r="E38" s="3">
        <v>3</v>
      </c>
      <c r="F38" s="139">
        <f>SUM(mag_completo!U6,mag_completo!U7,mag_completo!U10,mag_completo!U11)</f>
        <v>2087</v>
      </c>
      <c r="G38" s="3">
        <v>27</v>
      </c>
      <c r="H38" s="140">
        <v>503</v>
      </c>
      <c r="I38" s="549">
        <f t="shared" si="11"/>
        <v>78</v>
      </c>
      <c r="J38" s="549"/>
      <c r="K38" s="3">
        <f>I38*45/60</f>
        <v>58.5</v>
      </c>
      <c r="L38">
        <f t="shared" si="12"/>
        <v>4.082344731332868</v>
      </c>
      <c r="M38" s="3">
        <f t="shared" si="13"/>
        <v>5</v>
      </c>
      <c r="N38" s="551"/>
      <c r="O38" s="554"/>
      <c r="P38" s="92"/>
      <c r="Q38" s="99"/>
    </row>
    <row r="39" spans="1:18" x14ac:dyDescent="0.2">
      <c r="A39" s="562" t="s">
        <v>474</v>
      </c>
      <c r="B39" s="563"/>
      <c r="C39" s="3" t="s">
        <v>470</v>
      </c>
      <c r="D39" s="3" t="s">
        <v>470</v>
      </c>
      <c r="E39" s="3">
        <v>3</v>
      </c>
      <c r="F39" s="139">
        <f>SUM(mag_completo!U8,mag_completo!U9,mag_completo!U12,mag_completo!U13)</f>
        <v>1157</v>
      </c>
      <c r="G39" s="3">
        <v>108</v>
      </c>
      <c r="H39" s="140">
        <v>2268</v>
      </c>
      <c r="I39" s="549">
        <f t="shared" si="11"/>
        <v>11</v>
      </c>
      <c r="J39" s="549"/>
      <c r="K39" s="3">
        <f>I39*45/60</f>
        <v>8.25</v>
      </c>
      <c r="L39">
        <f t="shared" si="12"/>
        <v>0.57571528262386606</v>
      </c>
      <c r="M39" s="3">
        <f t="shared" si="13"/>
        <v>1</v>
      </c>
      <c r="N39" s="551"/>
      <c r="O39" s="554"/>
      <c r="P39" s="91"/>
      <c r="Q39" s="91"/>
    </row>
    <row r="40" spans="1:18" ht="17" thickBot="1" x14ac:dyDescent="0.25">
      <c r="A40" s="565" t="s">
        <v>475</v>
      </c>
      <c r="B40" s="566"/>
      <c r="C40" s="35" t="s">
        <v>470</v>
      </c>
      <c r="D40" s="35" t="s">
        <v>470</v>
      </c>
      <c r="E40" s="35">
        <v>3</v>
      </c>
      <c r="F40" s="64">
        <f>SUM(mag_completo!U14)</f>
        <v>142</v>
      </c>
      <c r="G40" s="35">
        <v>117</v>
      </c>
      <c r="H40" s="66">
        <v>7605</v>
      </c>
      <c r="I40" s="550">
        <f t="shared" si="11"/>
        <v>2</v>
      </c>
      <c r="J40" s="550"/>
      <c r="K40" s="35">
        <f>I40*45/60</f>
        <v>1.5</v>
      </c>
      <c r="L40" s="36">
        <f t="shared" si="12"/>
        <v>0.104675505931612</v>
      </c>
      <c r="M40" s="35">
        <f t="shared" si="13"/>
        <v>1</v>
      </c>
      <c r="N40" s="564"/>
      <c r="O40" s="567"/>
      <c r="P40" t="s">
        <v>476</v>
      </c>
      <c r="Q40" s="97">
        <f>MAX(SUM(F36,F37),SUM(F36,F38:F40))</f>
        <v>3490</v>
      </c>
    </row>
    <row r="41" spans="1:18" x14ac:dyDescent="0.2">
      <c r="G41">
        <f>G40/3</f>
        <v>39</v>
      </c>
      <c r="H41">
        <f>H40/G41</f>
        <v>195</v>
      </c>
      <c r="J41">
        <f>SUM(I36,I38,I39,I40)</f>
        <v>95</v>
      </c>
    </row>
    <row r="43" spans="1:18" ht="17" thickBot="1" x14ac:dyDescent="0.25">
      <c r="C43" s="543" t="s">
        <v>477</v>
      </c>
      <c r="D43" s="544"/>
      <c r="E43" s="544"/>
      <c r="F43" s="544"/>
      <c r="G43" s="544"/>
      <c r="H43" s="544"/>
      <c r="I43" s="544"/>
      <c r="J43" s="545"/>
    </row>
    <row r="44" spans="1:18" ht="37" x14ac:dyDescent="0.2">
      <c r="C44" s="76" t="s">
        <v>478</v>
      </c>
      <c r="D44" s="77" t="s">
        <v>479</v>
      </c>
      <c r="E44" s="77" t="s">
        <v>480</v>
      </c>
      <c r="F44" s="77" t="s">
        <v>481</v>
      </c>
      <c r="G44" s="77" t="s">
        <v>482</v>
      </c>
      <c r="H44" s="77" t="s">
        <v>483</v>
      </c>
      <c r="I44" s="77" t="s">
        <v>484</v>
      </c>
      <c r="J44" s="78" t="s">
        <v>485</v>
      </c>
    </row>
    <row r="45" spans="1:18" x14ac:dyDescent="0.2">
      <c r="C45" s="79" t="s">
        <v>486</v>
      </c>
      <c r="D45" s="1">
        <v>4</v>
      </c>
      <c r="E45" s="1">
        <v>7</v>
      </c>
      <c r="F45" s="1">
        <f>D45*0.8</f>
        <v>3.2</v>
      </c>
      <c r="G45" s="1">
        <f>E45*1.4</f>
        <v>9.7999999999999989</v>
      </c>
      <c r="H45" s="8">
        <f>F45+0.8</f>
        <v>4</v>
      </c>
      <c r="I45" s="8">
        <f>G45</f>
        <v>9.7999999999999989</v>
      </c>
      <c r="J45" s="80">
        <f>I45*H45</f>
        <v>39.199999999999996</v>
      </c>
    </row>
    <row r="46" spans="1:18" x14ac:dyDescent="0.2">
      <c r="C46" s="79" t="s">
        <v>487</v>
      </c>
      <c r="D46" s="8">
        <v>4</v>
      </c>
      <c r="E46" s="8">
        <v>5</v>
      </c>
      <c r="F46" s="8">
        <f>D46*0.8</f>
        <v>3.2</v>
      </c>
      <c r="G46" s="8">
        <f>E46*1.2</f>
        <v>6</v>
      </c>
      <c r="H46" s="8">
        <f>F46+0.8</f>
        <v>4</v>
      </c>
      <c r="I46" s="8">
        <f>G46</f>
        <v>6</v>
      </c>
      <c r="J46" s="80">
        <f>I46*H46</f>
        <v>24</v>
      </c>
    </row>
    <row r="47" spans="1:18" ht="17" thickBot="1" x14ac:dyDescent="0.25">
      <c r="C47" s="81" t="s">
        <v>488</v>
      </c>
      <c r="D47" s="82">
        <v>4</v>
      </c>
      <c r="E47" s="82">
        <v>8</v>
      </c>
      <c r="F47" s="82">
        <f>D47*0.8</f>
        <v>3.2</v>
      </c>
      <c r="G47" s="141">
        <f>E47*1.4</f>
        <v>11.2</v>
      </c>
      <c r="H47" s="82">
        <f>F47+0.8</f>
        <v>4</v>
      </c>
      <c r="I47" s="82">
        <f>G47</f>
        <v>11.2</v>
      </c>
      <c r="J47" s="83">
        <f>I47*H47</f>
        <v>44.8</v>
      </c>
    </row>
    <row r="50" spans="1:5" ht="51" x14ac:dyDescent="0.2">
      <c r="A50" s="561" t="s">
        <v>489</v>
      </c>
      <c r="B50" s="561"/>
      <c r="C50" s="58" t="s">
        <v>14</v>
      </c>
      <c r="D50" s="86" t="s">
        <v>490</v>
      </c>
    </row>
    <row r="51" spans="1:5" x14ac:dyDescent="0.2">
      <c r="A51" s="456" t="s">
        <v>491</v>
      </c>
      <c r="B51" s="456"/>
      <c r="C51" s="3">
        <f>mag_completo!U6</f>
        <v>594</v>
      </c>
      <c r="D51" s="85">
        <f t="shared" ref="D51:D66" si="16">C51/$R$33</f>
        <v>41.451500348918351</v>
      </c>
      <c r="E51" s="546" t="s">
        <v>492</v>
      </c>
    </row>
    <row r="52" spans="1:5" x14ac:dyDescent="0.2">
      <c r="A52" s="456" t="s">
        <v>493</v>
      </c>
      <c r="B52" s="456"/>
      <c r="C52" s="3">
        <f>mag_completo!U7</f>
        <v>594</v>
      </c>
      <c r="D52" s="85">
        <f t="shared" si="16"/>
        <v>41.451500348918351</v>
      </c>
      <c r="E52" s="546"/>
    </row>
    <row r="53" spans="1:5" x14ac:dyDescent="0.2">
      <c r="A53" s="456" t="s">
        <v>494</v>
      </c>
      <c r="B53" s="456"/>
      <c r="C53" s="3">
        <f>mag_completo!U8</f>
        <v>356</v>
      </c>
      <c r="D53" s="85">
        <f t="shared" si="16"/>
        <v>24.842986741102582</v>
      </c>
      <c r="E53" s="546"/>
    </row>
    <row r="54" spans="1:5" x14ac:dyDescent="0.2">
      <c r="A54" s="456" t="s">
        <v>495</v>
      </c>
      <c r="B54" s="456"/>
      <c r="C54" s="3">
        <f>mag_completo!U9</f>
        <v>297</v>
      </c>
      <c r="D54" s="85">
        <f t="shared" si="16"/>
        <v>20.725750174459176</v>
      </c>
      <c r="E54" s="546"/>
    </row>
    <row r="55" spans="1:5" x14ac:dyDescent="0.2">
      <c r="A55" s="456" t="s">
        <v>46</v>
      </c>
      <c r="B55" s="456"/>
      <c r="C55" s="3">
        <f>mag_completo!U10</f>
        <v>547</v>
      </c>
      <c r="D55" s="85">
        <f t="shared" si="16"/>
        <v>38.171667829727845</v>
      </c>
      <c r="E55" s="546"/>
    </row>
    <row r="56" spans="1:5" x14ac:dyDescent="0.2">
      <c r="A56" s="456" t="s">
        <v>51</v>
      </c>
      <c r="B56" s="456"/>
      <c r="C56" s="3">
        <f>mag_completo!U11</f>
        <v>352</v>
      </c>
      <c r="D56" s="85">
        <f t="shared" si="16"/>
        <v>24.563852058618284</v>
      </c>
      <c r="E56" s="546"/>
    </row>
    <row r="57" spans="1:5" x14ac:dyDescent="0.2">
      <c r="A57" s="456" t="s">
        <v>54</v>
      </c>
      <c r="B57" s="456"/>
      <c r="C57" s="3">
        <f>mag_completo!U12</f>
        <v>328</v>
      </c>
      <c r="D57" s="85">
        <f t="shared" si="16"/>
        <v>22.889043963712492</v>
      </c>
      <c r="E57" s="546"/>
    </row>
    <row r="58" spans="1:5" x14ac:dyDescent="0.2">
      <c r="A58" s="456" t="s">
        <v>58</v>
      </c>
      <c r="B58" s="456"/>
      <c r="C58" s="3">
        <f>mag_completo!U13</f>
        <v>176</v>
      </c>
      <c r="D58" s="85">
        <f t="shared" si="16"/>
        <v>12.281926029309142</v>
      </c>
      <c r="E58" s="546"/>
    </row>
    <row r="59" spans="1:5" x14ac:dyDescent="0.2">
      <c r="A59" s="456" t="s">
        <v>496</v>
      </c>
      <c r="B59" s="456"/>
      <c r="C59" s="3">
        <f>mag_completo!U14</f>
        <v>142</v>
      </c>
      <c r="D59" s="85">
        <f t="shared" si="16"/>
        <v>9.9092812281926026</v>
      </c>
      <c r="E59" s="546"/>
    </row>
    <row r="60" spans="1:5" x14ac:dyDescent="0.2">
      <c r="A60" s="456" t="s">
        <v>497</v>
      </c>
      <c r="B60" s="456"/>
      <c r="C60" s="3">
        <f>mag_completo!U15</f>
        <v>74</v>
      </c>
      <c r="D60" s="85">
        <f t="shared" si="16"/>
        <v>5.1639916259595253</v>
      </c>
      <c r="E60" s="546"/>
    </row>
    <row r="61" spans="1:5" x14ac:dyDescent="0.2">
      <c r="A61" s="456" t="s">
        <v>498</v>
      </c>
      <c r="B61" s="456"/>
      <c r="C61" s="3">
        <f>mag_completo!U16</f>
        <v>30</v>
      </c>
      <c r="D61" s="85">
        <f t="shared" si="16"/>
        <v>2.0935101186322402</v>
      </c>
      <c r="E61" s="546"/>
    </row>
    <row r="62" spans="1:5" x14ac:dyDescent="0.2">
      <c r="A62" s="456" t="s">
        <v>499</v>
      </c>
      <c r="B62" s="456"/>
      <c r="C62" s="3">
        <f>mag_completo!U17</f>
        <v>9</v>
      </c>
      <c r="D62" s="85">
        <f t="shared" si="16"/>
        <v>0.62805303558967196</v>
      </c>
      <c r="E62" s="546"/>
    </row>
    <row r="63" spans="1:5" x14ac:dyDescent="0.2">
      <c r="A63" s="456" t="s">
        <v>62</v>
      </c>
      <c r="B63" s="456"/>
      <c r="C63" s="3">
        <f>mag_completo!U18</f>
        <v>9</v>
      </c>
      <c r="D63" s="85">
        <f t="shared" si="16"/>
        <v>0.62805303558967196</v>
      </c>
      <c r="E63" s="546"/>
    </row>
    <row r="64" spans="1:5" x14ac:dyDescent="0.2">
      <c r="A64" s="456" t="s">
        <v>500</v>
      </c>
      <c r="B64" s="456"/>
      <c r="C64" s="3">
        <f>mag_completo!U19</f>
        <v>6</v>
      </c>
      <c r="D64" s="85">
        <f t="shared" si="16"/>
        <v>0.41870202372644799</v>
      </c>
      <c r="E64" s="546"/>
    </row>
    <row r="65" spans="1:5" x14ac:dyDescent="0.2">
      <c r="A65" s="456" t="s">
        <v>67</v>
      </c>
      <c r="B65" s="456"/>
      <c r="C65" s="3">
        <f>mag_completo!U20</f>
        <v>4</v>
      </c>
      <c r="D65" s="85">
        <f t="shared" si="16"/>
        <v>0.27913468248429868</v>
      </c>
      <c r="E65" s="546"/>
    </row>
    <row r="66" spans="1:5" x14ac:dyDescent="0.2">
      <c r="A66" s="456" t="s">
        <v>501</v>
      </c>
      <c r="B66" s="456"/>
      <c r="C66" s="3">
        <f>mag_completo!U21</f>
        <v>41</v>
      </c>
      <c r="D66" s="85">
        <f t="shared" si="16"/>
        <v>2.8611304954640615</v>
      </c>
      <c r="E66" s="546"/>
    </row>
    <row r="67" spans="1:5" x14ac:dyDescent="0.2">
      <c r="C67" s="3"/>
      <c r="D67" s="85"/>
    </row>
    <row r="68" spans="1:5" x14ac:dyDescent="0.2">
      <c r="A68" s="456" t="s">
        <v>502</v>
      </c>
      <c r="B68" s="456"/>
      <c r="C68" s="3">
        <f>mag_completo!U23</f>
        <v>914</v>
      </c>
      <c r="D68" s="85">
        <f>C68/$R$33</f>
        <v>63.782274947662245</v>
      </c>
      <c r="E68" s="547" t="s">
        <v>503</v>
      </c>
    </row>
    <row r="69" spans="1:5" x14ac:dyDescent="0.2">
      <c r="A69" s="456" t="s">
        <v>504</v>
      </c>
      <c r="B69" s="456"/>
      <c r="C69" s="3">
        <f>mag_completo!U24</f>
        <v>813</v>
      </c>
      <c r="D69" s="85">
        <f>C69/$R$33</f>
        <v>56.734124214933708</v>
      </c>
      <c r="E69" s="548"/>
    </row>
    <row r="70" spans="1:5" x14ac:dyDescent="0.2">
      <c r="A70" s="456" t="s">
        <v>72</v>
      </c>
      <c r="B70" s="456"/>
      <c r="C70" s="3">
        <f>mag_completo!U25</f>
        <v>842</v>
      </c>
      <c r="D70" s="85">
        <f>C70/$R$33</f>
        <v>58.757850662944868</v>
      </c>
      <c r="E70" s="548"/>
    </row>
    <row r="71" spans="1:5" x14ac:dyDescent="0.2">
      <c r="A71" s="456" t="s">
        <v>75</v>
      </c>
      <c r="B71" s="456"/>
      <c r="C71" s="3">
        <f>mag_completo!U26</f>
        <v>481</v>
      </c>
      <c r="D71" s="85">
        <f>C71/$R$33</f>
        <v>33.565945568736915</v>
      </c>
      <c r="E71" s="548"/>
    </row>
    <row r="72" spans="1:5" x14ac:dyDescent="0.2">
      <c r="C72" s="3"/>
      <c r="D72" s="85"/>
    </row>
    <row r="73" spans="1:5" x14ac:dyDescent="0.2">
      <c r="A73" s="456" t="s">
        <v>505</v>
      </c>
      <c r="B73" s="456"/>
      <c r="C73" s="3">
        <f>mag_completo!U28</f>
        <v>1066</v>
      </c>
      <c r="D73" s="85">
        <f>C73/$R$33</f>
        <v>74.389392882065593</v>
      </c>
      <c r="E73" s="546" t="s">
        <v>506</v>
      </c>
    </row>
    <row r="74" spans="1:5" x14ac:dyDescent="0.2">
      <c r="A74" s="456" t="s">
        <v>507</v>
      </c>
      <c r="B74" s="456"/>
      <c r="C74" s="3">
        <f>mag_completo!U29</f>
        <v>1066</v>
      </c>
      <c r="D74" s="85">
        <f>C74/$R$33</f>
        <v>74.389392882065593</v>
      </c>
      <c r="E74" s="546"/>
    </row>
    <row r="75" spans="1:5" x14ac:dyDescent="0.2">
      <c r="A75" s="456" t="s">
        <v>78</v>
      </c>
      <c r="B75" s="456"/>
      <c r="C75" s="3">
        <f>mag_completo!U30</f>
        <v>1002</v>
      </c>
      <c r="D75" s="85">
        <f>C75/$R$33</f>
        <v>69.923237962316819</v>
      </c>
      <c r="E75" s="546"/>
    </row>
    <row r="76" spans="1:5" x14ac:dyDescent="0.2">
      <c r="A76" s="456" t="s">
        <v>82</v>
      </c>
      <c r="B76" s="456"/>
      <c r="C76" s="3">
        <f>mag_completo!U31</f>
        <v>645</v>
      </c>
      <c r="D76" s="85">
        <f>C76/$R$33</f>
        <v>45.010467550593162</v>
      </c>
      <c r="E76" s="546"/>
    </row>
  </sheetData>
  <mergeCells count="65">
    <mergeCell ref="A30:O30"/>
    <mergeCell ref="P33:Q33"/>
    <mergeCell ref="P34:Q34"/>
    <mergeCell ref="A50:B50"/>
    <mergeCell ref="A37:B37"/>
    <mergeCell ref="C43:J43"/>
    <mergeCell ref="N36:N40"/>
    <mergeCell ref="A38:B38"/>
    <mergeCell ref="A40:B40"/>
    <mergeCell ref="A36:B36"/>
    <mergeCell ref="O36:O40"/>
    <mergeCell ref="H36:H37"/>
    <mergeCell ref="I36:J36"/>
    <mergeCell ref="I37:J37"/>
    <mergeCell ref="A39:B39"/>
    <mergeCell ref="I31:J31"/>
    <mergeCell ref="A1:V1"/>
    <mergeCell ref="A31:B31"/>
    <mergeCell ref="A32:B32"/>
    <mergeCell ref="A33:B33"/>
    <mergeCell ref="A34:B34"/>
    <mergeCell ref="A13:B13"/>
    <mergeCell ref="A14:B14"/>
    <mergeCell ref="A15:B15"/>
    <mergeCell ref="A16:B16"/>
    <mergeCell ref="O32:O35"/>
    <mergeCell ref="A35:B35"/>
    <mergeCell ref="H32:H35"/>
    <mergeCell ref="I32:J32"/>
    <mergeCell ref="I33:J33"/>
    <mergeCell ref="I34:J34"/>
    <mergeCell ref="I35:J35"/>
    <mergeCell ref="A54:B54"/>
    <mergeCell ref="A53:B53"/>
    <mergeCell ref="A52:B52"/>
    <mergeCell ref="A61:B61"/>
    <mergeCell ref="A60:B60"/>
    <mergeCell ref="A59:B59"/>
    <mergeCell ref="A58:B58"/>
    <mergeCell ref="A66:B66"/>
    <mergeCell ref="A65:B65"/>
    <mergeCell ref="A64:B64"/>
    <mergeCell ref="A63:B63"/>
    <mergeCell ref="A62:B62"/>
    <mergeCell ref="E68:E71"/>
    <mergeCell ref="I38:J38"/>
    <mergeCell ref="I39:J39"/>
    <mergeCell ref="I40:J40"/>
    <mergeCell ref="N32:N35"/>
    <mergeCell ref="B6:B8"/>
    <mergeCell ref="A51:B51"/>
    <mergeCell ref="A76:B76"/>
    <mergeCell ref="A75:B75"/>
    <mergeCell ref="A74:B74"/>
    <mergeCell ref="A73:B73"/>
    <mergeCell ref="A71:B71"/>
    <mergeCell ref="A70:B70"/>
    <mergeCell ref="A69:B69"/>
    <mergeCell ref="A68:B68"/>
    <mergeCell ref="A56:B56"/>
    <mergeCell ref="A55:B55"/>
    <mergeCell ref="A57:B57"/>
    <mergeCell ref="A12:P12"/>
    <mergeCell ref="E51:E66"/>
    <mergeCell ref="E73:E76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D487D-5C5A-4A7A-B831-126E30847E49}">
  <dimension ref="B4:AK100"/>
  <sheetViews>
    <sheetView topLeftCell="A17" zoomScale="50" zoomScaleNormal="85" workbookViewId="0">
      <selection activeCell="AC50" sqref="AC50"/>
    </sheetView>
  </sheetViews>
  <sheetFormatPr baseColWidth="10" defaultColWidth="8.5" defaultRowHeight="16" x14ac:dyDescent="0.2"/>
  <cols>
    <col min="2" max="2" width="12" bestFit="1" customWidth="1"/>
    <col min="7" max="7" width="11.5" bestFit="1" customWidth="1"/>
    <col min="8" max="8" width="9.5" bestFit="1" customWidth="1"/>
    <col min="9" max="9" width="12.5" bestFit="1" customWidth="1"/>
    <col min="20" max="20" width="16" bestFit="1" customWidth="1"/>
    <col min="23" max="23" width="15.5" bestFit="1" customWidth="1"/>
    <col min="24" max="24" width="12.5" bestFit="1" customWidth="1"/>
    <col min="25" max="25" width="14" bestFit="1" customWidth="1"/>
    <col min="26" max="26" width="12.5" bestFit="1" customWidth="1"/>
    <col min="27" max="27" width="9.5" bestFit="1" customWidth="1"/>
    <col min="28" max="28" width="9" bestFit="1" customWidth="1"/>
    <col min="29" max="29" width="10.5" bestFit="1" customWidth="1"/>
    <col min="30" max="30" width="9" bestFit="1" customWidth="1"/>
    <col min="32" max="32" width="13.5" bestFit="1" customWidth="1"/>
  </cols>
  <sheetData>
    <row r="4" spans="2:22" ht="22" x14ac:dyDescent="0.3">
      <c r="B4" s="233" t="s">
        <v>508</v>
      </c>
    </row>
    <row r="6" spans="2:22" x14ac:dyDescent="0.2">
      <c r="D6" t="s">
        <v>509</v>
      </c>
      <c r="E6" t="s">
        <v>510</v>
      </c>
      <c r="G6" t="s">
        <v>511</v>
      </c>
      <c r="I6" t="s">
        <v>512</v>
      </c>
      <c r="K6" t="s">
        <v>350</v>
      </c>
      <c r="M6" t="s">
        <v>513</v>
      </c>
      <c r="P6" t="s">
        <v>514</v>
      </c>
    </row>
    <row r="7" spans="2:22" x14ac:dyDescent="0.2">
      <c r="C7" t="s">
        <v>515</v>
      </c>
      <c r="D7">
        <f>1200</f>
        <v>1200</v>
      </c>
      <c r="E7">
        <f>800</f>
        <v>800</v>
      </c>
      <c r="G7">
        <f>17050*6300/1000000</f>
        <v>107.41500000000001</v>
      </c>
      <c r="I7">
        <v>17050</v>
      </c>
      <c r="K7">
        <v>6300</v>
      </c>
      <c r="M7">
        <f>(D7+0.1*D7)*12</f>
        <v>15840</v>
      </c>
    </row>
    <row r="10" spans="2:22" x14ac:dyDescent="0.2">
      <c r="D10" t="s">
        <v>516</v>
      </c>
      <c r="E10" t="s">
        <v>517</v>
      </c>
      <c r="F10" t="s">
        <v>518</v>
      </c>
      <c r="O10" t="s">
        <v>516</v>
      </c>
      <c r="P10" t="s">
        <v>517</v>
      </c>
      <c r="Q10" t="s">
        <v>518</v>
      </c>
    </row>
    <row r="11" spans="2:22" x14ac:dyDescent="0.2">
      <c r="C11" s="188" t="s">
        <v>30</v>
      </c>
      <c r="D11">
        <f>14.33*60</f>
        <v>859.8</v>
      </c>
      <c r="E11">
        <f>D11/(mag_completo!J23/22)</f>
        <v>0.73942208462332304</v>
      </c>
      <c r="F11">
        <f>ROUNDUP(D11/E11,0)</f>
        <v>1163</v>
      </c>
      <c r="H11">
        <f>E11*4</f>
        <v>2.9576883384932922</v>
      </c>
      <c r="N11" s="188" t="s">
        <v>31</v>
      </c>
      <c r="O11">
        <f>14.33*60</f>
        <v>859.8</v>
      </c>
      <c r="P11">
        <f>O11/(mag_completo!K24/22)</f>
        <v>1.1091331269349844</v>
      </c>
      <c r="Q11">
        <f>ROUNDUP(O11/P11,0)</f>
        <v>776</v>
      </c>
      <c r="S11">
        <f>P11*3</f>
        <v>3.3273993808049536</v>
      </c>
    </row>
    <row r="14" spans="2:22" x14ac:dyDescent="0.2">
      <c r="C14" t="s">
        <v>519</v>
      </c>
      <c r="G14" t="s">
        <v>520</v>
      </c>
      <c r="H14" t="s">
        <v>521</v>
      </c>
      <c r="I14" t="s">
        <v>522</v>
      </c>
      <c r="J14" t="s">
        <v>523</v>
      </c>
      <c r="N14" t="s">
        <v>519</v>
      </c>
      <c r="R14" t="s">
        <v>520</v>
      </c>
      <c r="S14" t="s">
        <v>521</v>
      </c>
      <c r="T14" t="s">
        <v>522</v>
      </c>
    </row>
    <row r="15" spans="2:22" x14ac:dyDescent="0.2">
      <c r="C15" s="189" t="s">
        <v>524</v>
      </c>
      <c r="D15" s="189"/>
      <c r="E15">
        <f>1</f>
        <v>1</v>
      </c>
      <c r="G15">
        <v>20</v>
      </c>
      <c r="H15" s="3">
        <v>8</v>
      </c>
      <c r="I15" s="197">
        <f>H15*G15</f>
        <v>160</v>
      </c>
      <c r="J15" t="s">
        <v>525</v>
      </c>
      <c r="K15">
        <f>I15*2</f>
        <v>320</v>
      </c>
      <c r="N15" s="189" t="s">
        <v>524</v>
      </c>
      <c r="O15" s="189"/>
      <c r="P15" s="104">
        <f>2</f>
        <v>2</v>
      </c>
      <c r="R15">
        <v>20</v>
      </c>
      <c r="S15" s="3">
        <v>8</v>
      </c>
      <c r="T15" s="197">
        <f>S15*R15</f>
        <v>160</v>
      </c>
      <c r="U15" t="s">
        <v>525</v>
      </c>
      <c r="V15">
        <f>T15*2</f>
        <v>320</v>
      </c>
    </row>
    <row r="16" spans="2:22" x14ac:dyDescent="0.2">
      <c r="C16" s="189" t="s">
        <v>526</v>
      </c>
      <c r="D16" s="189"/>
      <c r="E16">
        <f>1</f>
        <v>1</v>
      </c>
      <c r="G16">
        <v>50</v>
      </c>
      <c r="H16" s="3">
        <v>8</v>
      </c>
      <c r="I16" s="197">
        <f t="shared" ref="I16:I18" si="0">H16*G16</f>
        <v>400</v>
      </c>
      <c r="J16" t="s">
        <v>527</v>
      </c>
      <c r="K16">
        <f>I16</f>
        <v>400</v>
      </c>
      <c r="N16" s="189" t="s">
        <v>526</v>
      </c>
      <c r="O16" s="189"/>
      <c r="P16">
        <f>2</f>
        <v>2</v>
      </c>
      <c r="R16">
        <v>50</v>
      </c>
      <c r="S16" s="3">
        <v>8</v>
      </c>
      <c r="T16" s="197">
        <f t="shared" ref="T16:T18" si="1">S16*R16</f>
        <v>400</v>
      </c>
      <c r="U16" t="s">
        <v>527</v>
      </c>
      <c r="V16">
        <f>T16</f>
        <v>400</v>
      </c>
    </row>
    <row r="17" spans="3:22" x14ac:dyDescent="0.2">
      <c r="C17" s="189" t="s">
        <v>528</v>
      </c>
      <c r="D17" s="189"/>
      <c r="E17">
        <f>1</f>
        <v>1</v>
      </c>
      <c r="G17">
        <v>50</v>
      </c>
      <c r="H17" s="3">
        <v>8</v>
      </c>
      <c r="I17" s="198">
        <f t="shared" si="0"/>
        <v>400</v>
      </c>
      <c r="J17" t="s">
        <v>527</v>
      </c>
      <c r="K17">
        <f>I17</f>
        <v>400</v>
      </c>
      <c r="N17" s="189" t="s">
        <v>529</v>
      </c>
      <c r="O17" s="189"/>
      <c r="P17">
        <f>1</f>
        <v>1</v>
      </c>
      <c r="R17">
        <v>50</v>
      </c>
      <c r="S17" s="3">
        <v>8</v>
      </c>
      <c r="T17" s="198">
        <f t="shared" si="1"/>
        <v>400</v>
      </c>
      <c r="U17" t="s">
        <v>527</v>
      </c>
      <c r="V17">
        <f>T17</f>
        <v>400</v>
      </c>
    </row>
    <row r="18" spans="3:22" x14ac:dyDescent="0.2">
      <c r="C18" s="189" t="s">
        <v>530</v>
      </c>
      <c r="D18" s="189"/>
      <c r="E18">
        <f>1</f>
        <v>1</v>
      </c>
      <c r="G18">
        <v>16</v>
      </c>
      <c r="H18" s="3">
        <v>8</v>
      </c>
      <c r="I18" s="197">
        <f t="shared" si="0"/>
        <v>128</v>
      </c>
      <c r="J18" t="s">
        <v>531</v>
      </c>
      <c r="K18">
        <f>I18*3</f>
        <v>384</v>
      </c>
      <c r="N18" s="189" t="s">
        <v>530</v>
      </c>
      <c r="O18" s="189"/>
      <c r="P18">
        <f>1</f>
        <v>1</v>
      </c>
      <c r="R18">
        <v>16</v>
      </c>
      <c r="S18" s="3">
        <v>8</v>
      </c>
      <c r="T18" s="197">
        <f t="shared" si="1"/>
        <v>128</v>
      </c>
      <c r="U18" t="s">
        <v>531</v>
      </c>
      <c r="V18">
        <f>T18*3</f>
        <v>384</v>
      </c>
    </row>
    <row r="19" spans="3:22" x14ac:dyDescent="0.2">
      <c r="C19" s="189" t="s">
        <v>532</v>
      </c>
      <c r="D19" s="189"/>
      <c r="E19">
        <v>1</v>
      </c>
      <c r="N19" s="189" t="s">
        <v>532</v>
      </c>
      <c r="O19" s="189"/>
      <c r="P19">
        <v>1</v>
      </c>
    </row>
    <row r="23" spans="3:22" x14ac:dyDescent="0.2">
      <c r="D23" t="s">
        <v>516</v>
      </c>
      <c r="E23" t="s">
        <v>517</v>
      </c>
      <c r="F23" t="s">
        <v>518</v>
      </c>
      <c r="O23" t="s">
        <v>516</v>
      </c>
      <c r="P23" t="s">
        <v>517</v>
      </c>
      <c r="Q23" t="s">
        <v>518</v>
      </c>
    </row>
    <row r="24" spans="3:22" x14ac:dyDescent="0.2">
      <c r="C24" s="188" t="s">
        <v>32</v>
      </c>
      <c r="D24">
        <f>14.33*60</f>
        <v>859.8</v>
      </c>
      <c r="E24">
        <f>D24/(mag_completo!L25/22)</f>
        <v>0.8028011204481792</v>
      </c>
      <c r="F24">
        <f>ROUNDUP(D24/E24,0)</f>
        <v>1071</v>
      </c>
      <c r="H24">
        <f>E24*4</f>
        <v>3.2112044817927168</v>
      </c>
      <c r="N24" s="188" t="s">
        <v>33</v>
      </c>
      <c r="O24">
        <f>14.33*60</f>
        <v>859.8</v>
      </c>
      <c r="P24">
        <f>O24/(mag_completo!M26/22)</f>
        <v>1.873202614379085</v>
      </c>
      <c r="Q24">
        <f>ROUNDUP(O24/P24,0)</f>
        <v>459</v>
      </c>
      <c r="S24">
        <f>P24*2</f>
        <v>3.7464052287581699</v>
      </c>
    </row>
    <row r="27" spans="3:22" x14ac:dyDescent="0.2">
      <c r="C27" t="s">
        <v>519</v>
      </c>
      <c r="G27" t="s">
        <v>520</v>
      </c>
      <c r="H27" t="s">
        <v>521</v>
      </c>
      <c r="I27" t="s">
        <v>522</v>
      </c>
      <c r="N27" t="s">
        <v>519</v>
      </c>
      <c r="R27" t="s">
        <v>520</v>
      </c>
      <c r="S27" t="s">
        <v>521</v>
      </c>
      <c r="T27" t="s">
        <v>522</v>
      </c>
    </row>
    <row r="28" spans="3:22" x14ac:dyDescent="0.2">
      <c r="C28" s="189" t="s">
        <v>524</v>
      </c>
      <c r="D28" s="189"/>
      <c r="E28">
        <f>1</f>
        <v>1</v>
      </c>
      <c r="G28">
        <v>20</v>
      </c>
      <c r="H28" s="3">
        <v>8</v>
      </c>
      <c r="I28" s="197">
        <f>H28*G28</f>
        <v>160</v>
      </c>
      <c r="J28" t="s">
        <v>525</v>
      </c>
      <c r="K28">
        <f>I28*2</f>
        <v>320</v>
      </c>
      <c r="N28" s="189" t="s">
        <v>524</v>
      </c>
      <c r="O28" s="189"/>
      <c r="P28">
        <f>2</f>
        <v>2</v>
      </c>
      <c r="R28">
        <v>20</v>
      </c>
      <c r="S28" s="3">
        <v>8</v>
      </c>
      <c r="T28" s="197">
        <f>S28*R28</f>
        <v>160</v>
      </c>
      <c r="U28" t="s">
        <v>525</v>
      </c>
      <c r="V28">
        <f>T28*2</f>
        <v>320</v>
      </c>
    </row>
    <row r="29" spans="3:22" x14ac:dyDescent="0.2">
      <c r="C29" s="189" t="s">
        <v>526</v>
      </c>
      <c r="D29" s="189"/>
      <c r="E29">
        <f>1</f>
        <v>1</v>
      </c>
      <c r="G29">
        <v>50</v>
      </c>
      <c r="H29" s="3">
        <v>8</v>
      </c>
      <c r="I29" s="197">
        <f t="shared" ref="I29:I31" si="2">H29*G29</f>
        <v>400</v>
      </c>
      <c r="J29" t="s">
        <v>527</v>
      </c>
      <c r="K29">
        <f>I29</f>
        <v>400</v>
      </c>
      <c r="N29" s="189" t="s">
        <v>526</v>
      </c>
      <c r="O29" s="189"/>
      <c r="P29">
        <f>2</f>
        <v>2</v>
      </c>
      <c r="R29">
        <v>50</v>
      </c>
      <c r="S29" s="3">
        <v>8</v>
      </c>
      <c r="T29" s="197">
        <f t="shared" ref="T29:T31" si="3">S29*R29</f>
        <v>400</v>
      </c>
      <c r="U29" t="s">
        <v>527</v>
      </c>
      <c r="V29">
        <f>T29</f>
        <v>400</v>
      </c>
    </row>
    <row r="30" spans="3:22" x14ac:dyDescent="0.2">
      <c r="C30" s="189" t="s">
        <v>533</v>
      </c>
      <c r="D30" s="189"/>
      <c r="E30">
        <f>1</f>
        <v>1</v>
      </c>
      <c r="G30">
        <v>50</v>
      </c>
      <c r="H30" s="3">
        <v>8</v>
      </c>
      <c r="I30" s="198">
        <f t="shared" si="2"/>
        <v>400</v>
      </c>
      <c r="J30" t="s">
        <v>527</v>
      </c>
      <c r="K30">
        <f>I30</f>
        <v>400</v>
      </c>
      <c r="N30" s="189" t="s">
        <v>534</v>
      </c>
      <c r="O30" s="189"/>
      <c r="P30">
        <f>1</f>
        <v>1</v>
      </c>
      <c r="R30">
        <v>50</v>
      </c>
      <c r="S30" s="3">
        <v>8</v>
      </c>
      <c r="T30" s="198">
        <f t="shared" si="3"/>
        <v>400</v>
      </c>
      <c r="U30" t="s">
        <v>527</v>
      </c>
      <c r="V30">
        <f>T30</f>
        <v>400</v>
      </c>
    </row>
    <row r="31" spans="3:22" x14ac:dyDescent="0.2">
      <c r="C31" s="189" t="s">
        <v>530</v>
      </c>
      <c r="D31" s="189"/>
      <c r="E31">
        <f>1</f>
        <v>1</v>
      </c>
      <c r="G31">
        <v>16</v>
      </c>
      <c r="H31" s="3">
        <v>8</v>
      </c>
      <c r="I31" s="197">
        <f t="shared" si="2"/>
        <v>128</v>
      </c>
      <c r="J31" t="s">
        <v>531</v>
      </c>
      <c r="K31">
        <f>I31*3</f>
        <v>384</v>
      </c>
      <c r="N31" s="189" t="s">
        <v>530</v>
      </c>
      <c r="O31" s="189"/>
      <c r="P31">
        <f>1</f>
        <v>1</v>
      </c>
      <c r="R31">
        <v>16</v>
      </c>
      <c r="S31" s="3">
        <v>8</v>
      </c>
      <c r="T31" s="197">
        <f t="shared" si="3"/>
        <v>128</v>
      </c>
      <c r="U31" t="s">
        <v>531</v>
      </c>
      <c r="V31">
        <f>T31*3</f>
        <v>384</v>
      </c>
    </row>
    <row r="32" spans="3:22" x14ac:dyDescent="0.2">
      <c r="C32" s="189" t="s">
        <v>532</v>
      </c>
      <c r="D32" s="189"/>
      <c r="E32">
        <v>1</v>
      </c>
      <c r="N32" s="189" t="s">
        <v>532</v>
      </c>
      <c r="O32" s="189"/>
      <c r="P32">
        <v>1</v>
      </c>
    </row>
    <row r="35" spans="3:32" x14ac:dyDescent="0.2">
      <c r="F35" s="143"/>
    </row>
    <row r="36" spans="3:32" ht="22" x14ac:dyDescent="0.3">
      <c r="C36" s="188" t="s">
        <v>535</v>
      </c>
      <c r="O36" s="233" t="s">
        <v>536</v>
      </c>
    </row>
    <row r="38" spans="3:32" x14ac:dyDescent="0.2">
      <c r="C38" t="s">
        <v>519</v>
      </c>
      <c r="E38" t="s">
        <v>537</v>
      </c>
      <c r="F38" t="s">
        <v>538</v>
      </c>
      <c r="G38" t="s">
        <v>520</v>
      </c>
      <c r="H38" t="s">
        <v>521</v>
      </c>
      <c r="I38" t="s">
        <v>522</v>
      </c>
      <c r="L38" t="s">
        <v>539</v>
      </c>
      <c r="AB38" s="571" t="s">
        <v>540</v>
      </c>
      <c r="AC38" s="571"/>
      <c r="AD38" s="571"/>
      <c r="AE38" s="571"/>
      <c r="AF38" s="571"/>
    </row>
    <row r="39" spans="3:32" x14ac:dyDescent="0.2">
      <c r="C39" s="189" t="s">
        <v>524</v>
      </c>
      <c r="D39" s="189"/>
      <c r="E39">
        <f>1</f>
        <v>1</v>
      </c>
      <c r="F39">
        <v>2</v>
      </c>
      <c r="G39">
        <v>20</v>
      </c>
      <c r="H39" s="3">
        <v>8</v>
      </c>
      <c r="I39" s="197">
        <f>H39*G39</f>
        <v>160</v>
      </c>
      <c r="J39" t="s">
        <v>531</v>
      </c>
      <c r="K39">
        <f>I39*3</f>
        <v>480</v>
      </c>
      <c r="P39" s="203" t="s">
        <v>541</v>
      </c>
      <c r="Q39" s="203"/>
      <c r="T39" s="231" t="s">
        <v>542</v>
      </c>
      <c r="U39">
        <f>4.16</f>
        <v>4.16</v>
      </c>
      <c r="V39" t="s">
        <v>363</v>
      </c>
      <c r="W39" s="231" t="s">
        <v>543</v>
      </c>
      <c r="X39" s="231" t="s">
        <v>544</v>
      </c>
      <c r="Y39" s="231" t="s">
        <v>545</v>
      </c>
      <c r="Z39" s="231" t="s">
        <v>546</v>
      </c>
      <c r="AA39" s="231" t="s">
        <v>547</v>
      </c>
      <c r="AB39" s="231" t="s">
        <v>548</v>
      </c>
      <c r="AC39" s="231" t="s">
        <v>549</v>
      </c>
      <c r="AD39" s="231" t="s">
        <v>550</v>
      </c>
      <c r="AE39" s="231" t="s">
        <v>551</v>
      </c>
      <c r="AF39" s="231" t="s">
        <v>552</v>
      </c>
    </row>
    <row r="40" spans="3:32" x14ac:dyDescent="0.2">
      <c r="C40" s="189" t="s">
        <v>526</v>
      </c>
      <c r="D40" s="189"/>
      <c r="E40">
        <f>1</f>
        <v>1</v>
      </c>
      <c r="F40">
        <v>2</v>
      </c>
      <c r="G40">
        <v>50</v>
      </c>
      <c r="H40" s="3">
        <v>8</v>
      </c>
      <c r="I40" s="197">
        <f t="shared" ref="I40:I41" si="4">H40*G40</f>
        <v>400</v>
      </c>
      <c r="J40" t="s">
        <v>527</v>
      </c>
      <c r="K40">
        <f>400</f>
        <v>400</v>
      </c>
      <c r="Q40" t="s">
        <v>553</v>
      </c>
      <c r="R40">
        <f>2.5/4</f>
        <v>0.625</v>
      </c>
      <c r="T40" s="231" t="s">
        <v>554</v>
      </c>
      <c r="U40">
        <f>230</f>
        <v>230</v>
      </c>
      <c r="V40" t="s">
        <v>36</v>
      </c>
      <c r="W40">
        <f>ROUNDUP(U40/$U$39,0)</f>
        <v>56</v>
      </c>
      <c r="X40">
        <v>10</v>
      </c>
      <c r="Y40">
        <f>X40*4</f>
        <v>40</v>
      </c>
      <c r="Z40" s="84">
        <f>(W40+Y40)/3600</f>
        <v>2.6666666666666668E-2</v>
      </c>
      <c r="AA40">
        <f>16*4</f>
        <v>64</v>
      </c>
      <c r="AB40">
        <f>AA40/4*2.5</f>
        <v>40</v>
      </c>
      <c r="AC40">
        <f>AB40-(Z40*60*3)</f>
        <v>35.200000000000003</v>
      </c>
      <c r="AD40" s="570">
        <f>$AC$40/($AA$42*3)</f>
        <v>0.18333333333333335</v>
      </c>
      <c r="AE40" s="466">
        <v>6</v>
      </c>
      <c r="AF40" s="466">
        <f>AD40*AE40</f>
        <v>1.1000000000000001</v>
      </c>
    </row>
    <row r="41" spans="3:32" x14ac:dyDescent="0.2">
      <c r="C41" s="189" t="s">
        <v>528</v>
      </c>
      <c r="D41" s="189"/>
      <c r="E41">
        <f>1</f>
        <v>1</v>
      </c>
      <c r="G41">
        <v>50</v>
      </c>
      <c r="H41" s="3">
        <v>8</v>
      </c>
      <c r="I41" s="198">
        <f t="shared" si="4"/>
        <v>400</v>
      </c>
      <c r="J41" t="s">
        <v>527</v>
      </c>
      <c r="K41">
        <f>400</f>
        <v>400</v>
      </c>
      <c r="L41">
        <v>4</v>
      </c>
      <c r="Q41" t="s">
        <v>555</v>
      </c>
      <c r="R41">
        <f>2.5/4</f>
        <v>0.625</v>
      </c>
      <c r="T41" s="231" t="s">
        <v>556</v>
      </c>
      <c r="U41">
        <f>230</f>
        <v>230</v>
      </c>
      <c r="V41" t="s">
        <v>36</v>
      </c>
      <c r="W41">
        <f>ROUNDUP(U41/$U$39,0)</f>
        <v>56</v>
      </c>
      <c r="X41">
        <v>10</v>
      </c>
      <c r="Y41">
        <f>X41*4</f>
        <v>40</v>
      </c>
      <c r="Z41" s="84">
        <f t="shared" ref="Z41:Z42" si="5">(W41+Y41)/3600</f>
        <v>2.6666666666666668E-2</v>
      </c>
      <c r="AA41">
        <f t="shared" ref="AA41:AA42" si="6">16*4</f>
        <v>64</v>
      </c>
      <c r="AB41">
        <f t="shared" ref="AB41" si="7">AA41/4*2.5</f>
        <v>40</v>
      </c>
      <c r="AC41">
        <f>AB41-(Z41*60*3)</f>
        <v>35.200000000000003</v>
      </c>
      <c r="AD41" s="570"/>
      <c r="AE41" s="466"/>
      <c r="AF41" s="466"/>
    </row>
    <row r="42" spans="3:32" x14ac:dyDescent="0.2">
      <c r="C42" s="189" t="s">
        <v>533</v>
      </c>
      <c r="D42" s="189"/>
      <c r="E42">
        <f>1</f>
        <v>1</v>
      </c>
      <c r="G42">
        <v>50</v>
      </c>
      <c r="H42" s="3">
        <v>8</v>
      </c>
      <c r="I42" s="198">
        <f>H42*G42</f>
        <v>400</v>
      </c>
      <c r="J42" t="s">
        <v>527</v>
      </c>
      <c r="K42">
        <f>400</f>
        <v>400</v>
      </c>
      <c r="L42">
        <v>4</v>
      </c>
      <c r="Q42" t="s">
        <v>557</v>
      </c>
      <c r="R42">
        <f>2.5/3</f>
        <v>0.83333333333333337</v>
      </c>
      <c r="T42" s="231" t="s">
        <v>558</v>
      </c>
      <c r="U42">
        <f>230</f>
        <v>230</v>
      </c>
      <c r="V42" t="s">
        <v>36</v>
      </c>
      <c r="W42">
        <f>ROUNDUP(U42/$U$39,0)</f>
        <v>56</v>
      </c>
      <c r="X42">
        <v>10</v>
      </c>
      <c r="Y42">
        <f>X42*5</f>
        <v>50</v>
      </c>
      <c r="Z42" s="84">
        <f t="shared" si="5"/>
        <v>2.9444444444444443E-2</v>
      </c>
      <c r="AA42">
        <f t="shared" si="6"/>
        <v>64</v>
      </c>
      <c r="AB42">
        <f>AA42/5*2.5</f>
        <v>32</v>
      </c>
      <c r="AC42" s="60">
        <f>AB42-(Z42*60*3)</f>
        <v>26.7</v>
      </c>
      <c r="AD42" s="570"/>
      <c r="AE42" s="466"/>
      <c r="AF42" s="466"/>
    </row>
    <row r="43" spans="3:32" x14ac:dyDescent="0.2">
      <c r="C43" s="189" t="s">
        <v>529</v>
      </c>
      <c r="D43" s="189"/>
      <c r="E43">
        <f>1</f>
        <v>1</v>
      </c>
      <c r="G43">
        <v>50</v>
      </c>
      <c r="H43" s="3">
        <v>8</v>
      </c>
      <c r="I43" s="198">
        <f t="shared" ref="I43:I44" si="8">H43*G43</f>
        <v>400</v>
      </c>
      <c r="J43" t="s">
        <v>527</v>
      </c>
      <c r="K43">
        <f>400</f>
        <v>400</v>
      </c>
      <c r="L43">
        <v>3</v>
      </c>
      <c r="Q43" t="s">
        <v>559</v>
      </c>
      <c r="R43">
        <f>2.5/2</f>
        <v>1.25</v>
      </c>
      <c r="AE43" s="3">
        <v>2</v>
      </c>
    </row>
    <row r="44" spans="3:32" x14ac:dyDescent="0.2">
      <c r="C44" s="189" t="s">
        <v>534</v>
      </c>
      <c r="D44" s="189"/>
      <c r="E44">
        <f>1</f>
        <v>1</v>
      </c>
      <c r="G44">
        <v>50</v>
      </c>
      <c r="H44" s="3">
        <v>8</v>
      </c>
      <c r="I44" s="198">
        <f t="shared" si="8"/>
        <v>400</v>
      </c>
      <c r="J44" t="s">
        <v>527</v>
      </c>
      <c r="K44">
        <f>400</f>
        <v>400</v>
      </c>
      <c r="L44">
        <v>2</v>
      </c>
    </row>
    <row r="45" spans="3:32" x14ac:dyDescent="0.2">
      <c r="C45" s="189" t="s">
        <v>530</v>
      </c>
      <c r="D45" s="189"/>
      <c r="E45">
        <f>1</f>
        <v>1</v>
      </c>
      <c r="G45">
        <v>16</v>
      </c>
      <c r="H45" s="3">
        <v>8</v>
      </c>
      <c r="I45" s="197">
        <f>H45*G45</f>
        <v>128</v>
      </c>
      <c r="J45" t="s">
        <v>560</v>
      </c>
      <c r="K45">
        <f>I45*4</f>
        <v>512</v>
      </c>
      <c r="Z45">
        <f>Z40*60</f>
        <v>1.6</v>
      </c>
    </row>
    <row r="46" spans="3:32" x14ac:dyDescent="0.2">
      <c r="C46" s="189" t="s">
        <v>532</v>
      </c>
      <c r="D46" s="189"/>
      <c r="E46">
        <v>1</v>
      </c>
      <c r="Z46">
        <f>Z41*60</f>
        <v>1.6</v>
      </c>
    </row>
    <row r="47" spans="3:32" x14ac:dyDescent="0.2">
      <c r="Z47">
        <f>Z42*60</f>
        <v>1.7666666666666666</v>
      </c>
    </row>
    <row r="50" spans="2:37" ht="27" x14ac:dyDescent="0.35">
      <c r="B50" s="234" t="s">
        <v>561</v>
      </c>
      <c r="C50" s="234"/>
    </row>
    <row r="51" spans="2:37" x14ac:dyDescent="0.2">
      <c r="AH51" s="186" t="s">
        <v>562</v>
      </c>
    </row>
    <row r="52" spans="2:37" x14ac:dyDescent="0.2">
      <c r="C52" s="75" t="s">
        <v>563</v>
      </c>
      <c r="D52" s="75" t="s">
        <v>564</v>
      </c>
      <c r="E52" s="75" t="s">
        <v>565</v>
      </c>
      <c r="F52" t="s">
        <v>566</v>
      </c>
      <c r="G52" s="199" t="s">
        <v>567</v>
      </c>
      <c r="H52" s="199" t="s">
        <v>568</v>
      </c>
      <c r="I52" s="199" t="s">
        <v>569</v>
      </c>
      <c r="J52" t="s">
        <v>566</v>
      </c>
      <c r="K52" s="200" t="s">
        <v>570</v>
      </c>
      <c r="L52" s="200" t="s">
        <v>571</v>
      </c>
      <c r="M52" s="200" t="s">
        <v>572</v>
      </c>
      <c r="N52" t="s">
        <v>566</v>
      </c>
      <c r="O52" s="201" t="s">
        <v>573</v>
      </c>
      <c r="P52" s="201" t="s">
        <v>574</v>
      </c>
      <c r="Q52" s="201" t="s">
        <v>575</v>
      </c>
      <c r="R52" t="s">
        <v>566</v>
      </c>
      <c r="S52" s="202" t="s">
        <v>576</v>
      </c>
      <c r="T52" s="202" t="s">
        <v>577</v>
      </c>
      <c r="U52" s="202" t="s">
        <v>578</v>
      </c>
      <c r="V52" t="s">
        <v>566</v>
      </c>
      <c r="W52" s="203" t="s">
        <v>579</v>
      </c>
      <c r="X52" s="203" t="s">
        <v>580</v>
      </c>
      <c r="Y52" s="203" t="s">
        <v>581</v>
      </c>
      <c r="Z52" t="s">
        <v>566</v>
      </c>
      <c r="AA52" s="204" t="s">
        <v>582</v>
      </c>
      <c r="AB52" s="204" t="s">
        <v>583</v>
      </c>
      <c r="AC52" s="204" t="s">
        <v>584</v>
      </c>
      <c r="AD52" t="s">
        <v>566</v>
      </c>
      <c r="AE52" s="160" t="s">
        <v>585</v>
      </c>
      <c r="AF52" s="160" t="s">
        <v>586</v>
      </c>
      <c r="AG52" s="160" t="s">
        <v>587</v>
      </c>
      <c r="AH52" t="s">
        <v>566</v>
      </c>
      <c r="AI52" s="75" t="s">
        <v>563</v>
      </c>
      <c r="AJ52" s="75" t="s">
        <v>564</v>
      </c>
      <c r="AK52" s="75" t="s">
        <v>565</v>
      </c>
    </row>
    <row r="53" spans="2:37" x14ac:dyDescent="0.2">
      <c r="B53" s="189" t="s">
        <v>524</v>
      </c>
      <c r="C53">
        <f>K39</f>
        <v>480</v>
      </c>
      <c r="E53">
        <f>C53-D55-D56-D57*2-D58*2</f>
        <v>80</v>
      </c>
      <c r="F53" t="s">
        <v>525</v>
      </c>
      <c r="G53">
        <f>E53+320</f>
        <v>400</v>
      </c>
      <c r="I53">
        <f>G53-H55-H56-H57*2-H58*2</f>
        <v>0</v>
      </c>
      <c r="J53" t="s">
        <v>531</v>
      </c>
      <c r="K53">
        <f>480</f>
        <v>480</v>
      </c>
      <c r="M53">
        <f>K53-L55-L56-L57*2-L58*2</f>
        <v>80</v>
      </c>
      <c r="N53" t="s">
        <v>525</v>
      </c>
      <c r="O53">
        <f>M53+320</f>
        <v>400</v>
      </c>
      <c r="Q53">
        <f>O53-P55-P56-P57*2-P58*2</f>
        <v>0</v>
      </c>
      <c r="R53" t="s">
        <v>531</v>
      </c>
      <c r="S53">
        <f>Q53+480</f>
        <v>480</v>
      </c>
      <c r="U53">
        <f>S53-T55-T56-T57*2-T58*2</f>
        <v>80</v>
      </c>
      <c r="V53" t="s">
        <v>525</v>
      </c>
      <c r="W53">
        <f>U53+320</f>
        <v>400</v>
      </c>
      <c r="Y53">
        <f>W53-X55-X56-X57*2-X58*2</f>
        <v>0</v>
      </c>
      <c r="Z53" t="s">
        <v>531</v>
      </c>
      <c r="AA53">
        <f>Y53+480</f>
        <v>480</v>
      </c>
      <c r="AC53">
        <f>AA53-AB55-AB56-AB57*2-AB58*2</f>
        <v>80</v>
      </c>
      <c r="AD53" t="s">
        <v>525</v>
      </c>
      <c r="AE53">
        <f>AC53+320</f>
        <v>400</v>
      </c>
      <c r="AG53">
        <f>AE53-AF55-AF56-AF57*2-AF58*2</f>
        <v>0</v>
      </c>
      <c r="AH53" t="s">
        <v>531</v>
      </c>
      <c r="AI53">
        <f>480</f>
        <v>480</v>
      </c>
      <c r="AK53">
        <f>AI53-AJ55-AJ56-AJ57*2-AJ58*2</f>
        <v>80</v>
      </c>
    </row>
    <row r="54" spans="2:37" x14ac:dyDescent="0.2">
      <c r="B54" s="189" t="s">
        <v>526</v>
      </c>
      <c r="C54">
        <f t="shared" ref="C54:C59" si="9">K40</f>
        <v>400</v>
      </c>
      <c r="E54">
        <f>C54-D55-D56-D57*2-D58*2</f>
        <v>0</v>
      </c>
      <c r="F54" t="s">
        <v>527</v>
      </c>
      <c r="G54">
        <v>400</v>
      </c>
      <c r="I54">
        <f>G54-H55-H56-H57*2-H58*2</f>
        <v>0</v>
      </c>
      <c r="J54" t="s">
        <v>527</v>
      </c>
      <c r="K54">
        <f>400</f>
        <v>400</v>
      </c>
      <c r="M54">
        <f>K54-L55-L56-L57*2-L58*2</f>
        <v>0</v>
      </c>
      <c r="N54" t="s">
        <v>527</v>
      </c>
      <c r="O54">
        <f>400</f>
        <v>400</v>
      </c>
      <c r="Q54">
        <f>O54-P55-P56-P57*2-P58*2</f>
        <v>0</v>
      </c>
      <c r="R54" t="s">
        <v>527</v>
      </c>
      <c r="S54">
        <f>400</f>
        <v>400</v>
      </c>
      <c r="U54">
        <f>S54-T55-T56-T57*2-T58*2</f>
        <v>0</v>
      </c>
      <c r="V54" t="s">
        <v>527</v>
      </c>
      <c r="W54">
        <f>400</f>
        <v>400</v>
      </c>
      <c r="Y54">
        <f>W54-X55-X56-X57*2-X58*2</f>
        <v>0</v>
      </c>
      <c r="Z54" t="s">
        <v>527</v>
      </c>
      <c r="AA54">
        <f>400</f>
        <v>400</v>
      </c>
      <c r="AC54">
        <f>AA54-AB55-AB56-AB57*2-AB58*2</f>
        <v>0</v>
      </c>
      <c r="AD54" t="s">
        <v>527</v>
      </c>
      <c r="AE54">
        <f>400</f>
        <v>400</v>
      </c>
      <c r="AG54">
        <f>AE54-AF55-AF56-AF57*2-AF58*2</f>
        <v>0</v>
      </c>
      <c r="AH54" t="s">
        <v>527</v>
      </c>
      <c r="AI54">
        <f>400</f>
        <v>400</v>
      </c>
      <c r="AK54">
        <f>AI54-AJ55-AJ56-AJ57*2-AJ58*2</f>
        <v>0</v>
      </c>
    </row>
    <row r="55" spans="2:37" x14ac:dyDescent="0.2">
      <c r="B55" s="189" t="s">
        <v>528</v>
      </c>
      <c r="C55">
        <f t="shared" si="9"/>
        <v>400</v>
      </c>
      <c r="D55">
        <v>90</v>
      </c>
      <c r="E55">
        <f>C55-D55</f>
        <v>310</v>
      </c>
      <c r="G55">
        <v>310</v>
      </c>
      <c r="H55">
        <v>90</v>
      </c>
      <c r="I55">
        <f>G55-H55</f>
        <v>220</v>
      </c>
      <c r="K55">
        <f>I55</f>
        <v>220</v>
      </c>
      <c r="L55">
        <v>90</v>
      </c>
      <c r="M55">
        <f>K55-L55</f>
        <v>130</v>
      </c>
      <c r="O55">
        <f>M55</f>
        <v>130</v>
      </c>
      <c r="P55">
        <v>90</v>
      </c>
      <c r="Q55">
        <f>O55-P55</f>
        <v>40</v>
      </c>
      <c r="R55" t="s">
        <v>527</v>
      </c>
      <c r="S55">
        <f>Q55+400</f>
        <v>440</v>
      </c>
      <c r="T55">
        <v>90</v>
      </c>
      <c r="U55">
        <f>S55-T55</f>
        <v>350</v>
      </c>
      <c r="W55">
        <f>U55</f>
        <v>350</v>
      </c>
      <c r="X55">
        <v>90</v>
      </c>
      <c r="Y55">
        <f>W55-X55</f>
        <v>260</v>
      </c>
      <c r="AA55">
        <f>Y55</f>
        <v>260</v>
      </c>
      <c r="AB55">
        <v>90</v>
      </c>
      <c r="AC55">
        <f>AA55-AB55</f>
        <v>170</v>
      </c>
      <c r="AE55">
        <f>AC55</f>
        <v>170</v>
      </c>
      <c r="AF55">
        <v>90</v>
      </c>
      <c r="AG55">
        <f>AE55-AF55</f>
        <v>80</v>
      </c>
      <c r="AI55">
        <v>400</v>
      </c>
      <c r="AJ55">
        <v>90</v>
      </c>
      <c r="AK55">
        <f>AI55-AJ55</f>
        <v>310</v>
      </c>
    </row>
    <row r="56" spans="2:37" x14ac:dyDescent="0.2">
      <c r="B56" s="189" t="s">
        <v>533</v>
      </c>
      <c r="C56">
        <f t="shared" si="9"/>
        <v>400</v>
      </c>
      <c r="D56">
        <v>90</v>
      </c>
      <c r="E56">
        <f>C56-D56</f>
        <v>310</v>
      </c>
      <c r="G56">
        <v>310</v>
      </c>
      <c r="H56">
        <v>90</v>
      </c>
      <c r="I56">
        <f>G56-H56</f>
        <v>220</v>
      </c>
      <c r="K56">
        <f>I56</f>
        <v>220</v>
      </c>
      <c r="L56">
        <v>90</v>
      </c>
      <c r="M56">
        <f>K56-L56</f>
        <v>130</v>
      </c>
      <c r="O56">
        <f>M56</f>
        <v>130</v>
      </c>
      <c r="P56">
        <v>90</v>
      </c>
      <c r="Q56">
        <f>O56-P56</f>
        <v>40</v>
      </c>
      <c r="R56" t="s">
        <v>527</v>
      </c>
      <c r="S56">
        <f>Q56+400</f>
        <v>440</v>
      </c>
      <c r="T56">
        <v>90</v>
      </c>
      <c r="U56">
        <f>S56-T56</f>
        <v>350</v>
      </c>
      <c r="W56">
        <f>U56</f>
        <v>350</v>
      </c>
      <c r="X56">
        <v>90</v>
      </c>
      <c r="Y56">
        <f>W56-X56</f>
        <v>260</v>
      </c>
      <c r="AA56">
        <f>Y56</f>
        <v>260</v>
      </c>
      <c r="AB56">
        <v>90</v>
      </c>
      <c r="AC56">
        <f>AA56-AB56</f>
        <v>170</v>
      </c>
      <c r="AE56">
        <f>AC56</f>
        <v>170</v>
      </c>
      <c r="AF56">
        <v>90</v>
      </c>
      <c r="AG56">
        <f>AE56-AF56</f>
        <v>80</v>
      </c>
      <c r="AI56">
        <v>400</v>
      </c>
      <c r="AJ56">
        <v>90</v>
      </c>
      <c r="AK56">
        <f>AI56-AJ56</f>
        <v>310</v>
      </c>
    </row>
    <row r="57" spans="2:37" x14ac:dyDescent="0.2">
      <c r="B57" s="189" t="s">
        <v>529</v>
      </c>
      <c r="C57">
        <f t="shared" si="9"/>
        <v>400</v>
      </c>
      <c r="D57">
        <v>65</v>
      </c>
      <c r="E57">
        <f>C57-D57</f>
        <v>335</v>
      </c>
      <c r="G57">
        <v>335</v>
      </c>
      <c r="H57">
        <v>65</v>
      </c>
      <c r="I57">
        <f>G57-H57</f>
        <v>270</v>
      </c>
      <c r="K57">
        <f>I57</f>
        <v>270</v>
      </c>
      <c r="L57">
        <v>65</v>
      </c>
      <c r="M57">
        <f>K57-L57</f>
        <v>205</v>
      </c>
      <c r="O57">
        <f>M57</f>
        <v>205</v>
      </c>
      <c r="P57">
        <v>65</v>
      </c>
      <c r="Q57">
        <f>O57-P57</f>
        <v>140</v>
      </c>
      <c r="S57">
        <f>Q57</f>
        <v>140</v>
      </c>
      <c r="T57">
        <v>65</v>
      </c>
      <c r="U57">
        <f>S57-T57</f>
        <v>75</v>
      </c>
      <c r="W57">
        <f>U57</f>
        <v>75</v>
      </c>
      <c r="X57">
        <v>65</v>
      </c>
      <c r="Y57">
        <f>W57-X57</f>
        <v>10</v>
      </c>
      <c r="Z57" t="s">
        <v>527</v>
      </c>
      <c r="AA57">
        <f>Y57+400</f>
        <v>410</v>
      </c>
      <c r="AB57">
        <v>65</v>
      </c>
      <c r="AC57">
        <f>AA57-AB57</f>
        <v>345</v>
      </c>
      <c r="AE57">
        <f>AC57</f>
        <v>345</v>
      </c>
      <c r="AF57">
        <v>65</v>
      </c>
      <c r="AG57">
        <f>AE57-AF57</f>
        <v>280</v>
      </c>
      <c r="AI57">
        <v>400</v>
      </c>
      <c r="AJ57">
        <v>65</v>
      </c>
      <c r="AK57">
        <f>AI57-AJ57</f>
        <v>335</v>
      </c>
    </row>
    <row r="58" spans="2:37" x14ac:dyDescent="0.2">
      <c r="B58" s="189" t="s">
        <v>534</v>
      </c>
      <c r="C58">
        <f t="shared" si="9"/>
        <v>400</v>
      </c>
      <c r="D58">
        <v>45</v>
      </c>
      <c r="E58">
        <f>C58-D58</f>
        <v>355</v>
      </c>
      <c r="G58">
        <v>335</v>
      </c>
      <c r="H58">
        <v>45</v>
      </c>
      <c r="I58">
        <f>G58-H58</f>
        <v>290</v>
      </c>
      <c r="K58">
        <f>I58</f>
        <v>290</v>
      </c>
      <c r="L58">
        <v>45</v>
      </c>
      <c r="M58">
        <f>K58-L58</f>
        <v>245</v>
      </c>
      <c r="O58">
        <f>M58</f>
        <v>245</v>
      </c>
      <c r="P58">
        <v>45</v>
      </c>
      <c r="Q58">
        <f>O58-P58</f>
        <v>200</v>
      </c>
      <c r="S58">
        <f>Q58</f>
        <v>200</v>
      </c>
      <c r="T58">
        <v>45</v>
      </c>
      <c r="U58">
        <f>S58-T58</f>
        <v>155</v>
      </c>
      <c r="W58">
        <f>U58</f>
        <v>155</v>
      </c>
      <c r="X58">
        <v>45</v>
      </c>
      <c r="Y58">
        <f>W58-X58</f>
        <v>110</v>
      </c>
      <c r="AA58">
        <f>Y58</f>
        <v>110</v>
      </c>
      <c r="AB58">
        <v>45</v>
      </c>
      <c r="AC58">
        <f>AA58-AB58</f>
        <v>65</v>
      </c>
      <c r="AE58">
        <f>AC58</f>
        <v>65</v>
      </c>
      <c r="AF58">
        <v>45</v>
      </c>
      <c r="AG58">
        <f>AE58-AF58</f>
        <v>20</v>
      </c>
      <c r="AI58">
        <v>400</v>
      </c>
      <c r="AJ58">
        <v>45</v>
      </c>
      <c r="AK58">
        <f>AI58-AJ58</f>
        <v>355</v>
      </c>
    </row>
    <row r="59" spans="2:37" x14ac:dyDescent="0.2">
      <c r="B59" s="189" t="s">
        <v>530</v>
      </c>
      <c r="C59">
        <f t="shared" si="9"/>
        <v>512</v>
      </c>
      <c r="E59">
        <f>C59-D55-D56-D57*2-D58*2</f>
        <v>112</v>
      </c>
      <c r="F59" t="s">
        <v>531</v>
      </c>
      <c r="G59">
        <f>E59+384</f>
        <v>496</v>
      </c>
      <c r="I59">
        <f>G59-H55-H56-H57*2-H58*2</f>
        <v>96</v>
      </c>
      <c r="J59" t="s">
        <v>531</v>
      </c>
      <c r="K59">
        <f>I59+384</f>
        <v>480</v>
      </c>
      <c r="M59">
        <f>K59-L55-L56-L57*2-L58*2</f>
        <v>80</v>
      </c>
      <c r="N59" t="s">
        <v>531</v>
      </c>
      <c r="O59">
        <f>384+M59</f>
        <v>464</v>
      </c>
      <c r="Q59">
        <f>O59-P55-P56-P57*2-P58*2</f>
        <v>64</v>
      </c>
      <c r="R59" t="s">
        <v>531</v>
      </c>
      <c r="S59">
        <f>384+Q59</f>
        <v>448</v>
      </c>
      <c r="U59">
        <f>S59-T55-T56-T57*2-T58*2</f>
        <v>48</v>
      </c>
      <c r="V59" t="s">
        <v>531</v>
      </c>
      <c r="W59">
        <f>384+U59</f>
        <v>432</v>
      </c>
      <c r="Y59">
        <f>W59-X55-X56-X57*2-X58*2</f>
        <v>32</v>
      </c>
      <c r="Z59" t="s">
        <v>531</v>
      </c>
      <c r="AA59">
        <f>384+Y59</f>
        <v>416</v>
      </c>
      <c r="AC59">
        <f>AA59-AB55-AB56-AB57*2-AB58*2</f>
        <v>16</v>
      </c>
      <c r="AD59" t="s">
        <v>531</v>
      </c>
      <c r="AE59">
        <f>384+AC59</f>
        <v>400</v>
      </c>
      <c r="AG59">
        <f>AE59-AF55-AF56-AF57*2-AF58*2</f>
        <v>0</v>
      </c>
      <c r="AH59" t="s">
        <v>560</v>
      </c>
      <c r="AI59">
        <f>512</f>
        <v>512</v>
      </c>
      <c r="AK59">
        <f>AI59-AJ55-AJ56-AJ57*2-AJ58*2</f>
        <v>112</v>
      </c>
    </row>
    <row r="60" spans="2:37" x14ac:dyDescent="0.2">
      <c r="B60" s="189" t="s">
        <v>532</v>
      </c>
    </row>
    <row r="62" spans="2:37" x14ac:dyDescent="0.2">
      <c r="AE62" s="201" t="s">
        <v>588</v>
      </c>
      <c r="AF62" s="201">
        <v>1</v>
      </c>
      <c r="AG62" s="201" t="s">
        <v>589</v>
      </c>
    </row>
    <row r="63" spans="2:37" x14ac:dyDescent="0.2">
      <c r="I63" s="199" t="s">
        <v>590</v>
      </c>
      <c r="K63">
        <f>32000</f>
        <v>32000</v>
      </c>
      <c r="L63" t="s">
        <v>191</v>
      </c>
      <c r="M63">
        <f>32</f>
        <v>32</v>
      </c>
      <c r="N63" t="s">
        <v>36</v>
      </c>
      <c r="AE63" s="199" t="s">
        <v>591</v>
      </c>
      <c r="AF63">
        <v>630</v>
      </c>
      <c r="AG63">
        <v>2.3149999999999999</v>
      </c>
    </row>
    <row r="64" spans="2:37" x14ac:dyDescent="0.2">
      <c r="AE64" s="199" t="s">
        <v>592</v>
      </c>
      <c r="AF64">
        <v>630</v>
      </c>
      <c r="AG64">
        <v>2.3149999999999999</v>
      </c>
    </row>
    <row r="65" spans="2:33" x14ac:dyDescent="0.2">
      <c r="I65" s="199" t="s">
        <v>593</v>
      </c>
      <c r="J65">
        <f>48</f>
        <v>48</v>
      </c>
      <c r="K65">
        <f t="shared" ref="K65:K66" si="10">2*J65</f>
        <v>96</v>
      </c>
      <c r="AE65" s="199" t="s">
        <v>594</v>
      </c>
      <c r="AF65">
        <v>520</v>
      </c>
      <c r="AG65">
        <v>1.85</v>
      </c>
    </row>
    <row r="66" spans="2:33" x14ac:dyDescent="0.2">
      <c r="I66" s="199" t="s">
        <v>595</v>
      </c>
      <c r="J66">
        <f>J65/2</f>
        <v>24</v>
      </c>
      <c r="K66">
        <f t="shared" si="10"/>
        <v>48</v>
      </c>
      <c r="AE66" s="199" t="s">
        <v>596</v>
      </c>
      <c r="AF66">
        <v>360</v>
      </c>
      <c r="AG66">
        <v>0.85499999999999998</v>
      </c>
    </row>
    <row r="67" spans="2:33" x14ac:dyDescent="0.2">
      <c r="AG67">
        <f>SUM(AG63:AG66)</f>
        <v>7.3350000000000009</v>
      </c>
    </row>
    <row r="68" spans="2:33" x14ac:dyDescent="0.2">
      <c r="I68" s="199" t="s">
        <v>597</v>
      </c>
      <c r="J68">
        <v>3</v>
      </c>
    </row>
    <row r="78" spans="2:33" x14ac:dyDescent="0.2"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</row>
    <row r="79" spans="2:33" x14ac:dyDescent="0.2"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</row>
    <row r="80" spans="2:33" x14ac:dyDescent="0.2">
      <c r="B80" s="104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</row>
    <row r="81" spans="2:22" x14ac:dyDescent="0.2">
      <c r="B81" s="104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</row>
    <row r="82" spans="2:22" x14ac:dyDescent="0.2">
      <c r="B82" s="104"/>
      <c r="C82" s="104"/>
      <c r="D82" s="104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</row>
    <row r="83" spans="2:22" x14ac:dyDescent="0.2">
      <c r="B83" s="104"/>
      <c r="C83" s="104"/>
      <c r="D83" s="104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</row>
    <row r="84" spans="2:22" x14ac:dyDescent="0.2"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</row>
    <row r="85" spans="2:22" x14ac:dyDescent="0.2">
      <c r="B85" s="104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</row>
    <row r="86" spans="2:22" x14ac:dyDescent="0.2">
      <c r="B86" s="104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</row>
    <row r="87" spans="2:22" x14ac:dyDescent="0.2">
      <c r="B87" s="104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</row>
    <row r="88" spans="2:22" x14ac:dyDescent="0.2">
      <c r="B88" s="104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</row>
    <row r="89" spans="2:22" x14ac:dyDescent="0.2">
      <c r="B89" s="104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</row>
    <row r="90" spans="2:22" x14ac:dyDescent="0.2">
      <c r="B90" s="104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</row>
    <row r="91" spans="2:22" x14ac:dyDescent="0.2">
      <c r="B91" s="104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</row>
    <row r="92" spans="2:22" x14ac:dyDescent="0.2">
      <c r="B92" s="104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</row>
    <row r="93" spans="2:22" x14ac:dyDescent="0.2">
      <c r="B93" s="104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</row>
    <row r="94" spans="2:22" x14ac:dyDescent="0.2">
      <c r="B94" s="104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</row>
    <row r="95" spans="2:22" x14ac:dyDescent="0.2">
      <c r="B95" s="104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</row>
    <row r="97" spans="7:7" x14ac:dyDescent="0.2">
      <c r="G97" s="23"/>
    </row>
    <row r="98" spans="7:7" x14ac:dyDescent="0.2">
      <c r="G98" s="23"/>
    </row>
    <row r="99" spans="7:7" x14ac:dyDescent="0.2">
      <c r="G99" s="23"/>
    </row>
    <row r="100" spans="7:7" x14ac:dyDescent="0.2">
      <c r="G100" s="23"/>
    </row>
  </sheetData>
  <mergeCells count="4">
    <mergeCell ref="AE40:AE42"/>
    <mergeCell ref="AF40:AF42"/>
    <mergeCell ref="AD40:AD42"/>
    <mergeCell ref="AB38:AF38"/>
  </mergeCells>
  <phoneticPr fontId="23" type="noConversion"/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C4054-97CD-D540-BB95-4818EF3A998C}">
  <dimension ref="A1:S50"/>
  <sheetViews>
    <sheetView zoomScale="63" workbookViewId="0">
      <selection activeCell="K61" sqref="K61"/>
    </sheetView>
  </sheetViews>
  <sheetFormatPr baseColWidth="10" defaultColWidth="11" defaultRowHeight="16" x14ac:dyDescent="0.2"/>
  <cols>
    <col min="13" max="13" width="12" customWidth="1"/>
    <col min="14" max="17" width="13.5" bestFit="1" customWidth="1"/>
    <col min="19" max="19" width="10.5" customWidth="1"/>
  </cols>
  <sheetData>
    <row r="1" spans="1:11" x14ac:dyDescent="0.2">
      <c r="A1" s="589" t="s">
        <v>598</v>
      </c>
      <c r="B1" s="589"/>
      <c r="C1" s="589"/>
      <c r="D1" s="589"/>
      <c r="E1" s="589"/>
      <c r="F1" s="589"/>
      <c r="G1" s="589"/>
      <c r="H1" s="589"/>
      <c r="I1" s="589"/>
      <c r="K1" t="s">
        <v>599</v>
      </c>
    </row>
    <row r="2" spans="1:11" x14ac:dyDescent="0.2">
      <c r="A2" s="589"/>
      <c r="B2" s="589"/>
      <c r="C2" s="589"/>
      <c r="D2" s="589"/>
      <c r="E2" s="589"/>
      <c r="F2" s="589"/>
      <c r="G2" s="589"/>
      <c r="H2" s="589"/>
      <c r="I2" s="589"/>
      <c r="K2">
        <f>22*14.33*3600</f>
        <v>1134936</v>
      </c>
    </row>
    <row r="3" spans="1:11" x14ac:dyDescent="0.2">
      <c r="A3" s="590" t="s">
        <v>600</v>
      </c>
      <c r="B3" s="590"/>
      <c r="C3" s="591" t="s">
        <v>601</v>
      </c>
      <c r="D3" s="591" t="s">
        <v>602</v>
      </c>
      <c r="E3" s="591" t="s">
        <v>603</v>
      </c>
      <c r="F3" s="591" t="s">
        <v>604</v>
      </c>
      <c r="G3" s="591" t="s">
        <v>605</v>
      </c>
      <c r="H3" s="578" t="s">
        <v>7</v>
      </c>
      <c r="I3" s="578"/>
    </row>
    <row r="4" spans="1:11" x14ac:dyDescent="0.2">
      <c r="A4" s="590"/>
      <c r="B4" s="590"/>
      <c r="C4" s="591"/>
      <c r="D4" s="591"/>
      <c r="E4" s="591"/>
      <c r="F4" s="591"/>
      <c r="G4" s="591"/>
      <c r="H4" s="578"/>
      <c r="I4" s="578"/>
    </row>
    <row r="5" spans="1:11" x14ac:dyDescent="0.2">
      <c r="A5" s="583" t="s">
        <v>601</v>
      </c>
      <c r="B5" s="584"/>
      <c r="C5" s="588"/>
      <c r="D5" s="587"/>
      <c r="E5" s="587">
        <f>ROUNDUP(mag_completo!R14,0)</f>
        <v>1034</v>
      </c>
      <c r="F5" s="587"/>
      <c r="G5" s="587">
        <f>SUM(mag_completo!R6:R13)</f>
        <v>23762</v>
      </c>
      <c r="H5" s="576">
        <f>SUM(C5:G6)</f>
        <v>24796</v>
      </c>
      <c r="I5" s="577"/>
    </row>
    <row r="6" spans="1:11" x14ac:dyDescent="0.2">
      <c r="A6" s="585"/>
      <c r="B6" s="586"/>
      <c r="C6" s="588"/>
      <c r="D6" s="587"/>
      <c r="E6" s="587"/>
      <c r="F6" s="587"/>
      <c r="G6" s="587"/>
      <c r="H6" s="577"/>
      <c r="I6" s="577"/>
    </row>
    <row r="7" spans="1:11" x14ac:dyDescent="0.2">
      <c r="A7" s="583" t="s">
        <v>602</v>
      </c>
      <c r="B7" s="584"/>
      <c r="C7" s="587"/>
      <c r="D7" s="588"/>
      <c r="E7" s="587"/>
      <c r="F7" s="587"/>
      <c r="G7" s="587"/>
      <c r="H7" s="576">
        <f>SUM(E7:G8)</f>
        <v>0</v>
      </c>
      <c r="I7" s="577"/>
    </row>
    <row r="8" spans="1:11" x14ac:dyDescent="0.2">
      <c r="A8" s="585"/>
      <c r="B8" s="586"/>
      <c r="C8" s="587"/>
      <c r="D8" s="588"/>
      <c r="E8" s="587"/>
      <c r="F8" s="587"/>
      <c r="G8" s="587"/>
      <c r="H8" s="577"/>
      <c r="I8" s="577"/>
    </row>
    <row r="9" spans="1:11" x14ac:dyDescent="0.2">
      <c r="A9" s="583" t="s">
        <v>603</v>
      </c>
      <c r="B9" s="584"/>
      <c r="C9" s="587"/>
      <c r="D9" s="587">
        <f>SUM(mag_completo!R23:R26)</f>
        <v>21337</v>
      </c>
      <c r="E9" s="588"/>
      <c r="F9" s="587"/>
      <c r="G9" s="587"/>
      <c r="H9" s="576">
        <f>SUM(C9:G10)</f>
        <v>21337</v>
      </c>
      <c r="I9" s="577"/>
    </row>
    <row r="10" spans="1:11" x14ac:dyDescent="0.2">
      <c r="A10" s="585"/>
      <c r="B10" s="586"/>
      <c r="C10" s="587"/>
      <c r="D10" s="587"/>
      <c r="E10" s="588"/>
      <c r="F10" s="587"/>
      <c r="G10" s="587"/>
      <c r="H10" s="577"/>
      <c r="I10" s="577"/>
    </row>
    <row r="11" spans="1:11" x14ac:dyDescent="0.2">
      <c r="A11" s="583" t="s">
        <v>604</v>
      </c>
      <c r="B11" s="584"/>
      <c r="C11" s="587"/>
      <c r="D11" s="587"/>
      <c r="E11" s="587">
        <f>SUM(mag_completo!R28:R31)</f>
        <v>14980</v>
      </c>
      <c r="F11" s="588"/>
      <c r="G11" s="587"/>
      <c r="H11" s="576">
        <f>SUM(C11:G12)</f>
        <v>14980</v>
      </c>
      <c r="I11" s="577"/>
    </row>
    <row r="12" spans="1:11" x14ac:dyDescent="0.2">
      <c r="A12" s="585"/>
      <c r="B12" s="586"/>
      <c r="C12" s="587"/>
      <c r="D12" s="587"/>
      <c r="E12" s="587"/>
      <c r="F12" s="588"/>
      <c r="G12" s="587"/>
      <c r="H12" s="577"/>
      <c r="I12" s="577"/>
    </row>
    <row r="13" spans="1:11" x14ac:dyDescent="0.2">
      <c r="A13" s="583" t="s">
        <v>605</v>
      </c>
      <c r="B13" s="584"/>
      <c r="C13" s="587"/>
      <c r="D13" s="587"/>
      <c r="E13" s="587"/>
      <c r="F13" s="587">
        <f>E11</f>
        <v>14980</v>
      </c>
      <c r="G13" s="588"/>
      <c r="H13" s="576">
        <f>SUM(C13:G14)</f>
        <v>14980</v>
      </c>
      <c r="I13" s="577"/>
    </row>
    <row r="14" spans="1:11" x14ac:dyDescent="0.2">
      <c r="A14" s="585"/>
      <c r="B14" s="586"/>
      <c r="C14" s="587"/>
      <c r="D14" s="587"/>
      <c r="E14" s="587"/>
      <c r="F14" s="587"/>
      <c r="G14" s="588"/>
      <c r="H14" s="577"/>
      <c r="I14" s="577"/>
    </row>
    <row r="15" spans="1:11" ht="19" x14ac:dyDescent="0.2">
      <c r="A15" s="578" t="s">
        <v>7</v>
      </c>
      <c r="B15" s="578"/>
      <c r="C15" s="579">
        <f>SUM(C5:C14)</f>
        <v>0</v>
      </c>
      <c r="D15" s="579">
        <f>SUM(D5:D14)</f>
        <v>21337</v>
      </c>
      <c r="E15" s="579">
        <f>SUM(E5:E14)</f>
        <v>16014</v>
      </c>
      <c r="F15" s="579">
        <f>SUM(F5:F14)</f>
        <v>14980</v>
      </c>
      <c r="G15" s="579">
        <f>SUM(G5:G14)</f>
        <v>23762</v>
      </c>
      <c r="H15" s="581">
        <f>SUM(H5:I14)</f>
        <v>76093</v>
      </c>
      <c r="I15" s="581"/>
    </row>
    <row r="16" spans="1:11" ht="19" x14ac:dyDescent="0.2">
      <c r="A16" s="578"/>
      <c r="B16" s="578"/>
      <c r="C16" s="580"/>
      <c r="D16" s="580"/>
      <c r="E16" s="580"/>
      <c r="F16" s="580"/>
      <c r="G16" s="580"/>
      <c r="H16" s="581">
        <f>SUM(C15:G16)</f>
        <v>76093</v>
      </c>
      <c r="I16" s="582"/>
    </row>
    <row r="18" spans="1:19" x14ac:dyDescent="0.2">
      <c r="A18" s="589" t="s">
        <v>606</v>
      </c>
      <c r="B18" s="589"/>
      <c r="C18" s="589"/>
      <c r="D18" s="589"/>
      <c r="E18" s="589"/>
      <c r="F18" s="589"/>
      <c r="G18" s="589"/>
      <c r="H18" s="589"/>
      <c r="I18" s="589"/>
      <c r="K18" s="589" t="s">
        <v>607</v>
      </c>
      <c r="L18" s="589"/>
      <c r="M18" s="589"/>
      <c r="N18" s="589"/>
      <c r="O18" s="589"/>
      <c r="P18" s="589"/>
      <c r="Q18" s="589"/>
      <c r="R18" s="589"/>
      <c r="S18" s="589"/>
    </row>
    <row r="19" spans="1:19" x14ac:dyDescent="0.2">
      <c r="A19" s="589"/>
      <c r="B19" s="589"/>
      <c r="C19" s="589"/>
      <c r="D19" s="589"/>
      <c r="E19" s="589"/>
      <c r="F19" s="589"/>
      <c r="G19" s="589"/>
      <c r="H19" s="589"/>
      <c r="I19" s="589"/>
      <c r="K19" s="589"/>
      <c r="L19" s="589"/>
      <c r="M19" s="589"/>
      <c r="N19" s="589"/>
      <c r="O19" s="589"/>
      <c r="P19" s="589"/>
      <c r="Q19" s="589"/>
      <c r="R19" s="589"/>
      <c r="S19" s="589"/>
    </row>
    <row r="20" spans="1:19" x14ac:dyDescent="0.2">
      <c r="A20" s="590" t="s">
        <v>600</v>
      </c>
      <c r="B20" s="590"/>
      <c r="C20" s="591" t="s">
        <v>601</v>
      </c>
      <c r="D20" s="591" t="s">
        <v>602</v>
      </c>
      <c r="E20" s="591" t="s">
        <v>603</v>
      </c>
      <c r="F20" s="591" t="s">
        <v>604</v>
      </c>
      <c r="G20" s="591" t="s">
        <v>605</v>
      </c>
      <c r="H20" s="578" t="s">
        <v>7</v>
      </c>
      <c r="I20" s="578"/>
      <c r="K20" s="590" t="s">
        <v>600</v>
      </c>
      <c r="L20" s="590"/>
      <c r="M20" s="591" t="s">
        <v>601</v>
      </c>
      <c r="N20" s="591" t="s">
        <v>602</v>
      </c>
      <c r="O20" s="591" t="s">
        <v>603</v>
      </c>
      <c r="P20" s="591" t="s">
        <v>604</v>
      </c>
      <c r="Q20" s="591" t="s">
        <v>605</v>
      </c>
      <c r="R20" s="578" t="s">
        <v>7</v>
      </c>
      <c r="S20" s="578"/>
    </row>
    <row r="21" spans="1:19" x14ac:dyDescent="0.2">
      <c r="A21" s="590"/>
      <c r="B21" s="590"/>
      <c r="C21" s="591"/>
      <c r="D21" s="591"/>
      <c r="E21" s="591"/>
      <c r="F21" s="591"/>
      <c r="G21" s="591"/>
      <c r="H21" s="578"/>
      <c r="I21" s="578"/>
      <c r="K21" s="590"/>
      <c r="L21" s="590"/>
      <c r="M21" s="591"/>
      <c r="N21" s="591"/>
      <c r="O21" s="591"/>
      <c r="P21" s="591"/>
      <c r="Q21" s="591"/>
      <c r="R21" s="578"/>
      <c r="S21" s="578"/>
    </row>
    <row r="22" spans="1:19" x14ac:dyDescent="0.2">
      <c r="A22" s="583" t="s">
        <v>601</v>
      </c>
      <c r="B22" s="584"/>
      <c r="C22" s="588"/>
      <c r="D22" s="587"/>
      <c r="E22" s="587">
        <f>3+62+23+5+14</f>
        <v>107</v>
      </c>
      <c r="F22" s="587"/>
      <c r="G22" s="587">
        <f>3+10+3+17</f>
        <v>33</v>
      </c>
      <c r="H22" s="576">
        <f>SUM(C22:G23)</f>
        <v>140</v>
      </c>
      <c r="I22" s="577"/>
      <c r="K22" s="583" t="s">
        <v>601</v>
      </c>
      <c r="L22" s="584"/>
      <c r="M22" s="588"/>
      <c r="N22" s="587"/>
      <c r="O22" s="587">
        <f>2*(E22/carr_elev!$L$6+35)</f>
        <v>166.3</v>
      </c>
      <c r="P22" s="587"/>
      <c r="Q22" s="587">
        <f>2*(G22/carr_elev!$L$6+35)</f>
        <v>99.7</v>
      </c>
      <c r="R22" s="576">
        <f>SUM(M22:Q23)</f>
        <v>266</v>
      </c>
      <c r="S22" s="577"/>
    </row>
    <row r="23" spans="1:19" x14ac:dyDescent="0.2">
      <c r="A23" s="585"/>
      <c r="B23" s="586"/>
      <c r="C23" s="588"/>
      <c r="D23" s="587"/>
      <c r="E23" s="587"/>
      <c r="F23" s="587"/>
      <c r="G23" s="587"/>
      <c r="H23" s="577"/>
      <c r="I23" s="577"/>
      <c r="K23" s="585"/>
      <c r="L23" s="586"/>
      <c r="M23" s="588"/>
      <c r="N23" s="587"/>
      <c r="O23" s="587"/>
      <c r="P23" s="587"/>
      <c r="Q23" s="587"/>
      <c r="R23" s="577"/>
      <c r="S23" s="577"/>
    </row>
    <row r="24" spans="1:19" x14ac:dyDescent="0.2">
      <c r="A24" s="583" t="s">
        <v>602</v>
      </c>
      <c r="B24" s="584"/>
      <c r="C24" s="587"/>
      <c r="D24" s="588"/>
      <c r="E24" s="587"/>
      <c r="F24" s="587"/>
      <c r="G24" s="587"/>
      <c r="H24" s="576">
        <f>SUM(E24:G25)</f>
        <v>0</v>
      </c>
      <c r="I24" s="577"/>
      <c r="K24" s="583" t="s">
        <v>602</v>
      </c>
      <c r="L24" s="584"/>
      <c r="M24" s="587"/>
      <c r="N24" s="588"/>
      <c r="O24" s="587"/>
      <c r="P24" s="587"/>
      <c r="Q24" s="587"/>
      <c r="R24" s="576">
        <f>SUM(O24:Q25)</f>
        <v>0</v>
      </c>
      <c r="S24" s="577"/>
    </row>
    <row r="25" spans="1:19" x14ac:dyDescent="0.2">
      <c r="A25" s="585"/>
      <c r="B25" s="586"/>
      <c r="C25" s="587"/>
      <c r="D25" s="588"/>
      <c r="E25" s="587"/>
      <c r="F25" s="587"/>
      <c r="G25" s="587"/>
      <c r="H25" s="577"/>
      <c r="I25" s="577"/>
      <c r="K25" s="585"/>
      <c r="L25" s="586"/>
      <c r="M25" s="587"/>
      <c r="N25" s="588"/>
      <c r="O25" s="587"/>
      <c r="P25" s="587"/>
      <c r="Q25" s="587"/>
      <c r="R25" s="577"/>
      <c r="S25" s="577"/>
    </row>
    <row r="26" spans="1:19" x14ac:dyDescent="0.2">
      <c r="A26" s="583" t="s">
        <v>603</v>
      </c>
      <c r="B26" s="584"/>
      <c r="C26" s="587"/>
      <c r="D26" s="587">
        <f>17+5+3+21+12+3</f>
        <v>61</v>
      </c>
      <c r="E26" s="588"/>
      <c r="F26" s="587"/>
      <c r="G26" s="587"/>
      <c r="H26" s="576">
        <f>SUM(C26:G27)</f>
        <v>61</v>
      </c>
      <c r="I26" s="577"/>
      <c r="K26" s="583" t="s">
        <v>603</v>
      </c>
      <c r="L26" s="584"/>
      <c r="M26" s="587"/>
      <c r="N26" s="587">
        <f>2*(D26/carr_elev!$L$6+35)</f>
        <v>124.9</v>
      </c>
      <c r="O26" s="588"/>
      <c r="P26" s="587"/>
      <c r="Q26" s="587"/>
      <c r="R26" s="576">
        <f>SUM(M26:Q27)</f>
        <v>124.9</v>
      </c>
      <c r="S26" s="577"/>
    </row>
    <row r="27" spans="1:19" x14ac:dyDescent="0.2">
      <c r="A27" s="585"/>
      <c r="B27" s="586"/>
      <c r="C27" s="587"/>
      <c r="D27" s="587"/>
      <c r="E27" s="588"/>
      <c r="F27" s="587"/>
      <c r="G27" s="587"/>
      <c r="H27" s="577"/>
      <c r="I27" s="577"/>
      <c r="K27" s="585"/>
      <c r="L27" s="586"/>
      <c r="M27" s="587"/>
      <c r="N27" s="587"/>
      <c r="O27" s="588"/>
      <c r="P27" s="587"/>
      <c r="Q27" s="587"/>
      <c r="R27" s="577"/>
      <c r="S27" s="577"/>
    </row>
    <row r="28" spans="1:19" x14ac:dyDescent="0.2">
      <c r="A28" s="583" t="s">
        <v>604</v>
      </c>
      <c r="B28" s="584"/>
      <c r="C28" s="587"/>
      <c r="D28" s="587"/>
      <c r="E28" s="587">
        <f>3+15+31+17</f>
        <v>66</v>
      </c>
      <c r="F28" s="588"/>
      <c r="G28" s="587"/>
      <c r="H28" s="576">
        <f>SUM(C28:G29)</f>
        <v>66</v>
      </c>
      <c r="I28" s="577"/>
      <c r="K28" s="583" t="s">
        <v>604</v>
      </c>
      <c r="L28" s="584"/>
      <c r="M28" s="587"/>
      <c r="N28" s="587"/>
      <c r="O28" s="587">
        <f>2*(E28/carr_elev!$L$6+35)</f>
        <v>129.4</v>
      </c>
      <c r="P28" s="588"/>
      <c r="Q28" s="587"/>
      <c r="R28" s="576">
        <f>SUM(M28:Q29)</f>
        <v>129.4</v>
      </c>
      <c r="S28" s="577"/>
    </row>
    <row r="29" spans="1:19" x14ac:dyDescent="0.2">
      <c r="A29" s="585"/>
      <c r="B29" s="586"/>
      <c r="C29" s="587"/>
      <c r="D29" s="587"/>
      <c r="E29" s="587"/>
      <c r="F29" s="588"/>
      <c r="G29" s="587"/>
      <c r="H29" s="577"/>
      <c r="I29" s="577"/>
      <c r="K29" s="585"/>
      <c r="L29" s="586"/>
      <c r="M29" s="587"/>
      <c r="N29" s="587"/>
      <c r="O29" s="587"/>
      <c r="P29" s="588"/>
      <c r="Q29" s="587"/>
      <c r="R29" s="577"/>
      <c r="S29" s="577"/>
    </row>
    <row r="30" spans="1:19" x14ac:dyDescent="0.2">
      <c r="A30" s="583" t="s">
        <v>605</v>
      </c>
      <c r="B30" s="584"/>
      <c r="C30" s="587"/>
      <c r="D30" s="587"/>
      <c r="E30" s="587"/>
      <c r="F30" s="587">
        <v>15</v>
      </c>
      <c r="G30" s="588"/>
      <c r="H30" s="576">
        <f>SUM(C30:G31)</f>
        <v>15</v>
      </c>
      <c r="I30" s="577"/>
      <c r="K30" s="583" t="s">
        <v>605</v>
      </c>
      <c r="L30" s="584"/>
      <c r="M30" s="587"/>
      <c r="N30" s="587"/>
      <c r="O30" s="587"/>
      <c r="P30" s="587">
        <f>2*(F30/carr_elev!$L$6+35)</f>
        <v>83.5</v>
      </c>
      <c r="Q30" s="588"/>
      <c r="R30" s="576">
        <f>SUM(M30:Q31)</f>
        <v>83.5</v>
      </c>
      <c r="S30" s="577"/>
    </row>
    <row r="31" spans="1:19" x14ac:dyDescent="0.2">
      <c r="A31" s="585"/>
      <c r="B31" s="586"/>
      <c r="C31" s="587"/>
      <c r="D31" s="587"/>
      <c r="E31" s="587"/>
      <c r="F31" s="587"/>
      <c r="G31" s="588"/>
      <c r="H31" s="577"/>
      <c r="I31" s="577"/>
      <c r="K31" s="585"/>
      <c r="L31" s="586"/>
      <c r="M31" s="587"/>
      <c r="N31" s="587"/>
      <c r="O31" s="587"/>
      <c r="P31" s="587"/>
      <c r="Q31" s="588"/>
      <c r="R31" s="577"/>
      <c r="S31" s="577"/>
    </row>
    <row r="32" spans="1:19" ht="19" x14ac:dyDescent="0.2">
      <c r="A32" s="578" t="s">
        <v>7</v>
      </c>
      <c r="B32" s="578"/>
      <c r="C32" s="579">
        <f>SUM(C22:C31)</f>
        <v>0</v>
      </c>
      <c r="D32" s="579">
        <f>SUM(D22:D31)</f>
        <v>61</v>
      </c>
      <c r="E32" s="579">
        <f>SUM(E22:E31)</f>
        <v>173</v>
      </c>
      <c r="F32" s="579">
        <f>SUM(F22:F31)</f>
        <v>15</v>
      </c>
      <c r="G32" s="579">
        <f>SUM(G22:G31)</f>
        <v>33</v>
      </c>
      <c r="H32" s="581">
        <f>SUM(H22:I31)</f>
        <v>282</v>
      </c>
      <c r="I32" s="581"/>
      <c r="K32" s="578" t="s">
        <v>7</v>
      </c>
      <c r="L32" s="578"/>
      <c r="M32" s="579">
        <f>SUM(M22:M31)</f>
        <v>0</v>
      </c>
      <c r="N32" s="579">
        <f>SUM(N22:N31)</f>
        <v>124.9</v>
      </c>
      <c r="O32" s="579">
        <f>SUM(O22:O31)</f>
        <v>295.70000000000005</v>
      </c>
      <c r="P32" s="579">
        <f>SUM(P22:P31)</f>
        <v>83.5</v>
      </c>
      <c r="Q32" s="579">
        <f>SUM(Q22:Q31)</f>
        <v>99.7</v>
      </c>
      <c r="R32" s="581">
        <f>SUM(R22:S31)</f>
        <v>603.79999999999995</v>
      </c>
      <c r="S32" s="581"/>
    </row>
    <row r="33" spans="1:19" ht="19" x14ac:dyDescent="0.2">
      <c r="A33" s="578"/>
      <c r="B33" s="578"/>
      <c r="C33" s="580"/>
      <c r="D33" s="580"/>
      <c r="E33" s="580"/>
      <c r="F33" s="580"/>
      <c r="G33" s="580"/>
      <c r="H33" s="581">
        <f>SUM(C32:G33)</f>
        <v>282</v>
      </c>
      <c r="I33" s="582"/>
      <c r="K33" s="578"/>
      <c r="L33" s="578"/>
      <c r="M33" s="580"/>
      <c r="N33" s="580"/>
      <c r="O33" s="580"/>
      <c r="P33" s="580"/>
      <c r="Q33" s="580"/>
      <c r="R33" s="581">
        <f>SUM(M32:Q33)</f>
        <v>603.80000000000007</v>
      </c>
      <c r="S33" s="582"/>
    </row>
    <row r="35" spans="1:19" x14ac:dyDescent="0.2">
      <c r="A35" s="589" t="s">
        <v>608</v>
      </c>
      <c r="B35" s="589"/>
      <c r="C35" s="589"/>
      <c r="D35" s="589"/>
      <c r="E35" s="589"/>
      <c r="F35" s="589"/>
      <c r="G35" s="589"/>
      <c r="H35" s="589"/>
      <c r="I35" s="589"/>
      <c r="K35" s="589" t="s">
        <v>609</v>
      </c>
      <c r="L35" s="589"/>
      <c r="M35" s="589"/>
      <c r="N35" s="589"/>
      <c r="O35" s="589"/>
      <c r="P35" s="589"/>
      <c r="Q35" s="589"/>
      <c r="R35" s="589"/>
      <c r="S35" s="589"/>
    </row>
    <row r="36" spans="1:19" x14ac:dyDescent="0.2">
      <c r="A36" s="589"/>
      <c r="B36" s="589"/>
      <c r="C36" s="589"/>
      <c r="D36" s="589"/>
      <c r="E36" s="589"/>
      <c r="F36" s="589"/>
      <c r="G36" s="589"/>
      <c r="H36" s="589"/>
      <c r="I36" s="589"/>
      <c r="K36" s="589"/>
      <c r="L36" s="589"/>
      <c r="M36" s="589"/>
      <c r="N36" s="589"/>
      <c r="O36" s="589"/>
      <c r="P36" s="589"/>
      <c r="Q36" s="589"/>
      <c r="R36" s="589"/>
      <c r="S36" s="589"/>
    </row>
    <row r="37" spans="1:19" x14ac:dyDescent="0.2">
      <c r="A37" s="590" t="s">
        <v>600</v>
      </c>
      <c r="B37" s="590"/>
      <c r="C37" s="591" t="s">
        <v>601</v>
      </c>
      <c r="D37" s="591" t="s">
        <v>602</v>
      </c>
      <c r="E37" s="591" t="s">
        <v>603</v>
      </c>
      <c r="F37" s="591" t="s">
        <v>604</v>
      </c>
      <c r="G37" s="591" t="s">
        <v>605</v>
      </c>
      <c r="H37" s="578" t="s">
        <v>7</v>
      </c>
      <c r="I37" s="578"/>
      <c r="K37" s="590" t="s">
        <v>600</v>
      </c>
      <c r="L37" s="590"/>
      <c r="M37" s="591" t="s">
        <v>601</v>
      </c>
      <c r="N37" s="591" t="s">
        <v>602</v>
      </c>
      <c r="O37" s="591" t="s">
        <v>603</v>
      </c>
      <c r="P37" s="591" t="s">
        <v>604</v>
      </c>
      <c r="Q37" s="591" t="s">
        <v>605</v>
      </c>
      <c r="R37" s="578" t="s">
        <v>7</v>
      </c>
      <c r="S37" s="578"/>
    </row>
    <row r="38" spans="1:19" x14ac:dyDescent="0.2">
      <c r="A38" s="590"/>
      <c r="B38" s="590"/>
      <c r="C38" s="591"/>
      <c r="D38" s="591"/>
      <c r="E38" s="591"/>
      <c r="F38" s="591"/>
      <c r="G38" s="591"/>
      <c r="H38" s="578"/>
      <c r="I38" s="578"/>
      <c r="K38" s="590"/>
      <c r="L38" s="590"/>
      <c r="M38" s="591"/>
      <c r="N38" s="591"/>
      <c r="O38" s="591"/>
      <c r="P38" s="591"/>
      <c r="Q38" s="591"/>
      <c r="R38" s="578"/>
      <c r="S38" s="578"/>
    </row>
    <row r="39" spans="1:19" x14ac:dyDescent="0.2">
      <c r="A39" s="583" t="s">
        <v>601</v>
      </c>
      <c r="B39" s="584"/>
      <c r="C39" s="588"/>
      <c r="D39" s="587"/>
      <c r="E39" s="592">
        <f>O39/(0.8*$K$2)</f>
        <v>0.18938755136853533</v>
      </c>
      <c r="F39" s="587"/>
      <c r="G39" s="592">
        <f>Q39/(0.8*$K$2)</f>
        <v>2.6092566012532865</v>
      </c>
      <c r="H39" s="576">
        <f>SUM(C39:G40)</f>
        <v>2.7986441526218218</v>
      </c>
      <c r="I39" s="577"/>
      <c r="K39" s="583" t="s">
        <v>601</v>
      </c>
      <c r="L39" s="584"/>
      <c r="M39" s="588"/>
      <c r="N39" s="587"/>
      <c r="O39" s="587">
        <f>E5*O22</f>
        <v>171954.2</v>
      </c>
      <c r="P39" s="587"/>
      <c r="Q39" s="587">
        <f>G5*Q22</f>
        <v>2369071.4</v>
      </c>
      <c r="R39" s="576">
        <f>SUM(M39:Q40)</f>
        <v>2541025.6</v>
      </c>
      <c r="S39" s="577"/>
    </row>
    <row r="40" spans="1:19" x14ac:dyDescent="0.2">
      <c r="A40" s="585"/>
      <c r="B40" s="586"/>
      <c r="C40" s="588"/>
      <c r="D40" s="587"/>
      <c r="E40" s="592"/>
      <c r="F40" s="587"/>
      <c r="G40" s="592"/>
      <c r="H40" s="577"/>
      <c r="I40" s="577"/>
      <c r="K40" s="585"/>
      <c r="L40" s="586"/>
      <c r="M40" s="588"/>
      <c r="N40" s="587"/>
      <c r="O40" s="587"/>
      <c r="P40" s="587"/>
      <c r="Q40" s="587"/>
      <c r="R40" s="577"/>
      <c r="S40" s="577"/>
    </row>
    <row r="41" spans="1:19" x14ac:dyDescent="0.2">
      <c r="A41" s="583" t="s">
        <v>602</v>
      </c>
      <c r="B41" s="584"/>
      <c r="C41" s="587"/>
      <c r="D41" s="588"/>
      <c r="E41" s="587"/>
      <c r="F41" s="587"/>
      <c r="G41" s="587"/>
      <c r="H41" s="576">
        <f>SUM(E41:G42)</f>
        <v>0</v>
      </c>
      <c r="I41" s="577"/>
      <c r="K41" s="583" t="s">
        <v>602</v>
      </c>
      <c r="L41" s="584"/>
      <c r="M41" s="587"/>
      <c r="N41" s="588"/>
      <c r="O41" s="587"/>
      <c r="P41" s="587"/>
      <c r="Q41" s="587"/>
      <c r="R41" s="576">
        <f>SUM(O41:Q42)</f>
        <v>0</v>
      </c>
      <c r="S41" s="577"/>
    </row>
    <row r="42" spans="1:19" x14ac:dyDescent="0.2">
      <c r="A42" s="585"/>
      <c r="B42" s="586"/>
      <c r="C42" s="587"/>
      <c r="D42" s="588"/>
      <c r="E42" s="587"/>
      <c r="F42" s="587"/>
      <c r="G42" s="587"/>
      <c r="H42" s="577"/>
      <c r="I42" s="577"/>
      <c r="K42" s="585"/>
      <c r="L42" s="586"/>
      <c r="M42" s="587"/>
      <c r="N42" s="588"/>
      <c r="O42" s="587"/>
      <c r="P42" s="587"/>
      <c r="Q42" s="587"/>
      <c r="R42" s="577"/>
      <c r="S42" s="577"/>
    </row>
    <row r="43" spans="1:19" x14ac:dyDescent="0.2">
      <c r="A43" s="583" t="s">
        <v>603</v>
      </c>
      <c r="B43" s="584"/>
      <c r="C43" s="587"/>
      <c r="D43" s="592">
        <f>N43/(0.8*$K$2)</f>
        <v>2.9351779527656188</v>
      </c>
      <c r="E43" s="588"/>
      <c r="F43" s="587"/>
      <c r="G43" s="587"/>
      <c r="H43" s="576">
        <f>SUM(C43:G44)</f>
        <v>2.9351779527656188</v>
      </c>
      <c r="I43" s="577"/>
      <c r="K43" s="583" t="s">
        <v>603</v>
      </c>
      <c r="L43" s="584"/>
      <c r="M43" s="587"/>
      <c r="N43" s="587">
        <f>D9*N26</f>
        <v>2664991.3000000003</v>
      </c>
      <c r="O43" s="588"/>
      <c r="P43" s="587"/>
      <c r="Q43" s="587"/>
      <c r="R43" s="576">
        <f>SUM(M43:Q44)</f>
        <v>2664991.3000000003</v>
      </c>
      <c r="S43" s="577"/>
    </row>
    <row r="44" spans="1:19" x14ac:dyDescent="0.2">
      <c r="A44" s="585"/>
      <c r="B44" s="586"/>
      <c r="C44" s="587"/>
      <c r="D44" s="592"/>
      <c r="E44" s="588"/>
      <c r="F44" s="587"/>
      <c r="G44" s="587"/>
      <c r="H44" s="577"/>
      <c r="I44" s="577"/>
      <c r="K44" s="585"/>
      <c r="L44" s="586"/>
      <c r="M44" s="587"/>
      <c r="N44" s="587"/>
      <c r="O44" s="588"/>
      <c r="P44" s="587"/>
      <c r="Q44" s="587"/>
      <c r="R44" s="577"/>
      <c r="S44" s="577"/>
    </row>
    <row r="45" spans="1:19" x14ac:dyDescent="0.2">
      <c r="A45" s="583" t="s">
        <v>604</v>
      </c>
      <c r="B45" s="584"/>
      <c r="C45" s="587"/>
      <c r="D45" s="587"/>
      <c r="E45" s="592">
        <f>O45/(0.8*$K$2)</f>
        <v>2.1349353619939802</v>
      </c>
      <c r="F45" s="588"/>
      <c r="G45" s="587"/>
      <c r="H45" s="576">
        <f>SUM(C45:G46)</f>
        <v>2.1349353619939802</v>
      </c>
      <c r="I45" s="577"/>
      <c r="K45" s="583" t="s">
        <v>604</v>
      </c>
      <c r="L45" s="584"/>
      <c r="M45" s="587"/>
      <c r="N45" s="587"/>
      <c r="O45" s="587">
        <f>E11*O28</f>
        <v>1938412</v>
      </c>
      <c r="P45" s="588"/>
      <c r="Q45" s="587"/>
      <c r="R45" s="576">
        <f>SUM(M45:Q46)</f>
        <v>1938412</v>
      </c>
      <c r="S45" s="577"/>
    </row>
    <row r="46" spans="1:19" x14ac:dyDescent="0.2">
      <c r="A46" s="585"/>
      <c r="B46" s="586"/>
      <c r="C46" s="587"/>
      <c r="D46" s="587"/>
      <c r="E46" s="592"/>
      <c r="F46" s="588"/>
      <c r="G46" s="587"/>
      <c r="H46" s="577"/>
      <c r="I46" s="577"/>
      <c r="K46" s="585"/>
      <c r="L46" s="586"/>
      <c r="M46" s="587"/>
      <c r="N46" s="587"/>
      <c r="O46" s="587"/>
      <c r="P46" s="588"/>
      <c r="Q46" s="587"/>
      <c r="R46" s="577"/>
      <c r="S46" s="577"/>
    </row>
    <row r="47" spans="1:19" x14ac:dyDescent="0.2">
      <c r="A47" s="583" t="s">
        <v>605</v>
      </c>
      <c r="B47" s="584"/>
      <c r="C47" s="587"/>
      <c r="D47" s="587"/>
      <c r="E47" s="587"/>
      <c r="F47" s="592">
        <f>P47/(0.8*$K$2)</f>
        <v>1.377643761410335</v>
      </c>
      <c r="G47" s="588"/>
      <c r="H47" s="576">
        <f>SUM(C47:G48)</f>
        <v>1.377643761410335</v>
      </c>
      <c r="I47" s="577"/>
      <c r="K47" s="583" t="s">
        <v>605</v>
      </c>
      <c r="L47" s="584"/>
      <c r="M47" s="587"/>
      <c r="N47" s="587"/>
      <c r="O47" s="587"/>
      <c r="P47" s="587">
        <f>F13*P30</f>
        <v>1250830</v>
      </c>
      <c r="Q47" s="588"/>
      <c r="R47" s="576">
        <f>SUM(M47:Q48)</f>
        <v>1250830</v>
      </c>
      <c r="S47" s="577"/>
    </row>
    <row r="48" spans="1:19" x14ac:dyDescent="0.2">
      <c r="A48" s="585"/>
      <c r="B48" s="586"/>
      <c r="C48" s="587"/>
      <c r="D48" s="587"/>
      <c r="E48" s="587"/>
      <c r="F48" s="592"/>
      <c r="G48" s="588"/>
      <c r="H48" s="577"/>
      <c r="I48" s="577"/>
      <c r="K48" s="585"/>
      <c r="L48" s="586"/>
      <c r="M48" s="587"/>
      <c r="N48" s="587"/>
      <c r="O48" s="587"/>
      <c r="P48" s="587"/>
      <c r="Q48" s="588"/>
      <c r="R48" s="577"/>
      <c r="S48" s="577"/>
    </row>
    <row r="49" spans="1:19" ht="19" x14ac:dyDescent="0.2">
      <c r="A49" s="578" t="s">
        <v>7</v>
      </c>
      <c r="B49" s="578"/>
      <c r="C49" s="579">
        <f>SUM(C39:C48)</f>
        <v>0</v>
      </c>
      <c r="D49" s="579">
        <f>SUM(D39:D48)</f>
        <v>2.9351779527656188</v>
      </c>
      <c r="E49" s="579">
        <f>SUM(E39:E48)</f>
        <v>2.3243229133625154</v>
      </c>
      <c r="F49" s="579">
        <f>SUM(F39:F48)</f>
        <v>1.377643761410335</v>
      </c>
      <c r="G49" s="579">
        <f>SUM(G39:G48)</f>
        <v>2.6092566012532865</v>
      </c>
      <c r="H49" s="572">
        <f>ROUNDUP(SUM(E39,G39,F47,E45,D43),0)</f>
        <v>10</v>
      </c>
      <c r="I49" s="573"/>
      <c r="K49" s="578" t="s">
        <v>7</v>
      </c>
      <c r="L49" s="578"/>
      <c r="M49" s="579">
        <f>SUM(M39:M48)</f>
        <v>0</v>
      </c>
      <c r="N49" s="579">
        <f>SUM(N39:N48)</f>
        <v>2664991.3000000003</v>
      </c>
      <c r="O49" s="579">
        <f>SUM(O39:O48)</f>
        <v>2110366.2000000002</v>
      </c>
      <c r="P49" s="579">
        <f>SUM(P39:P48)</f>
        <v>1250830</v>
      </c>
      <c r="Q49" s="579">
        <f>SUM(Q39:Q48)</f>
        <v>2369071.4</v>
      </c>
      <c r="R49" s="581">
        <f>SUM(R39:S48)</f>
        <v>8395258.9000000004</v>
      </c>
      <c r="S49" s="581"/>
    </row>
    <row r="50" spans="1:19" ht="19" x14ac:dyDescent="0.2">
      <c r="A50" s="578"/>
      <c r="B50" s="578"/>
      <c r="C50" s="580"/>
      <c r="D50" s="580"/>
      <c r="E50" s="580"/>
      <c r="F50" s="580"/>
      <c r="G50" s="580"/>
      <c r="H50" s="574"/>
      <c r="I50" s="575"/>
      <c r="K50" s="578"/>
      <c r="L50" s="578"/>
      <c r="M50" s="580"/>
      <c r="N50" s="580"/>
      <c r="O50" s="580"/>
      <c r="P50" s="580"/>
      <c r="Q50" s="580"/>
      <c r="R50" s="581">
        <f>SUM(M49:Q50)</f>
        <v>8395258.9000000004</v>
      </c>
      <c r="S50" s="582"/>
    </row>
  </sheetData>
  <mergeCells count="254">
    <mergeCell ref="A1:I2"/>
    <mergeCell ref="A3:B4"/>
    <mergeCell ref="C3:C4"/>
    <mergeCell ref="D3:D4"/>
    <mergeCell ref="E3:E4"/>
    <mergeCell ref="F3:F4"/>
    <mergeCell ref="G3:G4"/>
    <mergeCell ref="H3:I4"/>
    <mergeCell ref="H5:I6"/>
    <mergeCell ref="A7:B8"/>
    <mergeCell ref="C7:C8"/>
    <mergeCell ref="D7:D8"/>
    <mergeCell ref="E7:E8"/>
    <mergeCell ref="F7:F8"/>
    <mergeCell ref="G7:G8"/>
    <mergeCell ref="H7:I8"/>
    <mergeCell ref="A5:B6"/>
    <mergeCell ref="C5:C6"/>
    <mergeCell ref="D5:D6"/>
    <mergeCell ref="E5:E6"/>
    <mergeCell ref="F5:F6"/>
    <mergeCell ref="G5:G6"/>
    <mergeCell ref="H16:I16"/>
    <mergeCell ref="A13:B14"/>
    <mergeCell ref="C13:C14"/>
    <mergeCell ref="D13:D14"/>
    <mergeCell ref="E13:E14"/>
    <mergeCell ref="F13:F14"/>
    <mergeCell ref="G13:G14"/>
    <mergeCell ref="H9:I10"/>
    <mergeCell ref="A11:B12"/>
    <mergeCell ref="C11:C12"/>
    <mergeCell ref="D11:D12"/>
    <mergeCell ref="E11:E12"/>
    <mergeCell ref="F11:F12"/>
    <mergeCell ref="G11:G12"/>
    <mergeCell ref="H11:I12"/>
    <mergeCell ref="A9:B10"/>
    <mergeCell ref="C9:C10"/>
    <mergeCell ref="D9:D10"/>
    <mergeCell ref="E9:E10"/>
    <mergeCell ref="F9:F10"/>
    <mergeCell ref="G9:G10"/>
    <mergeCell ref="K18:S19"/>
    <mergeCell ref="K20:L21"/>
    <mergeCell ref="M20:M21"/>
    <mergeCell ref="N20:N21"/>
    <mergeCell ref="O20:O21"/>
    <mergeCell ref="P20:P21"/>
    <mergeCell ref="Q20:Q21"/>
    <mergeCell ref="R20:S21"/>
    <mergeCell ref="H13:I14"/>
    <mergeCell ref="A18:I19"/>
    <mergeCell ref="A20:B21"/>
    <mergeCell ref="C20:C21"/>
    <mergeCell ref="D20:D21"/>
    <mergeCell ref="E20:E21"/>
    <mergeCell ref="F20:F21"/>
    <mergeCell ref="G20:G21"/>
    <mergeCell ref="H20:I21"/>
    <mergeCell ref="A15:B16"/>
    <mergeCell ref="C15:C16"/>
    <mergeCell ref="D15:D16"/>
    <mergeCell ref="E15:E16"/>
    <mergeCell ref="F15:F16"/>
    <mergeCell ref="G15:G16"/>
    <mergeCell ref="H15:I15"/>
    <mergeCell ref="K24:L25"/>
    <mergeCell ref="M24:M25"/>
    <mergeCell ref="N24:N25"/>
    <mergeCell ref="O24:O25"/>
    <mergeCell ref="P24:P25"/>
    <mergeCell ref="Q24:Q25"/>
    <mergeCell ref="R24:S25"/>
    <mergeCell ref="K22:L23"/>
    <mergeCell ref="M22:M23"/>
    <mergeCell ref="N22:N23"/>
    <mergeCell ref="O22:O23"/>
    <mergeCell ref="P22:P23"/>
    <mergeCell ref="Q22:Q23"/>
    <mergeCell ref="R22:S23"/>
    <mergeCell ref="K32:L33"/>
    <mergeCell ref="M32:M33"/>
    <mergeCell ref="N32:N33"/>
    <mergeCell ref="O32:O33"/>
    <mergeCell ref="P32:P33"/>
    <mergeCell ref="Q32:Q33"/>
    <mergeCell ref="R32:S32"/>
    <mergeCell ref="R33:S33"/>
    <mergeCell ref="K30:L31"/>
    <mergeCell ref="M30:M31"/>
    <mergeCell ref="N30:N31"/>
    <mergeCell ref="O30:O31"/>
    <mergeCell ref="P30:P31"/>
    <mergeCell ref="Q30:Q31"/>
    <mergeCell ref="R30:S31"/>
    <mergeCell ref="R26:S27"/>
    <mergeCell ref="K28:L29"/>
    <mergeCell ref="M28:M29"/>
    <mergeCell ref="N28:N29"/>
    <mergeCell ref="O28:O29"/>
    <mergeCell ref="P28:P29"/>
    <mergeCell ref="Q28:Q29"/>
    <mergeCell ref="R28:S29"/>
    <mergeCell ref="K26:L27"/>
    <mergeCell ref="M26:M27"/>
    <mergeCell ref="N26:N27"/>
    <mergeCell ref="O26:O27"/>
    <mergeCell ref="P26:P27"/>
    <mergeCell ref="Q26:Q27"/>
    <mergeCell ref="H22:I23"/>
    <mergeCell ref="A24:B25"/>
    <mergeCell ref="C24:C25"/>
    <mergeCell ref="D24:D25"/>
    <mergeCell ref="E24:E25"/>
    <mergeCell ref="F24:F25"/>
    <mergeCell ref="G24:G25"/>
    <mergeCell ref="H24:I25"/>
    <mergeCell ref="A22:B23"/>
    <mergeCell ref="C22:C23"/>
    <mergeCell ref="D22:D23"/>
    <mergeCell ref="E22:E23"/>
    <mergeCell ref="F22:F23"/>
    <mergeCell ref="G22:G23"/>
    <mergeCell ref="H26:I27"/>
    <mergeCell ref="A28:B29"/>
    <mergeCell ref="C28:C29"/>
    <mergeCell ref="D28:D29"/>
    <mergeCell ref="E28:E29"/>
    <mergeCell ref="F28:F29"/>
    <mergeCell ref="G28:G29"/>
    <mergeCell ref="H28:I29"/>
    <mergeCell ref="A26:B27"/>
    <mergeCell ref="C26:C27"/>
    <mergeCell ref="D26:D27"/>
    <mergeCell ref="E26:E27"/>
    <mergeCell ref="F26:F27"/>
    <mergeCell ref="G26:G27"/>
    <mergeCell ref="H30:I31"/>
    <mergeCell ref="A32:B33"/>
    <mergeCell ref="C32:C33"/>
    <mergeCell ref="D32:D33"/>
    <mergeCell ref="E32:E33"/>
    <mergeCell ref="F32:F33"/>
    <mergeCell ref="G32:G33"/>
    <mergeCell ref="H32:I32"/>
    <mergeCell ref="H33:I33"/>
    <mergeCell ref="A30:B31"/>
    <mergeCell ref="C30:C31"/>
    <mergeCell ref="D30:D31"/>
    <mergeCell ref="E30:E31"/>
    <mergeCell ref="F30:F31"/>
    <mergeCell ref="G30:G31"/>
    <mergeCell ref="A41:B42"/>
    <mergeCell ref="C41:C42"/>
    <mergeCell ref="D41:D42"/>
    <mergeCell ref="E41:E42"/>
    <mergeCell ref="F41:F42"/>
    <mergeCell ref="G41:G42"/>
    <mergeCell ref="H41:I42"/>
    <mergeCell ref="A39:B40"/>
    <mergeCell ref="C39:C40"/>
    <mergeCell ref="D39:D40"/>
    <mergeCell ref="E39:E40"/>
    <mergeCell ref="F39:F40"/>
    <mergeCell ref="G39:G40"/>
    <mergeCell ref="A45:B46"/>
    <mergeCell ref="C45:C46"/>
    <mergeCell ref="D45:D46"/>
    <mergeCell ref="E45:E46"/>
    <mergeCell ref="F45:F46"/>
    <mergeCell ref="G45:G46"/>
    <mergeCell ref="H45:I46"/>
    <mergeCell ref="A43:B44"/>
    <mergeCell ref="C43:C44"/>
    <mergeCell ref="D43:D44"/>
    <mergeCell ref="E43:E44"/>
    <mergeCell ref="F43:F44"/>
    <mergeCell ref="G43:G44"/>
    <mergeCell ref="A49:B50"/>
    <mergeCell ref="C49:C50"/>
    <mergeCell ref="D49:D50"/>
    <mergeCell ref="E49:E50"/>
    <mergeCell ref="F49:F50"/>
    <mergeCell ref="G49:G50"/>
    <mergeCell ref="A47:B48"/>
    <mergeCell ref="C47:C48"/>
    <mergeCell ref="D47:D48"/>
    <mergeCell ref="E47:E48"/>
    <mergeCell ref="F47:F48"/>
    <mergeCell ref="G47:G48"/>
    <mergeCell ref="K35:S36"/>
    <mergeCell ref="K37:L38"/>
    <mergeCell ref="M37:M38"/>
    <mergeCell ref="N37:N38"/>
    <mergeCell ref="O37:O38"/>
    <mergeCell ref="P37:P38"/>
    <mergeCell ref="Q37:Q38"/>
    <mergeCell ref="R37:S38"/>
    <mergeCell ref="H47:I48"/>
    <mergeCell ref="H43:I44"/>
    <mergeCell ref="H39:I40"/>
    <mergeCell ref="A35:I36"/>
    <mergeCell ref="A37:B38"/>
    <mergeCell ref="C37:C38"/>
    <mergeCell ref="D37:D38"/>
    <mergeCell ref="E37:E38"/>
    <mergeCell ref="F37:F38"/>
    <mergeCell ref="G37:G38"/>
    <mergeCell ref="H37:I38"/>
    <mergeCell ref="R39:S40"/>
    <mergeCell ref="K41:L42"/>
    <mergeCell ref="M41:M42"/>
    <mergeCell ref="N41:N42"/>
    <mergeCell ref="O41:O42"/>
    <mergeCell ref="P41:P42"/>
    <mergeCell ref="Q41:Q42"/>
    <mergeCell ref="R41:S42"/>
    <mergeCell ref="K39:L40"/>
    <mergeCell ref="M39:M40"/>
    <mergeCell ref="N39:N40"/>
    <mergeCell ref="O39:O40"/>
    <mergeCell ref="P39:P40"/>
    <mergeCell ref="Q39:Q40"/>
    <mergeCell ref="R43:S44"/>
    <mergeCell ref="K45:L46"/>
    <mergeCell ref="M45:M46"/>
    <mergeCell ref="N45:N46"/>
    <mergeCell ref="O45:O46"/>
    <mergeCell ref="P45:P46"/>
    <mergeCell ref="Q45:Q46"/>
    <mergeCell ref="R45:S46"/>
    <mergeCell ref="K43:L44"/>
    <mergeCell ref="M43:M44"/>
    <mergeCell ref="N43:N44"/>
    <mergeCell ref="O43:O44"/>
    <mergeCell ref="P43:P44"/>
    <mergeCell ref="Q43:Q44"/>
    <mergeCell ref="H49:I50"/>
    <mergeCell ref="R47:S48"/>
    <mergeCell ref="K49:L50"/>
    <mergeCell ref="M49:M50"/>
    <mergeCell ref="N49:N50"/>
    <mergeCell ref="O49:O50"/>
    <mergeCell ref="P49:P50"/>
    <mergeCell ref="Q49:Q50"/>
    <mergeCell ref="R49:S49"/>
    <mergeCell ref="R50:S50"/>
    <mergeCell ref="K47:L48"/>
    <mergeCell ref="M47:M48"/>
    <mergeCell ref="N47:N48"/>
    <mergeCell ref="O47:O48"/>
    <mergeCell ref="P47:P48"/>
    <mergeCell ref="Q47:Q4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8FDA-F657-434F-A828-B65CFFBF3A73}">
  <dimension ref="A1:AC76"/>
  <sheetViews>
    <sheetView topLeftCell="A12" zoomScale="94" zoomScaleNormal="85" workbookViewId="0">
      <selection activeCell="U75" sqref="U75"/>
    </sheetView>
  </sheetViews>
  <sheetFormatPr baseColWidth="10" defaultColWidth="8.5" defaultRowHeight="16" x14ac:dyDescent="0.2"/>
  <cols>
    <col min="6" max="6" width="9" customWidth="1"/>
  </cols>
  <sheetData>
    <row r="1" spans="1:29" x14ac:dyDescent="0.2">
      <c r="A1" s="104"/>
      <c r="B1" s="104"/>
      <c r="C1" s="104"/>
      <c r="D1" s="104"/>
      <c r="E1" s="104"/>
      <c r="F1" s="104"/>
      <c r="G1" s="614" t="s">
        <v>30</v>
      </c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614" t="s">
        <v>32</v>
      </c>
      <c r="V1" s="104"/>
      <c r="W1" s="104"/>
      <c r="X1" s="104"/>
      <c r="Y1" s="104"/>
      <c r="Z1" s="104"/>
      <c r="AA1" s="104"/>
      <c r="AB1" s="104"/>
      <c r="AC1" s="104"/>
    </row>
    <row r="2" spans="1:29" x14ac:dyDescent="0.2">
      <c r="A2" s="104"/>
      <c r="B2" s="104"/>
      <c r="C2" s="104"/>
      <c r="D2" s="104"/>
      <c r="E2" s="104"/>
      <c r="F2" s="104"/>
      <c r="G2" s="61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614"/>
      <c r="V2" s="104"/>
      <c r="W2" s="104"/>
      <c r="X2" s="104"/>
      <c r="Y2" s="104"/>
      <c r="Z2" s="104"/>
      <c r="AA2" s="104"/>
      <c r="AB2" s="104"/>
      <c r="AC2" s="104"/>
    </row>
    <row r="3" spans="1:29" ht="17" thickBot="1" x14ac:dyDescent="0.25">
      <c r="A3" s="104"/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</row>
    <row r="4" spans="1:29" x14ac:dyDescent="0.2">
      <c r="A4" s="104"/>
      <c r="B4" s="104"/>
      <c r="C4" s="104"/>
      <c r="D4" s="104"/>
      <c r="E4" s="104"/>
      <c r="F4" s="608" t="s">
        <v>610</v>
      </c>
      <c r="G4" s="609"/>
      <c r="H4" s="610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608" t="s">
        <v>610</v>
      </c>
      <c r="U4" s="609"/>
      <c r="V4" s="610"/>
      <c r="W4" s="104"/>
      <c r="X4" s="104"/>
      <c r="Y4" s="104"/>
      <c r="Z4" s="104"/>
      <c r="AA4" s="104"/>
      <c r="AB4" s="104"/>
      <c r="AC4" s="104"/>
    </row>
    <row r="5" spans="1:29" ht="17" thickBot="1" x14ac:dyDescent="0.25">
      <c r="A5" s="104"/>
      <c r="B5" s="104"/>
      <c r="C5" s="104"/>
      <c r="D5" s="104"/>
      <c r="E5" s="104"/>
      <c r="F5" s="611"/>
      <c r="G5" s="612"/>
      <c r="H5" s="613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611"/>
      <c r="U5" s="612"/>
      <c r="V5" s="613"/>
      <c r="W5" s="104"/>
      <c r="X5" s="104"/>
      <c r="Y5" s="104"/>
      <c r="Z5" s="104"/>
      <c r="AA5" s="104"/>
      <c r="AB5" s="104"/>
      <c r="AC5" s="104"/>
    </row>
    <row r="6" spans="1:29" x14ac:dyDescent="0.2">
      <c r="A6" s="104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</row>
    <row r="7" spans="1:29" x14ac:dyDescent="0.2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</row>
    <row r="8" spans="1:29" x14ac:dyDescent="0.2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</row>
    <row r="9" spans="1:29" ht="17" thickBot="1" x14ac:dyDescent="0.25">
      <c r="A9" s="104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</row>
    <row r="10" spans="1:29" x14ac:dyDescent="0.2">
      <c r="A10" s="104"/>
      <c r="B10" s="104"/>
      <c r="C10" s="615" t="s">
        <v>611</v>
      </c>
      <c r="D10" s="616"/>
      <c r="E10" s="104"/>
      <c r="F10" s="104"/>
      <c r="G10" s="104"/>
      <c r="H10" s="104"/>
      <c r="I10" s="104"/>
      <c r="J10" s="104"/>
      <c r="K10" s="615" t="s">
        <v>612</v>
      </c>
      <c r="L10" s="616"/>
      <c r="M10" s="104"/>
      <c r="N10" s="104"/>
      <c r="O10" s="104"/>
      <c r="P10" s="104"/>
      <c r="Q10" s="615" t="s">
        <v>611</v>
      </c>
      <c r="R10" s="616"/>
      <c r="S10" s="104"/>
      <c r="T10" s="104"/>
      <c r="U10" s="104"/>
      <c r="V10" s="104"/>
      <c r="W10" s="104"/>
      <c r="X10" s="104"/>
      <c r="Y10" s="615" t="s">
        <v>612</v>
      </c>
      <c r="Z10" s="616"/>
      <c r="AA10" s="104"/>
      <c r="AB10" s="104"/>
      <c r="AC10" s="104"/>
    </row>
    <row r="11" spans="1:29" ht="17" thickBot="1" x14ac:dyDescent="0.25">
      <c r="A11" s="104"/>
      <c r="B11" s="104"/>
      <c r="C11" s="617"/>
      <c r="D11" s="618"/>
      <c r="E11" s="104"/>
      <c r="F11" s="104"/>
      <c r="G11" s="104"/>
      <c r="H11" s="104"/>
      <c r="I11" s="104"/>
      <c r="J11" s="104"/>
      <c r="K11" s="617"/>
      <c r="L11" s="618"/>
      <c r="M11" s="104"/>
      <c r="N11" s="104"/>
      <c r="O11" s="104"/>
      <c r="P11" s="104"/>
      <c r="Q11" s="617"/>
      <c r="R11" s="618"/>
      <c r="S11" s="104"/>
      <c r="T11" s="104"/>
      <c r="U11" s="104"/>
      <c r="V11" s="104"/>
      <c r="W11" s="104"/>
      <c r="X11" s="104"/>
      <c r="Y11" s="617"/>
      <c r="Z11" s="618"/>
      <c r="AA11" s="104"/>
      <c r="AB11" s="104"/>
      <c r="AC11" s="104"/>
    </row>
    <row r="12" spans="1:29" ht="17" thickBot="1" x14ac:dyDescent="0.25">
      <c r="A12" s="104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</row>
    <row r="13" spans="1:29" x14ac:dyDescent="0.2">
      <c r="A13" s="104"/>
      <c r="B13" s="104"/>
      <c r="C13" s="104"/>
      <c r="D13" s="104"/>
      <c r="E13" s="604" t="s">
        <v>613</v>
      </c>
      <c r="F13" s="605"/>
      <c r="G13" s="104"/>
      <c r="H13" s="104"/>
      <c r="I13" s="104"/>
      <c r="J13" s="104"/>
      <c r="K13" s="104"/>
      <c r="L13" s="104"/>
      <c r="M13" s="604" t="s">
        <v>614</v>
      </c>
      <c r="N13" s="605"/>
      <c r="O13" s="104"/>
      <c r="P13" s="104"/>
      <c r="Q13" s="104"/>
      <c r="R13" s="104"/>
      <c r="S13" s="604" t="s">
        <v>613</v>
      </c>
      <c r="T13" s="605"/>
      <c r="U13" s="104"/>
      <c r="V13" s="104"/>
      <c r="W13" s="104"/>
      <c r="X13" s="104"/>
      <c r="Y13" s="104"/>
      <c r="Z13" s="104"/>
      <c r="AA13" s="604" t="s">
        <v>614</v>
      </c>
      <c r="AB13" s="605"/>
      <c r="AC13" s="104"/>
    </row>
    <row r="14" spans="1:29" ht="17" thickBot="1" x14ac:dyDescent="0.25">
      <c r="A14" s="104"/>
      <c r="B14" s="104"/>
      <c r="C14" s="104"/>
      <c r="D14" s="104"/>
      <c r="E14" s="597" t="s">
        <v>615</v>
      </c>
      <c r="F14" s="598"/>
      <c r="G14" s="104"/>
      <c r="H14" s="104"/>
      <c r="I14" s="104"/>
      <c r="J14" s="104"/>
      <c r="K14" s="104"/>
      <c r="L14" s="104"/>
      <c r="M14" s="595" t="s">
        <v>616</v>
      </c>
      <c r="N14" s="596"/>
      <c r="O14" s="104"/>
      <c r="P14" s="104"/>
      <c r="Q14" s="104"/>
      <c r="R14" s="104"/>
      <c r="S14" s="597" t="s">
        <v>617</v>
      </c>
      <c r="T14" s="598"/>
      <c r="U14" s="104"/>
      <c r="V14" s="104"/>
      <c r="W14" s="104"/>
      <c r="X14" s="104"/>
      <c r="Y14" s="104"/>
      <c r="Z14" s="104"/>
      <c r="AA14" s="595" t="s">
        <v>618</v>
      </c>
      <c r="AB14" s="596"/>
      <c r="AC14" s="104"/>
    </row>
    <row r="15" spans="1:29" ht="17" thickBot="1" x14ac:dyDescent="0.25">
      <c r="A15" s="104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597" t="s">
        <v>619</v>
      </c>
      <c r="N15" s="598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597" t="s">
        <v>620</v>
      </c>
      <c r="AB15" s="598"/>
      <c r="AC15" s="104"/>
    </row>
    <row r="16" spans="1:29" ht="17" thickBot="1" x14ac:dyDescent="0.25">
      <c r="A16" s="104"/>
      <c r="B16" s="104"/>
      <c r="C16" s="104"/>
      <c r="D16" s="104"/>
      <c r="E16" s="104"/>
      <c r="F16" s="601" t="s">
        <v>621</v>
      </c>
      <c r="G16" s="602"/>
      <c r="H16" s="104"/>
      <c r="I16" s="104"/>
      <c r="J16" s="104"/>
      <c r="K16" s="104"/>
      <c r="L16" s="104"/>
      <c r="M16" s="606" t="s">
        <v>622</v>
      </c>
      <c r="N16" s="607"/>
      <c r="O16" s="104"/>
      <c r="P16" s="104"/>
      <c r="Q16" s="104"/>
      <c r="R16" s="104"/>
      <c r="S16" s="104"/>
      <c r="T16" s="601" t="s">
        <v>621</v>
      </c>
      <c r="U16" s="602"/>
      <c r="V16" s="104"/>
      <c r="W16" s="104"/>
      <c r="X16" s="104"/>
      <c r="Y16" s="104"/>
      <c r="Z16" s="104"/>
      <c r="AA16" s="606" t="s">
        <v>622</v>
      </c>
      <c r="AB16" s="607"/>
      <c r="AC16" s="104"/>
    </row>
    <row r="17" spans="1:29" ht="17" thickBot="1" x14ac:dyDescent="0.25">
      <c r="A17" s="104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606" t="s">
        <v>623</v>
      </c>
      <c r="N17" s="607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606" t="s">
        <v>623</v>
      </c>
      <c r="AB17" s="607"/>
      <c r="AC17" s="104"/>
    </row>
    <row r="18" spans="1:29" x14ac:dyDescent="0.2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</row>
    <row r="19" spans="1:29" x14ac:dyDescent="0.2">
      <c r="A19" s="104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</row>
    <row r="20" spans="1:29" x14ac:dyDescent="0.2">
      <c r="A20" s="104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</row>
    <row r="21" spans="1:29" ht="17" thickBot="1" x14ac:dyDescent="0.25">
      <c r="A21" s="104"/>
      <c r="B21" s="104"/>
      <c r="C21" s="603">
        <f>SUM(mag_completo!Y6,mag_completo!Y8,mag_completo!Y14*J74,mag_completo!Y15*J74,mag_completo!Y16*J74,mag_completo!Y17,mag_completo!Y21*J76)</f>
        <v>25122.114967462039</v>
      </c>
      <c r="D21" s="603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603">
        <f>SUM(mag_completo!Y10,mag_completo!Y12,mag_completo!Y14*L74,mag_completo!Y15*L74,mag_completo!Y16*L74,mag_completo!Y18,mag_completo!Y21*L76)</f>
        <v>23138.842733188721</v>
      </c>
      <c r="R21" s="603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</row>
    <row r="22" spans="1:29" x14ac:dyDescent="0.2">
      <c r="A22" s="104"/>
      <c r="B22" s="104"/>
      <c r="C22" s="604" t="s">
        <v>624</v>
      </c>
      <c r="D22" s="605"/>
      <c r="E22" s="104"/>
      <c r="F22" s="104"/>
      <c r="G22" s="604" t="s">
        <v>625</v>
      </c>
      <c r="H22" s="605"/>
      <c r="I22" s="104"/>
      <c r="J22" s="104"/>
      <c r="K22" s="104"/>
      <c r="L22" s="104"/>
      <c r="M22" s="104"/>
      <c r="N22" s="104"/>
      <c r="O22" s="104"/>
      <c r="P22" s="104"/>
      <c r="Q22" s="604" t="s">
        <v>624</v>
      </c>
      <c r="R22" s="605"/>
      <c r="S22" s="104"/>
      <c r="T22" s="104"/>
      <c r="U22" s="604" t="s">
        <v>625</v>
      </c>
      <c r="V22" s="605"/>
      <c r="W22" s="104"/>
      <c r="X22" s="104"/>
      <c r="Y22" s="104"/>
      <c r="Z22" s="104"/>
      <c r="AA22" s="104"/>
      <c r="AB22" s="104"/>
      <c r="AC22" s="104"/>
    </row>
    <row r="23" spans="1:29" x14ac:dyDescent="0.2">
      <c r="A23" s="104"/>
      <c r="B23" s="104"/>
      <c r="C23" s="595"/>
      <c r="D23" s="596"/>
      <c r="E23" s="599">
        <f>mag_completo!Y28</f>
        <v>4477</v>
      </c>
      <c r="F23" s="600"/>
      <c r="G23" s="595"/>
      <c r="H23" s="596"/>
      <c r="I23" s="104"/>
      <c r="J23" s="104"/>
      <c r="K23" s="104"/>
      <c r="L23" s="104"/>
      <c r="M23" s="104"/>
      <c r="N23" s="104"/>
      <c r="O23" s="104"/>
      <c r="P23" s="104"/>
      <c r="Q23" s="595"/>
      <c r="R23" s="596"/>
      <c r="S23" s="599">
        <f>mag_completo!Y30</f>
        <v>4208</v>
      </c>
      <c r="T23" s="600"/>
      <c r="U23" s="595"/>
      <c r="V23" s="596"/>
      <c r="W23" s="104"/>
      <c r="X23" s="104"/>
      <c r="Y23" s="104"/>
      <c r="Z23" s="104"/>
      <c r="AA23" s="104"/>
      <c r="AB23" s="104"/>
      <c r="AC23" s="104"/>
    </row>
    <row r="24" spans="1:29" x14ac:dyDescent="0.2">
      <c r="A24" s="104"/>
      <c r="B24" s="104"/>
      <c r="C24" s="595"/>
      <c r="D24" s="596"/>
      <c r="E24" s="104"/>
      <c r="F24" s="104"/>
      <c r="G24" s="595"/>
      <c r="H24" s="596"/>
      <c r="I24" s="104"/>
      <c r="J24" s="104"/>
      <c r="K24" s="593">
        <f>mag_completo!Y23</f>
        <v>2559</v>
      </c>
      <c r="L24" s="593"/>
      <c r="M24" s="104"/>
      <c r="N24" s="104"/>
      <c r="O24" s="104"/>
      <c r="P24" s="104"/>
      <c r="Q24" s="595"/>
      <c r="R24" s="596"/>
      <c r="S24" s="104"/>
      <c r="T24" s="104"/>
      <c r="U24" s="595"/>
      <c r="V24" s="596"/>
      <c r="W24" s="104"/>
      <c r="X24" s="104"/>
      <c r="Y24" s="593">
        <f>mag_completo!Y25</f>
        <v>2357</v>
      </c>
      <c r="Z24" s="593"/>
      <c r="AA24" s="104"/>
      <c r="AB24" s="104"/>
      <c r="AC24" s="104"/>
    </row>
    <row r="25" spans="1:29" ht="17" thickBot="1" x14ac:dyDescent="0.25">
      <c r="A25" s="104"/>
      <c r="B25" s="104"/>
      <c r="C25" s="597"/>
      <c r="D25" s="598"/>
      <c r="E25" s="104"/>
      <c r="F25" s="104"/>
      <c r="G25" s="597"/>
      <c r="H25" s="598"/>
      <c r="I25" s="104"/>
      <c r="J25" s="104"/>
      <c r="K25" s="104"/>
      <c r="L25" s="104"/>
      <c r="M25" s="104"/>
      <c r="N25" s="104"/>
      <c r="O25" s="104"/>
      <c r="P25" s="104"/>
      <c r="Q25" s="597"/>
      <c r="R25" s="598"/>
      <c r="S25" s="104"/>
      <c r="T25" s="104"/>
      <c r="U25" s="597"/>
      <c r="V25" s="598"/>
      <c r="W25" s="104"/>
      <c r="X25" s="104"/>
      <c r="Y25" s="104"/>
      <c r="Z25" s="104"/>
      <c r="AA25" s="104"/>
      <c r="AB25" s="104"/>
      <c r="AC25" s="104"/>
    </row>
    <row r="26" spans="1:29" ht="17" thickBot="1" x14ac:dyDescent="0.25">
      <c r="A26" s="104"/>
      <c r="B26" s="104"/>
      <c r="C26" s="267" t="s">
        <v>626</v>
      </c>
      <c r="D26" s="268" t="s">
        <v>627</v>
      </c>
      <c r="E26" s="104"/>
      <c r="F26" s="104"/>
      <c r="G26" s="267" t="s">
        <v>626</v>
      </c>
      <c r="H26" s="268" t="s">
        <v>628</v>
      </c>
      <c r="I26" s="104"/>
      <c r="J26" s="104"/>
      <c r="K26" s="104"/>
      <c r="L26" s="104"/>
      <c r="M26" s="104"/>
      <c r="N26" s="104"/>
      <c r="O26" s="104"/>
      <c r="P26" s="104"/>
      <c r="Q26" s="267" t="s">
        <v>626</v>
      </c>
      <c r="R26" s="268" t="s">
        <v>627</v>
      </c>
      <c r="S26" s="104"/>
      <c r="T26" s="104"/>
      <c r="U26" s="267" t="s">
        <v>626</v>
      </c>
      <c r="V26" s="268" t="s">
        <v>628</v>
      </c>
      <c r="W26" s="104"/>
      <c r="X26" s="104"/>
      <c r="Y26" s="104"/>
      <c r="Z26" s="104"/>
      <c r="AA26" s="104"/>
      <c r="AB26" s="104"/>
      <c r="AC26" s="104"/>
    </row>
    <row r="27" spans="1:29" ht="17" thickBot="1" x14ac:dyDescent="0.25">
      <c r="A27" s="104"/>
      <c r="B27" s="104"/>
      <c r="C27" s="267" t="s">
        <v>629</v>
      </c>
      <c r="D27" s="268" t="s">
        <v>630</v>
      </c>
      <c r="E27" s="104"/>
      <c r="F27" s="104"/>
      <c r="G27" s="267" t="s">
        <v>629</v>
      </c>
      <c r="H27" s="268" t="s">
        <v>631</v>
      </c>
      <c r="I27" s="104"/>
      <c r="J27" s="104"/>
      <c r="K27" s="104"/>
      <c r="L27" s="104"/>
      <c r="M27" s="104"/>
      <c r="N27" s="104"/>
      <c r="O27" s="104"/>
      <c r="P27" s="104"/>
      <c r="Q27" s="267" t="s">
        <v>629</v>
      </c>
      <c r="R27" s="268" t="s">
        <v>630</v>
      </c>
      <c r="S27" s="104"/>
      <c r="T27" s="104"/>
      <c r="U27" s="267" t="s">
        <v>629</v>
      </c>
      <c r="V27" s="268" t="s">
        <v>631</v>
      </c>
      <c r="W27" s="104"/>
      <c r="X27" s="104"/>
      <c r="Y27" s="104"/>
      <c r="Z27" s="104"/>
      <c r="AA27" s="104"/>
      <c r="AB27" s="104"/>
      <c r="AC27" s="104"/>
    </row>
    <row r="28" spans="1:29" ht="17" thickBot="1" x14ac:dyDescent="0.25">
      <c r="A28" s="104"/>
      <c r="B28" s="104"/>
      <c r="C28" s="267" t="s">
        <v>632</v>
      </c>
      <c r="D28" s="269">
        <f>mag_completo!T28</f>
        <v>6395.4</v>
      </c>
      <c r="E28" s="104"/>
      <c r="F28" s="104"/>
      <c r="G28" s="267" t="s">
        <v>632</v>
      </c>
      <c r="H28" s="269">
        <f>mag_completo!T23</f>
        <v>3654.5142857142855</v>
      </c>
      <c r="I28" s="104"/>
      <c r="J28" s="104"/>
      <c r="K28" s="104"/>
      <c r="L28" s="104"/>
      <c r="M28" s="104"/>
      <c r="N28" s="104"/>
      <c r="O28" s="104"/>
      <c r="P28" s="104"/>
      <c r="Q28" s="267" t="s">
        <v>632</v>
      </c>
      <c r="R28" s="269">
        <f>mag_completo!AH28</f>
        <v>11.666666666666668</v>
      </c>
      <c r="S28" s="104"/>
      <c r="T28" s="104"/>
      <c r="U28" s="267" t="s">
        <v>632</v>
      </c>
      <c r="V28" s="269">
        <f>mag_completo!AH23</f>
        <v>11.666666666666668</v>
      </c>
      <c r="W28" s="104"/>
      <c r="X28" s="104"/>
      <c r="Y28" s="104"/>
      <c r="Z28" s="104"/>
      <c r="AA28" s="104"/>
      <c r="AB28" s="104"/>
      <c r="AC28" s="104"/>
    </row>
    <row r="29" spans="1:29" ht="17" thickBot="1" x14ac:dyDescent="0.25">
      <c r="A29" s="104"/>
      <c r="B29" s="104"/>
      <c r="C29" s="267" t="s">
        <v>633</v>
      </c>
      <c r="D29" s="270">
        <v>19206</v>
      </c>
      <c r="E29" s="104"/>
      <c r="F29" s="104"/>
      <c r="G29" s="267" t="s">
        <v>633</v>
      </c>
      <c r="H29" s="270">
        <v>19404</v>
      </c>
      <c r="I29" s="104"/>
      <c r="J29" s="104"/>
      <c r="K29" s="104"/>
      <c r="L29" s="104"/>
      <c r="M29" s="104"/>
      <c r="N29" s="104"/>
      <c r="O29" s="104"/>
      <c r="P29" s="104"/>
      <c r="Q29" s="267" t="s">
        <v>633</v>
      </c>
      <c r="R29" s="270">
        <v>19206</v>
      </c>
      <c r="S29" s="104"/>
      <c r="T29" s="104"/>
      <c r="U29" s="267" t="s">
        <v>633</v>
      </c>
      <c r="V29" s="270">
        <v>19404</v>
      </c>
      <c r="W29" s="104"/>
      <c r="X29" s="104"/>
      <c r="Y29" s="104"/>
      <c r="Z29" s="104"/>
      <c r="AA29" s="104"/>
      <c r="AB29" s="104"/>
      <c r="AC29" s="104"/>
    </row>
    <row r="30" spans="1:29" ht="17" thickBot="1" x14ac:dyDescent="0.25">
      <c r="A30" s="104"/>
      <c r="B30" s="272"/>
      <c r="C30" s="267" t="s">
        <v>634</v>
      </c>
      <c r="D30" s="271">
        <v>0.94</v>
      </c>
      <c r="E30" s="620" t="s">
        <v>635</v>
      </c>
      <c r="F30" s="621"/>
      <c r="G30" s="267" t="s">
        <v>634</v>
      </c>
      <c r="H30" s="271">
        <v>0.97</v>
      </c>
      <c r="I30" s="272"/>
      <c r="J30" s="104"/>
      <c r="K30" s="104"/>
      <c r="L30" s="104"/>
      <c r="M30" s="104"/>
      <c r="N30" s="104"/>
      <c r="O30" s="104"/>
      <c r="P30" s="272"/>
      <c r="Q30" s="267" t="s">
        <v>634</v>
      </c>
      <c r="R30" s="271">
        <v>0.94</v>
      </c>
      <c r="S30" s="595" t="s">
        <v>635</v>
      </c>
      <c r="T30" s="596"/>
      <c r="U30" s="267" t="s">
        <v>634</v>
      </c>
      <c r="V30" s="271">
        <v>0.97</v>
      </c>
      <c r="W30" s="272"/>
      <c r="X30" s="104"/>
      <c r="Y30" s="104"/>
      <c r="Z30" s="104"/>
      <c r="AA30" s="104"/>
      <c r="AB30" s="104"/>
      <c r="AC30" s="104"/>
    </row>
    <row r="31" spans="1:29" ht="15.75" customHeight="1" x14ac:dyDescent="0.2">
      <c r="A31" s="104"/>
      <c r="B31" s="104"/>
      <c r="C31" s="594">
        <f>ROUND(2/0.97,2)</f>
        <v>2.06</v>
      </c>
      <c r="D31" s="594"/>
      <c r="E31" s="104"/>
      <c r="F31" s="104"/>
      <c r="G31" s="619">
        <f>ROUND(2.5/0.98,2)*4</f>
        <v>10.199999999999999</v>
      </c>
      <c r="H31" s="619"/>
      <c r="I31" s="104"/>
      <c r="J31" s="104"/>
      <c r="K31" s="104"/>
      <c r="L31" s="104"/>
      <c r="M31" s="104"/>
      <c r="N31" s="104"/>
      <c r="O31" s="104"/>
      <c r="P31" s="104"/>
      <c r="Q31" s="594">
        <f>ROUND(2/0.97,2)</f>
        <v>2.06</v>
      </c>
      <c r="R31" s="594"/>
      <c r="S31" s="104"/>
      <c r="T31" s="104"/>
      <c r="U31" s="594">
        <f>ROUND(2.5/0.98,2)*4</f>
        <v>10.199999999999999</v>
      </c>
      <c r="V31" s="594"/>
      <c r="W31" s="104"/>
      <c r="X31" s="104"/>
      <c r="Y31" s="104"/>
      <c r="Z31" s="104"/>
      <c r="AA31" s="104"/>
      <c r="AB31" s="104"/>
      <c r="AC31" s="104"/>
    </row>
    <row r="32" spans="1:29" ht="16.5" customHeight="1" x14ac:dyDescent="0.2">
      <c r="A32" s="104"/>
      <c r="B32" s="272" t="s">
        <v>636</v>
      </c>
      <c r="C32" s="104"/>
      <c r="D32" s="104"/>
      <c r="E32" s="104"/>
      <c r="F32" s="104"/>
      <c r="G32" s="104"/>
      <c r="H32" s="104"/>
      <c r="I32" s="272" t="s">
        <v>637</v>
      </c>
      <c r="J32" s="104"/>
      <c r="K32" s="104"/>
      <c r="L32" s="104"/>
      <c r="M32" s="104"/>
      <c r="N32" s="104"/>
      <c r="O32" s="104"/>
      <c r="P32" s="272" t="s">
        <v>636</v>
      </c>
      <c r="Q32" s="104"/>
      <c r="R32" s="104"/>
      <c r="S32" s="104"/>
      <c r="T32" s="104"/>
      <c r="U32" s="104"/>
      <c r="V32" s="104"/>
      <c r="W32" s="272" t="s">
        <v>637</v>
      </c>
      <c r="X32" s="104"/>
      <c r="Y32" s="104"/>
      <c r="Z32" s="104"/>
      <c r="AA32" s="104"/>
      <c r="AB32" s="104"/>
      <c r="AC32" s="104"/>
    </row>
    <row r="33" spans="1:29" x14ac:dyDescent="0.2">
      <c r="A33" s="104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</row>
    <row r="34" spans="1:29" x14ac:dyDescent="0.2">
      <c r="A34" s="104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</row>
    <row r="35" spans="1:29" x14ac:dyDescent="0.2">
      <c r="A35" s="104"/>
      <c r="B35" s="104"/>
      <c r="C35" s="104"/>
      <c r="D35" s="104"/>
      <c r="E35" s="104"/>
      <c r="F35" s="104"/>
      <c r="G35" s="614" t="s">
        <v>31</v>
      </c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614" t="s">
        <v>33</v>
      </c>
      <c r="V35" s="104"/>
      <c r="W35" s="104"/>
      <c r="X35" s="104"/>
      <c r="Y35" s="104"/>
      <c r="Z35" s="104"/>
      <c r="AA35" s="104"/>
      <c r="AB35" s="104"/>
      <c r="AC35" s="104"/>
    </row>
    <row r="36" spans="1:29" x14ac:dyDescent="0.2">
      <c r="A36" s="104"/>
      <c r="B36" s="104"/>
      <c r="C36" s="104"/>
      <c r="D36" s="104"/>
      <c r="E36" s="104"/>
      <c r="F36" s="104"/>
      <c r="G36" s="61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614"/>
      <c r="V36" s="104"/>
      <c r="W36" s="104"/>
      <c r="X36" s="104"/>
      <c r="Y36" s="104"/>
      <c r="Z36" s="104"/>
      <c r="AA36" s="104"/>
      <c r="AB36" s="104"/>
      <c r="AC36" s="104"/>
    </row>
    <row r="37" spans="1:29" ht="17" thickBot="1" x14ac:dyDescent="0.25">
      <c r="A37" s="104"/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</row>
    <row r="38" spans="1:29" x14ac:dyDescent="0.2">
      <c r="A38" s="104"/>
      <c r="B38" s="104"/>
      <c r="C38" s="104"/>
      <c r="D38" s="104"/>
      <c r="E38" s="104"/>
      <c r="F38" s="608" t="s">
        <v>610</v>
      </c>
      <c r="G38" s="609"/>
      <c r="H38" s="610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608" t="s">
        <v>610</v>
      </c>
      <c r="U38" s="609"/>
      <c r="V38" s="610"/>
      <c r="W38" s="104"/>
      <c r="X38" s="104"/>
      <c r="Y38" s="104"/>
      <c r="Z38" s="104"/>
      <c r="AA38" s="104"/>
      <c r="AB38" s="104"/>
      <c r="AC38" s="104"/>
    </row>
    <row r="39" spans="1:29" ht="17" thickBot="1" x14ac:dyDescent="0.25">
      <c r="A39" s="104"/>
      <c r="B39" s="104"/>
      <c r="C39" s="104"/>
      <c r="D39" s="104"/>
      <c r="E39" s="104"/>
      <c r="F39" s="611"/>
      <c r="G39" s="612"/>
      <c r="H39" s="613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611"/>
      <c r="U39" s="612"/>
      <c r="V39" s="613"/>
      <c r="W39" s="104"/>
      <c r="X39" s="104"/>
      <c r="Y39" s="104"/>
      <c r="Z39" s="104"/>
      <c r="AA39" s="104"/>
      <c r="AB39" s="104"/>
      <c r="AC39" s="104"/>
    </row>
    <row r="40" spans="1:29" x14ac:dyDescent="0.2">
      <c r="A40" s="104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</row>
    <row r="41" spans="1:29" x14ac:dyDescent="0.2">
      <c r="A41" s="104"/>
      <c r="B41" s="104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</row>
    <row r="42" spans="1:29" x14ac:dyDescent="0.2">
      <c r="A42" s="104"/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</row>
    <row r="43" spans="1:29" ht="15.75" customHeight="1" thickBot="1" x14ac:dyDescent="0.25">
      <c r="A43" s="104"/>
      <c r="B43" s="104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</row>
    <row r="44" spans="1:29" x14ac:dyDescent="0.2">
      <c r="A44" s="104"/>
      <c r="B44" s="104"/>
      <c r="C44" s="615" t="s">
        <v>611</v>
      </c>
      <c r="D44" s="616"/>
      <c r="E44" s="104"/>
      <c r="F44" s="104"/>
      <c r="G44" s="104"/>
      <c r="H44" s="104"/>
      <c r="I44" s="104"/>
      <c r="J44" s="104"/>
      <c r="K44" s="615" t="s">
        <v>612</v>
      </c>
      <c r="L44" s="616"/>
      <c r="M44" s="104"/>
      <c r="N44" s="104"/>
      <c r="O44" s="104"/>
      <c r="P44" s="104"/>
      <c r="Q44" s="615" t="s">
        <v>611</v>
      </c>
      <c r="R44" s="616"/>
      <c r="S44" s="104"/>
      <c r="T44" s="104"/>
      <c r="U44" s="104"/>
      <c r="V44" s="104"/>
      <c r="W44" s="104"/>
      <c r="X44" s="104"/>
      <c r="Y44" s="615" t="s">
        <v>612</v>
      </c>
      <c r="Z44" s="616"/>
      <c r="AA44" s="104"/>
      <c r="AB44" s="104"/>
      <c r="AC44" s="104"/>
    </row>
    <row r="45" spans="1:29" ht="17" thickBot="1" x14ac:dyDescent="0.25">
      <c r="A45" s="104"/>
      <c r="B45" s="104"/>
      <c r="C45" s="617"/>
      <c r="D45" s="618"/>
      <c r="E45" s="104"/>
      <c r="F45" s="104"/>
      <c r="G45" s="104"/>
      <c r="H45" s="104"/>
      <c r="I45" s="104"/>
      <c r="J45" s="104"/>
      <c r="K45" s="617"/>
      <c r="L45" s="618"/>
      <c r="M45" s="104"/>
      <c r="N45" s="104"/>
      <c r="O45" s="104"/>
      <c r="P45" s="104"/>
      <c r="Q45" s="617"/>
      <c r="R45" s="618"/>
      <c r="S45" s="104"/>
      <c r="T45" s="104"/>
      <c r="U45" s="104"/>
      <c r="V45" s="104"/>
      <c r="W45" s="104"/>
      <c r="X45" s="104"/>
      <c r="Y45" s="617"/>
      <c r="Z45" s="618"/>
      <c r="AA45" s="104"/>
      <c r="AB45" s="104"/>
      <c r="AC45" s="104"/>
    </row>
    <row r="46" spans="1:29" ht="17" thickBot="1" x14ac:dyDescent="0.25">
      <c r="A46" s="104"/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</row>
    <row r="47" spans="1:29" x14ac:dyDescent="0.2">
      <c r="A47" s="104"/>
      <c r="B47" s="104"/>
      <c r="C47" s="104"/>
      <c r="D47" s="104"/>
      <c r="E47" s="604" t="s">
        <v>613</v>
      </c>
      <c r="F47" s="605"/>
      <c r="G47" s="104"/>
      <c r="H47" s="104"/>
      <c r="I47" s="104"/>
      <c r="J47" s="104"/>
      <c r="K47" s="104"/>
      <c r="L47" s="104"/>
      <c r="M47" s="604" t="s">
        <v>614</v>
      </c>
      <c r="N47" s="605"/>
      <c r="O47" s="104"/>
      <c r="P47" s="104"/>
      <c r="Q47" s="104"/>
      <c r="R47" s="104"/>
      <c r="S47" s="604" t="s">
        <v>613</v>
      </c>
      <c r="T47" s="605"/>
      <c r="U47" s="104"/>
      <c r="V47" s="104"/>
      <c r="W47" s="104"/>
      <c r="X47" s="104"/>
      <c r="Y47" s="104"/>
      <c r="Z47" s="104"/>
      <c r="AA47" s="604" t="s">
        <v>614</v>
      </c>
      <c r="AB47" s="605"/>
      <c r="AC47" s="104"/>
    </row>
    <row r="48" spans="1:29" ht="17" thickBot="1" x14ac:dyDescent="0.25">
      <c r="A48" s="104"/>
      <c r="B48" s="104"/>
      <c r="C48" s="104"/>
      <c r="D48" s="104"/>
      <c r="E48" s="597" t="s">
        <v>617</v>
      </c>
      <c r="F48" s="598"/>
      <c r="G48" s="104"/>
      <c r="H48" s="104"/>
      <c r="I48" s="104"/>
      <c r="J48" s="104"/>
      <c r="K48" s="104"/>
      <c r="L48" s="104"/>
      <c r="M48" s="595" t="s">
        <v>638</v>
      </c>
      <c r="N48" s="596"/>
      <c r="O48" s="104"/>
      <c r="P48" s="104"/>
      <c r="Q48" s="104"/>
      <c r="R48" s="104"/>
      <c r="S48" s="597" t="s">
        <v>617</v>
      </c>
      <c r="T48" s="598"/>
      <c r="U48" s="104"/>
      <c r="V48" s="104"/>
      <c r="W48" s="104"/>
      <c r="X48" s="104"/>
      <c r="Y48" s="104"/>
      <c r="Z48" s="104"/>
      <c r="AA48" s="595" t="s">
        <v>639</v>
      </c>
      <c r="AB48" s="596"/>
      <c r="AC48" s="104"/>
    </row>
    <row r="49" spans="1:29" ht="17" thickBot="1" x14ac:dyDescent="0.25">
      <c r="A49" s="104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597" t="s">
        <v>640</v>
      </c>
      <c r="N49" s="598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597" t="s">
        <v>641</v>
      </c>
      <c r="AB49" s="598"/>
      <c r="AC49" s="104"/>
    </row>
    <row r="50" spans="1:29" ht="17" thickBot="1" x14ac:dyDescent="0.25">
      <c r="A50" s="104"/>
      <c r="B50" s="104"/>
      <c r="C50" s="104"/>
      <c r="D50" s="104"/>
      <c r="E50" s="104"/>
      <c r="F50" s="601" t="s">
        <v>621</v>
      </c>
      <c r="G50" s="602"/>
      <c r="H50" s="104"/>
      <c r="I50" s="104"/>
      <c r="J50" s="104"/>
      <c r="K50" s="104"/>
      <c r="L50" s="104"/>
      <c r="M50" s="606" t="s">
        <v>642</v>
      </c>
      <c r="N50" s="607"/>
      <c r="O50" s="104"/>
      <c r="P50" s="104"/>
      <c r="Q50" s="104"/>
      <c r="R50" s="104"/>
      <c r="S50" s="104"/>
      <c r="T50" s="601" t="s">
        <v>621</v>
      </c>
      <c r="U50" s="602"/>
      <c r="V50" s="104"/>
      <c r="W50" s="104"/>
      <c r="X50" s="104"/>
      <c r="Y50" s="104"/>
      <c r="Z50" s="104"/>
      <c r="AA50" s="606" t="s">
        <v>642</v>
      </c>
      <c r="AB50" s="607"/>
      <c r="AC50" s="104"/>
    </row>
    <row r="51" spans="1:29" ht="17" thickBot="1" x14ac:dyDescent="0.25">
      <c r="A51" s="104"/>
      <c r="B51" s="104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606" t="s">
        <v>623</v>
      </c>
      <c r="N51" s="607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606" t="s">
        <v>623</v>
      </c>
      <c r="AB51" s="607"/>
      <c r="AC51" s="104"/>
    </row>
    <row r="52" spans="1:29" x14ac:dyDescent="0.2">
      <c r="A52" s="104"/>
      <c r="B52" s="104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</row>
    <row r="53" spans="1:29" x14ac:dyDescent="0.2">
      <c r="A53" s="104"/>
      <c r="B53" s="104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</row>
    <row r="54" spans="1:29" x14ac:dyDescent="0.2">
      <c r="A54" s="104"/>
      <c r="B54" s="104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</row>
    <row r="55" spans="1:29" ht="17" thickBot="1" x14ac:dyDescent="0.25">
      <c r="A55" s="104"/>
      <c r="B55" s="104"/>
      <c r="C55" s="603">
        <f>SUM(mag_completo!Y7,mag_completo!Y9,mag_completo!Y14*K74,mag_completo!Y15*K74,mag_completo!Y16*K74,mag_completo!Y19,mag_completo!Y21*K76)</f>
        <v>25665.819956616055</v>
      </c>
      <c r="D55" s="603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603">
        <f>SUM(mag_completo!Y11,mag_completo!Y13,mag_completo!Y14*M74,mag_completo!Y15*M74,mag_completo!Y16*M74,mag_completo!Y20,mag_completo!Y21*M76)</f>
        <v>15197.222342733188</v>
      </c>
      <c r="R55" s="603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</row>
    <row r="56" spans="1:29" x14ac:dyDescent="0.2">
      <c r="A56" s="104"/>
      <c r="B56" s="104"/>
      <c r="C56" s="604" t="s">
        <v>624</v>
      </c>
      <c r="D56" s="605"/>
      <c r="E56" s="104"/>
      <c r="F56" s="104"/>
      <c r="G56" s="604" t="s">
        <v>625</v>
      </c>
      <c r="H56" s="605"/>
      <c r="I56" s="104"/>
      <c r="J56" s="104"/>
      <c r="K56" s="104"/>
      <c r="L56" s="104"/>
      <c r="M56" s="104"/>
      <c r="N56" s="104"/>
      <c r="O56" s="104"/>
      <c r="P56" s="104"/>
      <c r="Q56" s="604" t="s">
        <v>624</v>
      </c>
      <c r="R56" s="605"/>
      <c r="S56" s="104"/>
      <c r="T56" s="104"/>
      <c r="U56" s="604" t="s">
        <v>625</v>
      </c>
      <c r="V56" s="605"/>
      <c r="W56" s="104"/>
      <c r="X56" s="104"/>
      <c r="Y56" s="104"/>
      <c r="Z56" s="104"/>
      <c r="AA56" s="104"/>
      <c r="AB56" s="104"/>
      <c r="AC56" s="104"/>
    </row>
    <row r="57" spans="1:29" x14ac:dyDescent="0.2">
      <c r="A57" s="104"/>
      <c r="B57" s="104"/>
      <c r="C57" s="595"/>
      <c r="D57" s="596"/>
      <c r="E57" s="599">
        <f>mag_completo!Y29</f>
        <v>2985</v>
      </c>
      <c r="F57" s="600"/>
      <c r="G57" s="595"/>
      <c r="H57" s="596"/>
      <c r="I57" s="104"/>
      <c r="J57" s="104"/>
      <c r="K57" s="104"/>
      <c r="L57" s="104"/>
      <c r="M57" s="104"/>
      <c r="N57" s="104"/>
      <c r="O57" s="104"/>
      <c r="P57" s="104"/>
      <c r="Q57" s="595"/>
      <c r="R57" s="596"/>
      <c r="S57" s="599">
        <f>mag_completo!Y31</f>
        <v>1804</v>
      </c>
      <c r="T57" s="600"/>
      <c r="U57" s="595"/>
      <c r="V57" s="596"/>
      <c r="W57" s="104"/>
      <c r="X57" s="104"/>
      <c r="Y57" s="104"/>
      <c r="Z57" s="104"/>
      <c r="AA57" s="104"/>
      <c r="AB57" s="104"/>
      <c r="AC57" s="104"/>
    </row>
    <row r="58" spans="1:29" x14ac:dyDescent="0.2">
      <c r="A58" s="104"/>
      <c r="B58" s="104"/>
      <c r="C58" s="595"/>
      <c r="D58" s="596"/>
      <c r="E58" s="104"/>
      <c r="F58" s="104"/>
      <c r="G58" s="595"/>
      <c r="H58" s="596"/>
      <c r="I58" s="104"/>
      <c r="J58" s="104"/>
      <c r="K58" s="593">
        <f>mag_completo!Y24</f>
        <v>1706</v>
      </c>
      <c r="L58" s="593"/>
      <c r="M58" s="104"/>
      <c r="N58" s="104"/>
      <c r="O58" s="104"/>
      <c r="P58" s="104"/>
      <c r="Q58" s="595"/>
      <c r="R58" s="596"/>
      <c r="S58" s="104"/>
      <c r="T58" s="104"/>
      <c r="U58" s="595"/>
      <c r="V58" s="596"/>
      <c r="W58" s="104"/>
      <c r="X58" s="104"/>
      <c r="Y58" s="593">
        <f>mag_completo!Y26</f>
        <v>1010</v>
      </c>
      <c r="Z58" s="593"/>
      <c r="AA58" s="104"/>
      <c r="AB58" s="104"/>
      <c r="AC58" s="104"/>
    </row>
    <row r="59" spans="1:29" ht="17" thickBot="1" x14ac:dyDescent="0.25">
      <c r="A59" s="104"/>
      <c r="B59" s="104"/>
      <c r="C59" s="597"/>
      <c r="D59" s="598"/>
      <c r="E59" s="104"/>
      <c r="F59" s="104"/>
      <c r="G59" s="597"/>
      <c r="H59" s="598"/>
      <c r="I59" s="104"/>
      <c r="J59" s="104"/>
      <c r="K59" s="104"/>
      <c r="L59" s="104"/>
      <c r="M59" s="104"/>
      <c r="N59" s="104"/>
      <c r="O59" s="104"/>
      <c r="P59" s="104"/>
      <c r="Q59" s="597"/>
      <c r="R59" s="598"/>
      <c r="S59" s="104"/>
      <c r="T59" s="104"/>
      <c r="U59" s="597"/>
      <c r="V59" s="598"/>
      <c r="W59" s="104"/>
      <c r="X59" s="104"/>
      <c r="Y59" s="104"/>
      <c r="Z59" s="104"/>
      <c r="AA59" s="104"/>
      <c r="AB59" s="104"/>
      <c r="AC59" s="104"/>
    </row>
    <row r="60" spans="1:29" ht="17" thickBot="1" x14ac:dyDescent="0.25">
      <c r="A60" s="104"/>
      <c r="B60" s="104"/>
      <c r="C60" s="267" t="s">
        <v>626</v>
      </c>
      <c r="D60" s="268" t="s">
        <v>627</v>
      </c>
      <c r="E60" s="104"/>
      <c r="F60" s="104"/>
      <c r="G60" s="267" t="s">
        <v>626</v>
      </c>
      <c r="H60" s="268" t="s">
        <v>628</v>
      </c>
      <c r="I60" s="104"/>
      <c r="J60" s="104"/>
      <c r="K60" s="104"/>
      <c r="L60" s="104"/>
      <c r="M60" s="104"/>
      <c r="N60" s="104"/>
      <c r="O60" s="104"/>
      <c r="P60" s="104"/>
      <c r="Q60" s="267" t="s">
        <v>626</v>
      </c>
      <c r="R60" s="268" t="s">
        <v>627</v>
      </c>
      <c r="S60" s="104"/>
      <c r="T60" s="104"/>
      <c r="U60" s="267" t="s">
        <v>626</v>
      </c>
      <c r="V60" s="268" t="s">
        <v>628</v>
      </c>
      <c r="W60" s="104"/>
      <c r="X60" s="104"/>
      <c r="Y60" s="104"/>
      <c r="Z60" s="104"/>
      <c r="AA60" s="104"/>
      <c r="AB60" s="104"/>
      <c r="AC60" s="104"/>
    </row>
    <row r="61" spans="1:29" ht="17" thickBot="1" x14ac:dyDescent="0.25">
      <c r="A61" s="104"/>
      <c r="B61" s="104"/>
      <c r="C61" s="267" t="s">
        <v>629</v>
      </c>
      <c r="D61" s="268" t="s">
        <v>630</v>
      </c>
      <c r="E61" s="104"/>
      <c r="F61" s="104"/>
      <c r="G61" s="267" t="s">
        <v>629</v>
      </c>
      <c r="H61" s="268" t="s">
        <v>631</v>
      </c>
      <c r="I61" s="104"/>
      <c r="J61" s="104"/>
      <c r="K61" s="104"/>
      <c r="L61" s="104"/>
      <c r="M61" s="104"/>
      <c r="N61" s="104"/>
      <c r="O61" s="104"/>
      <c r="P61" s="104"/>
      <c r="Q61" s="267" t="s">
        <v>629</v>
      </c>
      <c r="R61" s="268" t="s">
        <v>630</v>
      </c>
      <c r="S61" s="104"/>
      <c r="T61" s="104"/>
      <c r="U61" s="267" t="s">
        <v>629</v>
      </c>
      <c r="V61" s="268" t="s">
        <v>631</v>
      </c>
      <c r="W61" s="104"/>
      <c r="X61" s="104"/>
      <c r="Y61" s="104"/>
      <c r="Z61" s="104"/>
      <c r="AA61" s="104"/>
      <c r="AB61" s="104"/>
      <c r="AC61" s="104"/>
    </row>
    <row r="62" spans="1:29" ht="17" thickBot="1" x14ac:dyDescent="0.25">
      <c r="A62" s="104"/>
      <c r="B62" s="104"/>
      <c r="C62" s="267" t="s">
        <v>632</v>
      </c>
      <c r="D62" s="269">
        <f>mag_completo!T57</f>
        <v>0</v>
      </c>
      <c r="E62" s="104"/>
      <c r="F62" s="104"/>
      <c r="G62" s="267" t="s">
        <v>632</v>
      </c>
      <c r="H62" s="269">
        <f>mag_completo!T52</f>
        <v>0</v>
      </c>
      <c r="I62" s="104"/>
      <c r="J62" s="104"/>
      <c r="K62" s="104"/>
      <c r="L62" s="104"/>
      <c r="M62" s="104"/>
      <c r="N62" s="104"/>
      <c r="O62" s="104"/>
      <c r="P62" s="104"/>
      <c r="Q62" s="267" t="s">
        <v>632</v>
      </c>
      <c r="R62" s="269">
        <f>mag_completo!AH57</f>
        <v>0</v>
      </c>
      <c r="S62" s="104"/>
      <c r="T62" s="104"/>
      <c r="U62" s="267" t="s">
        <v>632</v>
      </c>
      <c r="V62" s="269">
        <f>mag_completo!AH52</f>
        <v>0</v>
      </c>
      <c r="W62" s="104"/>
      <c r="X62" s="104"/>
      <c r="Y62" s="104"/>
      <c r="Z62" s="104"/>
      <c r="AA62" s="104"/>
      <c r="AB62" s="104"/>
      <c r="AC62" s="104"/>
    </row>
    <row r="63" spans="1:29" ht="17" thickBot="1" x14ac:dyDescent="0.25">
      <c r="A63" s="104"/>
      <c r="B63" s="104"/>
      <c r="C63" s="267" t="s">
        <v>633</v>
      </c>
      <c r="D63" s="270">
        <v>19206</v>
      </c>
      <c r="E63" s="104"/>
      <c r="F63" s="104"/>
      <c r="G63" s="267" t="s">
        <v>633</v>
      </c>
      <c r="H63" s="270">
        <v>19404</v>
      </c>
      <c r="I63" s="104"/>
      <c r="J63" s="104"/>
      <c r="K63" s="104"/>
      <c r="L63" s="104"/>
      <c r="M63" s="104"/>
      <c r="N63" s="104"/>
      <c r="O63" s="104"/>
      <c r="P63" s="104"/>
      <c r="Q63" s="267" t="s">
        <v>633</v>
      </c>
      <c r="R63" s="270">
        <v>19206</v>
      </c>
      <c r="S63" s="104"/>
      <c r="T63" s="104"/>
      <c r="U63" s="267" t="s">
        <v>633</v>
      </c>
      <c r="V63" s="270">
        <v>19404</v>
      </c>
      <c r="W63" s="104"/>
      <c r="X63" s="104"/>
      <c r="Y63" s="104"/>
      <c r="Z63" s="104"/>
      <c r="AA63" s="104"/>
      <c r="AB63" s="104"/>
      <c r="AC63" s="104"/>
    </row>
    <row r="64" spans="1:29" ht="17" thickBot="1" x14ac:dyDescent="0.25">
      <c r="A64" s="104"/>
      <c r="B64" s="272"/>
      <c r="C64" s="267" t="s">
        <v>634</v>
      </c>
      <c r="D64" s="271">
        <v>0.94</v>
      </c>
      <c r="E64" s="595" t="s">
        <v>635</v>
      </c>
      <c r="F64" s="596"/>
      <c r="G64" s="267" t="s">
        <v>634</v>
      </c>
      <c r="H64" s="271">
        <v>0.97</v>
      </c>
      <c r="I64" s="272"/>
      <c r="J64" s="104"/>
      <c r="K64" s="104"/>
      <c r="L64" s="104"/>
      <c r="M64" s="104"/>
      <c r="N64" s="104"/>
      <c r="O64" s="104"/>
      <c r="P64" s="272"/>
      <c r="Q64" s="267" t="s">
        <v>634</v>
      </c>
      <c r="R64" s="271">
        <v>0.94</v>
      </c>
      <c r="S64" s="595" t="s">
        <v>635</v>
      </c>
      <c r="T64" s="596"/>
      <c r="U64" s="267" t="s">
        <v>634</v>
      </c>
      <c r="V64" s="271">
        <v>0.97</v>
      </c>
      <c r="W64" s="272"/>
      <c r="X64" s="104"/>
      <c r="Y64" s="104"/>
      <c r="Z64" s="104"/>
      <c r="AA64" s="104"/>
      <c r="AB64" s="104"/>
      <c r="AC64" s="104"/>
    </row>
    <row r="65" spans="1:29" x14ac:dyDescent="0.2">
      <c r="A65" s="104"/>
      <c r="B65" s="104"/>
      <c r="C65" s="594">
        <f>ROUND(2/0.97,2)</f>
        <v>2.06</v>
      </c>
      <c r="D65" s="594"/>
      <c r="E65" s="104"/>
      <c r="F65" s="104"/>
      <c r="G65" s="594">
        <f>ROUND(2.5/0.98,2)*9</f>
        <v>22.95</v>
      </c>
      <c r="H65" s="594"/>
      <c r="I65" s="104"/>
      <c r="J65" s="104"/>
      <c r="K65" s="104"/>
      <c r="L65" s="104"/>
      <c r="M65" s="104"/>
      <c r="N65" s="104"/>
      <c r="O65" s="104"/>
      <c r="P65" s="104"/>
      <c r="Q65" s="594">
        <f>ROUND(2/0.97,2)</f>
        <v>2.06</v>
      </c>
      <c r="R65" s="594"/>
      <c r="S65" s="104"/>
      <c r="T65" s="104"/>
      <c r="U65" s="594">
        <f>ROUND(2.5/0.98,2)*9</f>
        <v>22.95</v>
      </c>
      <c r="V65" s="594"/>
      <c r="W65" s="104"/>
      <c r="X65" s="104"/>
      <c r="Y65" s="104"/>
      <c r="Z65" s="104"/>
      <c r="AA65" s="104"/>
      <c r="AB65" s="104"/>
      <c r="AC65" s="104"/>
    </row>
    <row r="66" spans="1:29" x14ac:dyDescent="0.2">
      <c r="A66" s="104"/>
      <c r="B66" s="272" t="s">
        <v>636</v>
      </c>
      <c r="C66" s="104"/>
      <c r="D66" s="104"/>
      <c r="E66" s="104"/>
      <c r="F66" s="104"/>
      <c r="G66" s="104"/>
      <c r="H66" s="104"/>
      <c r="I66" s="272" t="s">
        <v>637</v>
      </c>
      <c r="J66" s="104"/>
      <c r="K66" s="104"/>
      <c r="L66" s="104"/>
      <c r="M66" s="104"/>
      <c r="N66" s="104"/>
      <c r="O66" s="104"/>
      <c r="P66" s="272" t="s">
        <v>636</v>
      </c>
      <c r="Q66" s="104"/>
      <c r="R66" s="104"/>
      <c r="S66" s="104"/>
      <c r="T66" s="104"/>
      <c r="U66" s="104"/>
      <c r="V66" s="104"/>
      <c r="W66" s="272" t="s">
        <v>637</v>
      </c>
      <c r="X66" s="104"/>
      <c r="Y66" s="104"/>
      <c r="Z66" s="104"/>
      <c r="AA66" s="104"/>
      <c r="AB66" s="104"/>
      <c r="AC66" s="104"/>
    </row>
    <row r="72" spans="1:29" x14ac:dyDescent="0.2">
      <c r="J72" t="s">
        <v>30</v>
      </c>
      <c r="K72" t="s">
        <v>31</v>
      </c>
      <c r="L72" t="s">
        <v>32</v>
      </c>
      <c r="M72" t="s">
        <v>33</v>
      </c>
    </row>
    <row r="73" spans="1:29" x14ac:dyDescent="0.2">
      <c r="J73" s="14">
        <v>25581.599999999999</v>
      </c>
      <c r="K73" s="14">
        <v>34108.800000000003</v>
      </c>
      <c r="L73" s="14">
        <v>23562</v>
      </c>
      <c r="M73" s="14">
        <v>20196</v>
      </c>
      <c r="N73" s="22">
        <f>SUM(J73:M73)</f>
        <v>103448.4</v>
      </c>
    </row>
    <row r="74" spans="1:29" x14ac:dyDescent="0.2">
      <c r="J74">
        <f>J73/$N$73</f>
        <v>0.24728850325379609</v>
      </c>
      <c r="K74">
        <f t="shared" ref="K74:M74" si="0">K73/$N$73</f>
        <v>0.32971800433839482</v>
      </c>
      <c r="L74">
        <f t="shared" si="0"/>
        <v>0.22776572668112799</v>
      </c>
      <c r="M74">
        <f t="shared" si="0"/>
        <v>0.19522776572668113</v>
      </c>
    </row>
    <row r="75" spans="1:29" x14ac:dyDescent="0.2">
      <c r="J75" s="14">
        <v>25581.599999999999</v>
      </c>
      <c r="K75" s="14">
        <v>17054.400000000001</v>
      </c>
      <c r="L75" s="14">
        <v>23562</v>
      </c>
      <c r="M75" s="14">
        <v>10098</v>
      </c>
      <c r="N75" s="22">
        <f>SUM(J75:M75)</f>
        <v>76296</v>
      </c>
    </row>
    <row r="76" spans="1:29" x14ac:dyDescent="0.2">
      <c r="J76">
        <f>J75/$N$75</f>
        <v>0.3352941176470588</v>
      </c>
      <c r="K76">
        <f t="shared" ref="K76:M76" si="1">K75/$N$75</f>
        <v>0.22352941176470589</v>
      </c>
      <c r="L76">
        <f t="shared" si="1"/>
        <v>0.30882352941176472</v>
      </c>
      <c r="M76">
        <f t="shared" si="1"/>
        <v>0.13235294117647059</v>
      </c>
    </row>
  </sheetData>
  <mergeCells count="88">
    <mergeCell ref="C10:D11"/>
    <mergeCell ref="E14:F14"/>
    <mergeCell ref="E13:F13"/>
    <mergeCell ref="C22:D22"/>
    <mergeCell ref="G1:G2"/>
    <mergeCell ref="C21:D21"/>
    <mergeCell ref="F16:G16"/>
    <mergeCell ref="F4:H5"/>
    <mergeCell ref="U1:U2"/>
    <mergeCell ref="Q10:R11"/>
    <mergeCell ref="Y10:Z11"/>
    <mergeCell ref="K10:L11"/>
    <mergeCell ref="AA17:AB17"/>
    <mergeCell ref="AA16:AB16"/>
    <mergeCell ref="AA15:AB15"/>
    <mergeCell ref="AA14:AB14"/>
    <mergeCell ref="AA13:AB13"/>
    <mergeCell ref="M15:N15"/>
    <mergeCell ref="M14:N14"/>
    <mergeCell ref="M13:N13"/>
    <mergeCell ref="M17:N17"/>
    <mergeCell ref="T4:V5"/>
    <mergeCell ref="E48:F48"/>
    <mergeCell ref="E47:F47"/>
    <mergeCell ref="K44:L45"/>
    <mergeCell ref="C44:D45"/>
    <mergeCell ref="G23:H25"/>
    <mergeCell ref="C23:D25"/>
    <mergeCell ref="K24:L24"/>
    <mergeCell ref="G31:H31"/>
    <mergeCell ref="E30:F30"/>
    <mergeCell ref="C31:D31"/>
    <mergeCell ref="F38:H39"/>
    <mergeCell ref="E23:F23"/>
    <mergeCell ref="Y44:Z45"/>
    <mergeCell ref="Q44:R45"/>
    <mergeCell ref="M51:N51"/>
    <mergeCell ref="M50:N50"/>
    <mergeCell ref="M49:N49"/>
    <mergeCell ref="M48:N48"/>
    <mergeCell ref="M47:N47"/>
    <mergeCell ref="S48:T48"/>
    <mergeCell ref="S47:T47"/>
    <mergeCell ref="T38:V39"/>
    <mergeCell ref="U35:U36"/>
    <mergeCell ref="G35:G36"/>
    <mergeCell ref="S14:T14"/>
    <mergeCell ref="S13:T13"/>
    <mergeCell ref="U22:V22"/>
    <mergeCell ref="Q22:R22"/>
    <mergeCell ref="Q21:R21"/>
    <mergeCell ref="T16:U16"/>
    <mergeCell ref="G22:H22"/>
    <mergeCell ref="M16:N16"/>
    <mergeCell ref="AA51:AB51"/>
    <mergeCell ref="AA50:AB50"/>
    <mergeCell ref="AA49:AB49"/>
    <mergeCell ref="AA48:AB48"/>
    <mergeCell ref="AA47:AB47"/>
    <mergeCell ref="Y58:Z58"/>
    <mergeCell ref="S57:T57"/>
    <mergeCell ref="Q55:R55"/>
    <mergeCell ref="Q65:R65"/>
    <mergeCell ref="S64:T64"/>
    <mergeCell ref="U65:V65"/>
    <mergeCell ref="U57:V59"/>
    <mergeCell ref="Q57:R59"/>
    <mergeCell ref="G57:H59"/>
    <mergeCell ref="G56:H56"/>
    <mergeCell ref="C56:D56"/>
    <mergeCell ref="Q56:R56"/>
    <mergeCell ref="U56:V56"/>
    <mergeCell ref="Y24:Z24"/>
    <mergeCell ref="U31:V31"/>
    <mergeCell ref="S30:T30"/>
    <mergeCell ref="Q31:R31"/>
    <mergeCell ref="C65:D65"/>
    <mergeCell ref="G65:H65"/>
    <mergeCell ref="E64:F64"/>
    <mergeCell ref="U23:V25"/>
    <mergeCell ref="Q23:R25"/>
    <mergeCell ref="S23:T23"/>
    <mergeCell ref="F50:G50"/>
    <mergeCell ref="T50:U50"/>
    <mergeCell ref="K58:L58"/>
    <mergeCell ref="C55:D55"/>
    <mergeCell ref="E57:F57"/>
    <mergeCell ref="C57:D5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B832-4F80-B541-80F3-EF55C59D147B}">
  <dimension ref="B1:J15"/>
  <sheetViews>
    <sheetView topLeftCell="A7" zoomScale="71" workbookViewId="0">
      <selection activeCell="C11" sqref="C11"/>
    </sheetView>
  </sheetViews>
  <sheetFormatPr baseColWidth="10" defaultColWidth="11" defaultRowHeight="16" x14ac:dyDescent="0.2"/>
  <cols>
    <col min="1" max="2" width="12" bestFit="1" customWidth="1"/>
    <col min="7" max="7" width="23.5" bestFit="1" customWidth="1"/>
    <col min="8" max="8" width="14" bestFit="1" customWidth="1"/>
  </cols>
  <sheetData>
    <row r="1" spans="2:10" ht="16.5" customHeight="1" x14ac:dyDescent="0.2">
      <c r="B1" s="622" t="s">
        <v>643</v>
      </c>
      <c r="C1" s="622"/>
      <c r="D1" s="622"/>
      <c r="E1" s="622"/>
      <c r="G1" s="622" t="s">
        <v>644</v>
      </c>
      <c r="H1" s="622"/>
      <c r="I1" s="222"/>
      <c r="J1" s="222"/>
    </row>
    <row r="2" spans="2:10" ht="16.5" customHeight="1" x14ac:dyDescent="0.2">
      <c r="B2" s="622"/>
      <c r="C2" s="622"/>
      <c r="D2" s="622"/>
      <c r="E2" s="622"/>
      <c r="G2" s="622"/>
      <c r="H2" s="622"/>
      <c r="I2" s="222"/>
      <c r="J2" s="222"/>
    </row>
    <row r="3" spans="2:10" ht="18" x14ac:dyDescent="0.25">
      <c r="B3" t="s">
        <v>645</v>
      </c>
      <c r="C3" s="97">
        <f>dimens_mag_MP!Y39</f>
        <v>20</v>
      </c>
      <c r="D3" t="s">
        <v>646</v>
      </c>
      <c r="E3">
        <f>14.33/carr_elev!N9</f>
        <v>1.532513888888889</v>
      </c>
      <c r="G3" s="3" t="s">
        <v>647</v>
      </c>
      <c r="H3" t="s">
        <v>648</v>
      </c>
    </row>
    <row r="4" spans="2:10" x14ac:dyDescent="0.2">
      <c r="B4" t="s">
        <v>649</v>
      </c>
      <c r="C4" s="97">
        <f>'dimensionamento magazzino PF'!B118</f>
        <v>8</v>
      </c>
      <c r="G4" t="s">
        <v>650</v>
      </c>
      <c r="H4" s="3">
        <v>200</v>
      </c>
    </row>
    <row r="5" spans="2:10" x14ac:dyDescent="0.2">
      <c r="B5" t="s">
        <v>651</v>
      </c>
      <c r="C5">
        <f>dimens_mag_buffer!M92</f>
        <v>6</v>
      </c>
      <c r="G5" t="s">
        <v>652</v>
      </c>
      <c r="H5" s="3">
        <v>80</v>
      </c>
    </row>
    <row r="6" spans="2:10" x14ac:dyDescent="0.2">
      <c r="B6" t="s">
        <v>653</v>
      </c>
      <c r="C6" s="22">
        <f>'Trasporti interni'!H49</f>
        <v>10</v>
      </c>
      <c r="G6" t="s">
        <v>654</v>
      </c>
      <c r="H6" s="3">
        <v>50</v>
      </c>
    </row>
    <row r="7" spans="2:10" x14ac:dyDescent="0.2">
      <c r="B7" t="s">
        <v>535</v>
      </c>
      <c r="C7" s="97">
        <f>SUM(C2:C6)</f>
        <v>44</v>
      </c>
      <c r="D7" t="s">
        <v>655</v>
      </c>
      <c r="E7">
        <f>ROUNDUP(E3*C7,0)</f>
        <v>68</v>
      </c>
      <c r="G7" t="s">
        <v>656</v>
      </c>
      <c r="H7" s="3" t="s">
        <v>657</v>
      </c>
    </row>
    <row r="8" spans="2:10" x14ac:dyDescent="0.2">
      <c r="B8" t="s">
        <v>680</v>
      </c>
      <c r="C8" s="97">
        <v>1</v>
      </c>
      <c r="D8" t="s">
        <v>937</v>
      </c>
      <c r="E8">
        <f>ROUNDUP(C8*E3,0)</f>
        <v>2</v>
      </c>
      <c r="G8" t="s">
        <v>658</v>
      </c>
      <c r="H8" s="3">
        <f>1.6*$C$15</f>
        <v>588.80000000000007</v>
      </c>
    </row>
    <row r="9" spans="2:10" x14ac:dyDescent="0.2">
      <c r="B9" s="622" t="s">
        <v>659</v>
      </c>
      <c r="C9" s="622"/>
      <c r="D9" s="622"/>
      <c r="E9" s="622"/>
      <c r="G9" t="s">
        <v>660</v>
      </c>
      <c r="H9" s="3">
        <f>0.25*$C$15</f>
        <v>92</v>
      </c>
    </row>
    <row r="10" spans="2:10" x14ac:dyDescent="0.2">
      <c r="B10" s="622"/>
      <c r="C10" s="622"/>
      <c r="D10" s="622"/>
      <c r="E10" s="622"/>
      <c r="G10" t="s">
        <v>661</v>
      </c>
      <c r="H10" s="3">
        <f>1.5*$C$15</f>
        <v>552</v>
      </c>
    </row>
    <row r="11" spans="2:10" x14ac:dyDescent="0.2">
      <c r="B11" t="s">
        <v>662</v>
      </c>
      <c r="C11">
        <f>(C7)*2+8*2</f>
        <v>104</v>
      </c>
      <c r="G11" t="s">
        <v>663</v>
      </c>
      <c r="H11" s="3">
        <v>20</v>
      </c>
    </row>
    <row r="12" spans="2:10" x14ac:dyDescent="0.2">
      <c r="B12" t="s">
        <v>664</v>
      </c>
      <c r="C12">
        <f>11*2+9*5*2+4*8*2+8*2+5*2</f>
        <v>202</v>
      </c>
      <c r="G12" t="s">
        <v>665</v>
      </c>
      <c r="H12" s="3">
        <v>80</v>
      </c>
    </row>
    <row r="13" spans="2:10" x14ac:dyDescent="0.2">
      <c r="B13" t="s">
        <v>666</v>
      </c>
      <c r="C13">
        <f>C12+C11</f>
        <v>306</v>
      </c>
      <c r="G13" t="s">
        <v>667</v>
      </c>
      <c r="H13" s="3" t="s">
        <v>668</v>
      </c>
    </row>
    <row r="14" spans="2:10" x14ac:dyDescent="0.2">
      <c r="B14" t="s">
        <v>669</v>
      </c>
      <c r="C14">
        <f>ROUNDUP(C13*0.2,0)</f>
        <v>62</v>
      </c>
    </row>
    <row r="15" spans="2:10" x14ac:dyDescent="0.2">
      <c r="B15" t="s">
        <v>670</v>
      </c>
      <c r="C15">
        <f>C14+C13</f>
        <v>368</v>
      </c>
    </row>
  </sheetData>
  <mergeCells count="3">
    <mergeCell ref="B1:E2"/>
    <mergeCell ref="B9:E10"/>
    <mergeCell ref="G1:H2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2BF84-2418-46CF-9CF1-1AB70AFDA0CC}">
  <dimension ref="D4:AB21"/>
  <sheetViews>
    <sheetView topLeftCell="A9" zoomScale="76" workbookViewId="0">
      <selection activeCell="I40" sqref="I40"/>
    </sheetView>
  </sheetViews>
  <sheetFormatPr baseColWidth="10" defaultColWidth="8.5" defaultRowHeight="15.75" customHeight="1" x14ac:dyDescent="0.2"/>
  <cols>
    <col min="5" max="5" width="12" customWidth="1"/>
    <col min="9" max="9" width="12.5" customWidth="1"/>
    <col min="13" max="13" width="13" customWidth="1"/>
    <col min="21" max="21" width="12" customWidth="1"/>
    <col min="25" max="25" width="11.5" customWidth="1"/>
  </cols>
  <sheetData>
    <row r="4" spans="4:28" ht="16" x14ac:dyDescent="0.2">
      <c r="D4" s="623" t="s">
        <v>671</v>
      </c>
      <c r="E4" s="624"/>
      <c r="F4" s="625"/>
      <c r="H4" s="623" t="s">
        <v>672</v>
      </c>
      <c r="I4" s="624"/>
      <c r="J4" s="625"/>
      <c r="L4" s="623" t="s">
        <v>673</v>
      </c>
      <c r="M4" s="624"/>
      <c r="N4" s="625"/>
      <c r="P4" s="623" t="s">
        <v>674</v>
      </c>
      <c r="Q4" s="624"/>
      <c r="R4" s="625"/>
      <c r="T4" s="623" t="s">
        <v>675</v>
      </c>
      <c r="U4" s="624"/>
      <c r="V4" s="625"/>
      <c r="X4" s="623" t="s">
        <v>676</v>
      </c>
      <c r="Y4" s="624"/>
      <c r="Z4" s="625"/>
    </row>
    <row r="5" spans="4:28" ht="16" x14ac:dyDescent="0.2">
      <c r="D5" s="626"/>
      <c r="E5" s="627"/>
      <c r="F5" s="628"/>
      <c r="H5" s="626"/>
      <c r="I5" s="627"/>
      <c r="J5" s="628"/>
      <c r="L5" s="626"/>
      <c r="M5" s="627"/>
      <c r="N5" s="628"/>
      <c r="P5" s="626"/>
      <c r="Q5" s="627"/>
      <c r="R5" s="628"/>
      <c r="T5" s="626"/>
      <c r="U5" s="627"/>
      <c r="V5" s="628"/>
      <c r="X5" s="626"/>
      <c r="Y5" s="627"/>
      <c r="Z5" s="628"/>
      <c r="AB5" t="s">
        <v>677</v>
      </c>
    </row>
    <row r="6" spans="4:28" ht="16" x14ac:dyDescent="0.2">
      <c r="D6" s="173" t="s">
        <v>419</v>
      </c>
      <c r="E6">
        <f>carr_elev!E6</f>
        <v>790</v>
      </c>
      <c r="F6" s="217" t="s">
        <v>95</v>
      </c>
      <c r="H6" s="173" t="s">
        <v>419</v>
      </c>
      <c r="I6">
        <f>carr_elev!E33</f>
        <v>1600</v>
      </c>
      <c r="J6" s="217" t="s">
        <v>95</v>
      </c>
      <c r="L6" s="173" t="s">
        <v>419</v>
      </c>
      <c r="M6">
        <f>carr_elev!E71</f>
        <v>1070</v>
      </c>
      <c r="N6" s="217" t="s">
        <v>95</v>
      </c>
      <c r="P6" s="173" t="s">
        <v>419</v>
      </c>
      <c r="Q6">
        <f>carr_elev!E65</f>
        <v>800</v>
      </c>
      <c r="R6" s="217" t="s">
        <v>95</v>
      </c>
      <c r="T6" s="173" t="s">
        <v>431</v>
      </c>
      <c r="U6">
        <f>E8*('# carrelli + dipendenti'!E8)</f>
        <v>3.9183999999999997</v>
      </c>
      <c r="V6" s="217" t="s">
        <v>678</v>
      </c>
      <c r="X6" s="173" t="s">
        <v>431</v>
      </c>
      <c r="Y6">
        <f>E16*('# carrelli + dipendenti'!E8)</f>
        <v>11.0664</v>
      </c>
      <c r="Z6" s="217" t="s">
        <v>678</v>
      </c>
      <c r="AB6">
        <v>12</v>
      </c>
    </row>
    <row r="7" spans="4:28" ht="16" x14ac:dyDescent="0.2">
      <c r="D7" s="173" t="s">
        <v>93</v>
      </c>
      <c r="E7">
        <f>300+carr_elev!F6</f>
        <v>2480</v>
      </c>
      <c r="F7" s="217" t="s">
        <v>95</v>
      </c>
      <c r="H7" s="173" t="s">
        <v>93</v>
      </c>
      <c r="I7">
        <f>300+carr_elev!F33</f>
        <v>3508</v>
      </c>
      <c r="J7" s="217" t="s">
        <v>95</v>
      </c>
      <c r="L7" s="173" t="s">
        <v>93</v>
      </c>
      <c r="M7">
        <f>carr_elev!F65+carr_elev!F71*5+300</f>
        <v>12157</v>
      </c>
      <c r="N7" s="217" t="s">
        <v>95</v>
      </c>
      <c r="P7" s="173" t="s">
        <v>93</v>
      </c>
      <c r="Q7">
        <f>carr_elev!F65+300</f>
        <v>1812</v>
      </c>
      <c r="R7" s="217" t="s">
        <v>95</v>
      </c>
      <c r="T7" s="173" t="s">
        <v>441</v>
      </c>
      <c r="U7">
        <v>0</v>
      </c>
      <c r="V7" s="217" t="s">
        <v>678</v>
      </c>
      <c r="X7" s="173" t="s">
        <v>441</v>
      </c>
      <c r="Z7" s="217" t="s">
        <v>678</v>
      </c>
    </row>
    <row r="8" spans="4:28" ht="16" x14ac:dyDescent="0.2">
      <c r="D8" s="176" t="s">
        <v>679</v>
      </c>
      <c r="E8" s="179">
        <f>(E6*E7)*10^-6</f>
        <v>1.9591999999999998</v>
      </c>
      <c r="F8" s="218" t="s">
        <v>678</v>
      </c>
      <c r="H8" s="176" t="s">
        <v>679</v>
      </c>
      <c r="I8" s="179">
        <f>(I6*I7)*10^-6</f>
        <v>5.6128</v>
      </c>
      <c r="J8" s="218" t="s">
        <v>678</v>
      </c>
      <c r="L8" s="176" t="s">
        <v>679</v>
      </c>
      <c r="M8" s="179">
        <f>(M6*M7)*10^-6</f>
        <v>13.007989999999999</v>
      </c>
      <c r="N8" s="218" t="s">
        <v>678</v>
      </c>
      <c r="P8" s="176" t="s">
        <v>679</v>
      </c>
      <c r="Q8" s="179">
        <f>(Q6*Q7)*10^-6</f>
        <v>1.4496</v>
      </c>
      <c r="R8" s="218" t="s">
        <v>678</v>
      </c>
      <c r="T8" s="173" t="s">
        <v>680</v>
      </c>
      <c r="U8">
        <f>M8+Q8</f>
        <v>14.45759</v>
      </c>
      <c r="V8" s="217" t="s">
        <v>678</v>
      </c>
      <c r="X8" s="173" t="s">
        <v>680</v>
      </c>
      <c r="Y8">
        <f>M16</f>
        <v>24.603590000000001</v>
      </c>
      <c r="Z8" s="217" t="s">
        <v>678</v>
      </c>
    </row>
    <row r="9" spans="4:28" ht="16" x14ac:dyDescent="0.2">
      <c r="T9" s="173"/>
      <c r="V9" s="217" t="s">
        <v>678</v>
      </c>
      <c r="X9" s="173"/>
      <c r="Z9" s="217" t="s">
        <v>678</v>
      </c>
    </row>
    <row r="10" spans="4:28" ht="16" x14ac:dyDescent="0.2">
      <c r="T10" s="173"/>
      <c r="V10" s="217" t="s">
        <v>678</v>
      </c>
      <c r="X10" s="173"/>
      <c r="Z10" s="217" t="s">
        <v>678</v>
      </c>
    </row>
    <row r="11" spans="4:28" ht="16" x14ac:dyDescent="0.2">
      <c r="T11" s="176" t="s">
        <v>681</v>
      </c>
      <c r="U11" s="179">
        <f>SUM(U6:U10)</f>
        <v>18.375989999999998</v>
      </c>
      <c r="V11" s="218" t="s">
        <v>678</v>
      </c>
      <c r="X11" s="176" t="s">
        <v>681</v>
      </c>
      <c r="Y11" s="179">
        <f>SUM(Y6:Y10)</f>
        <v>35.669989999999999</v>
      </c>
      <c r="Z11" s="218" t="s">
        <v>678</v>
      </c>
    </row>
    <row r="12" spans="4:28" ht="15.75" customHeight="1" x14ac:dyDescent="0.2">
      <c r="D12" s="623" t="s">
        <v>671</v>
      </c>
      <c r="E12" s="624"/>
      <c r="F12" s="625"/>
      <c r="H12" s="623" t="s">
        <v>672</v>
      </c>
      <c r="I12" s="624"/>
      <c r="J12" s="625"/>
      <c r="L12" s="623" t="s">
        <v>673</v>
      </c>
      <c r="M12" s="624"/>
      <c r="N12" s="625"/>
      <c r="P12" s="623" t="s">
        <v>674</v>
      </c>
      <c r="Q12" s="624"/>
      <c r="R12" s="625"/>
    </row>
    <row r="13" spans="4:28" ht="15.75" customHeight="1" x14ac:dyDescent="0.2">
      <c r="D13" s="626"/>
      <c r="E13" s="627"/>
      <c r="F13" s="628"/>
      <c r="H13" s="626"/>
      <c r="I13" s="627"/>
      <c r="J13" s="628"/>
      <c r="L13" s="626"/>
      <c r="M13" s="627"/>
      <c r="N13" s="628"/>
      <c r="P13" s="626"/>
      <c r="Q13" s="627"/>
      <c r="R13" s="628"/>
    </row>
    <row r="14" spans="4:28" ht="16" x14ac:dyDescent="0.2">
      <c r="D14" s="173" t="s">
        <v>419</v>
      </c>
      <c r="E14">
        <f>carr_elev!E6+800</f>
        <v>1590</v>
      </c>
      <c r="F14" s="217" t="s">
        <v>95</v>
      </c>
      <c r="H14" s="173" t="s">
        <v>419</v>
      </c>
      <c r="I14">
        <f>carr_elev!E41</f>
        <v>0</v>
      </c>
      <c r="J14" s="217" t="s">
        <v>95</v>
      </c>
      <c r="L14" s="173" t="s">
        <v>419</v>
      </c>
      <c r="M14">
        <f>carr_elev!E71+800</f>
        <v>1870</v>
      </c>
      <c r="N14" s="217" t="s">
        <v>95</v>
      </c>
      <c r="P14" s="173" t="s">
        <v>419</v>
      </c>
      <c r="Q14">
        <f>carr_elev!E65+800</f>
        <v>1600</v>
      </c>
      <c r="R14" s="217" t="s">
        <v>95</v>
      </c>
    </row>
    <row r="15" spans="4:28" ht="16" x14ac:dyDescent="0.2">
      <c r="D15" s="173" t="s">
        <v>93</v>
      </c>
      <c r="E15">
        <f>300+carr_elev!F6+1000</f>
        <v>3480</v>
      </c>
      <c r="F15" s="217" t="s">
        <v>95</v>
      </c>
      <c r="H15" s="173" t="s">
        <v>93</v>
      </c>
      <c r="I15">
        <f>300+carr_elev!F41</f>
        <v>300</v>
      </c>
      <c r="J15" s="217" t="s">
        <v>95</v>
      </c>
      <c r="L15" s="173" t="s">
        <v>93</v>
      </c>
      <c r="M15">
        <f>carr_elev!F65+carr_elev!F71*5+300+1000</f>
        <v>13157</v>
      </c>
      <c r="N15" s="217" t="s">
        <v>95</v>
      </c>
      <c r="P15" s="173" t="s">
        <v>93</v>
      </c>
      <c r="Q15">
        <f>carr_elev!F65+300+1000</f>
        <v>2812</v>
      </c>
      <c r="R15" s="217" t="s">
        <v>95</v>
      </c>
    </row>
    <row r="16" spans="4:28" ht="16" x14ac:dyDescent="0.2">
      <c r="D16" s="176" t="s">
        <v>679</v>
      </c>
      <c r="E16" s="179">
        <f>(E14*E15)*10^-6</f>
        <v>5.5331999999999999</v>
      </c>
      <c r="F16" s="218" t="s">
        <v>678</v>
      </c>
      <c r="H16" s="176" t="s">
        <v>679</v>
      </c>
      <c r="I16" s="179">
        <f>(I14*I15)*10^-6</f>
        <v>0</v>
      </c>
      <c r="J16" s="218" t="s">
        <v>678</v>
      </c>
      <c r="L16" s="176" t="s">
        <v>679</v>
      </c>
      <c r="M16" s="179">
        <f>(M14*M15)*10^-6</f>
        <v>24.603590000000001</v>
      </c>
      <c r="N16" s="218" t="s">
        <v>678</v>
      </c>
      <c r="P16" s="176" t="s">
        <v>679</v>
      </c>
      <c r="Q16" s="179">
        <f>(Q14*Q15)*10^-6</f>
        <v>4.4992000000000001</v>
      </c>
      <c r="R16" s="218" t="s">
        <v>678</v>
      </c>
    </row>
    <row r="17" ht="16" x14ac:dyDescent="0.2"/>
    <row r="20" ht="16" x14ac:dyDescent="0.2"/>
    <row r="21" ht="16" x14ac:dyDescent="0.2"/>
  </sheetData>
  <mergeCells count="10">
    <mergeCell ref="H12:J13"/>
    <mergeCell ref="D12:F13"/>
    <mergeCell ref="D4:F5"/>
    <mergeCell ref="H4:J5"/>
    <mergeCell ref="T4:V5"/>
    <mergeCell ref="X4:Z5"/>
    <mergeCell ref="L4:N5"/>
    <mergeCell ref="P4:R5"/>
    <mergeCell ref="P12:R13"/>
    <mergeCell ref="L12:N1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59B8-944D-4CC9-ACAA-82003818E889}">
  <dimension ref="A1:N28"/>
  <sheetViews>
    <sheetView workbookViewId="0">
      <selection activeCell="C3" sqref="C3"/>
    </sheetView>
  </sheetViews>
  <sheetFormatPr baseColWidth="10" defaultColWidth="11" defaultRowHeight="16" x14ac:dyDescent="0.2"/>
  <cols>
    <col min="1" max="1" width="21" customWidth="1"/>
    <col min="2" max="2" width="24" customWidth="1"/>
    <col min="5" max="5" width="22.5" customWidth="1"/>
    <col min="6" max="6" width="10.5" customWidth="1"/>
    <col min="8" max="8" width="24.5" customWidth="1"/>
    <col min="13" max="13" width="21.5" customWidth="1"/>
  </cols>
  <sheetData>
    <row r="1" spans="1:14" x14ac:dyDescent="0.2">
      <c r="A1" t="s">
        <v>682</v>
      </c>
    </row>
    <row r="2" spans="1:14" x14ac:dyDescent="0.2">
      <c r="H2" t="s">
        <v>683</v>
      </c>
      <c r="I2">
        <v>3</v>
      </c>
    </row>
    <row r="3" spans="1:14" x14ac:dyDescent="0.2">
      <c r="B3" t="s">
        <v>684</v>
      </c>
      <c r="C3">
        <f>0.5*'# carrelli + dipendenti'!C15</f>
        <v>184</v>
      </c>
      <c r="H3" t="s">
        <v>685</v>
      </c>
      <c r="I3">
        <f>5.5</f>
        <v>5.5</v>
      </c>
      <c r="M3" t="s">
        <v>686</v>
      </c>
      <c r="N3">
        <f>ROUNDDOWN(0.15*'# carrelli + dipendenti'!C15,0)</f>
        <v>55</v>
      </c>
    </row>
    <row r="4" spans="1:14" x14ac:dyDescent="0.2">
      <c r="B4" t="s">
        <v>687</v>
      </c>
      <c r="C4">
        <f>23*C3</f>
        <v>4232</v>
      </c>
      <c r="H4" t="s">
        <v>688</v>
      </c>
      <c r="I4">
        <f>1.5</f>
        <v>1.5</v>
      </c>
      <c r="M4" t="s">
        <v>687</v>
      </c>
      <c r="N4">
        <f>3*N3</f>
        <v>165</v>
      </c>
    </row>
    <row r="5" spans="1:14" x14ac:dyDescent="0.2">
      <c r="B5" t="s">
        <v>689</v>
      </c>
      <c r="C5">
        <v>2.5</v>
      </c>
    </row>
    <row r="6" spans="1:14" x14ac:dyDescent="0.2">
      <c r="B6" t="s">
        <v>690</v>
      </c>
      <c r="C6">
        <v>4.5</v>
      </c>
    </row>
    <row r="7" spans="1:14" x14ac:dyDescent="0.2">
      <c r="B7" t="s">
        <v>691</v>
      </c>
      <c r="C7">
        <f>ROUNDUP(C3/50,0)</f>
        <v>4</v>
      </c>
    </row>
    <row r="8" spans="1:14" x14ac:dyDescent="0.2">
      <c r="B8" t="s">
        <v>692</v>
      </c>
      <c r="C8">
        <v>3.2</v>
      </c>
    </row>
    <row r="21" spans="1:9" x14ac:dyDescent="0.2">
      <c r="B21" t="s">
        <v>243</v>
      </c>
      <c r="C21">
        <f>36*78.5</f>
        <v>2826</v>
      </c>
      <c r="H21" t="s">
        <v>243</v>
      </c>
      <c r="I21">
        <f>43.5*78.5</f>
        <v>3414.75</v>
      </c>
    </row>
    <row r="24" spans="1:9" x14ac:dyDescent="0.2">
      <c r="A24" t="s">
        <v>693</v>
      </c>
    </row>
    <row r="26" spans="1:9" x14ac:dyDescent="0.2">
      <c r="B26" t="s">
        <v>694</v>
      </c>
      <c r="C26">
        <v>30</v>
      </c>
    </row>
    <row r="27" spans="1:9" x14ac:dyDescent="0.2">
      <c r="B27" t="s">
        <v>695</v>
      </c>
      <c r="C27" s="94">
        <v>0.02</v>
      </c>
    </row>
    <row r="28" spans="1:9" x14ac:dyDescent="0.2">
      <c r="B28" t="s">
        <v>696</v>
      </c>
      <c r="C28" s="94">
        <v>0.1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DDDB1-F17C-4033-96F1-F8036D95636F}">
  <dimension ref="B2:Q29"/>
  <sheetViews>
    <sheetView topLeftCell="D5" zoomScaleNormal="150" zoomScaleSheetLayoutView="100" workbookViewId="0">
      <selection activeCell="O26" sqref="O26"/>
    </sheetView>
  </sheetViews>
  <sheetFormatPr baseColWidth="10" defaultColWidth="8.5" defaultRowHeight="16" x14ac:dyDescent="0.2"/>
  <cols>
    <col min="2" max="2" width="10.5" customWidth="1"/>
    <col min="3" max="3" width="9.5" customWidth="1"/>
    <col min="5" max="5" width="8.5" customWidth="1"/>
    <col min="9" max="9" width="14.5" customWidth="1"/>
    <col min="14" max="14" width="8.5" bestFit="1" customWidth="1"/>
    <col min="17" max="17" width="13" bestFit="1" customWidth="1"/>
  </cols>
  <sheetData>
    <row r="2" spans="2:17" ht="17" thickBot="1" x14ac:dyDescent="0.25"/>
    <row r="3" spans="2:17" ht="17" thickBot="1" x14ac:dyDescent="0.25">
      <c r="B3" s="453" t="s">
        <v>697</v>
      </c>
      <c r="C3" s="454"/>
      <c r="D3" s="454"/>
      <c r="E3" s="454"/>
      <c r="F3" s="454"/>
      <c r="G3" s="454"/>
      <c r="H3" s="454"/>
      <c r="I3" s="454"/>
      <c r="J3" s="454"/>
      <c r="K3" s="454"/>
      <c r="L3" s="454"/>
      <c r="M3" s="464"/>
    </row>
    <row r="4" spans="2:17" ht="17" thickBot="1" x14ac:dyDescent="0.25">
      <c r="B4" s="38"/>
      <c r="I4" s="632" t="s">
        <v>698</v>
      </c>
      <c r="J4" s="633"/>
      <c r="K4" s="633"/>
      <c r="L4" s="633"/>
      <c r="M4" s="634"/>
    </row>
    <row r="5" spans="2:17" x14ac:dyDescent="0.2">
      <c r="B5" s="254" t="s">
        <v>699</v>
      </c>
      <c r="C5" s="237"/>
      <c r="D5" s="228" t="s">
        <v>700</v>
      </c>
      <c r="E5" s="631" t="s">
        <v>701</v>
      </c>
      <c r="F5" s="629"/>
      <c r="G5" s="629"/>
      <c r="H5" s="629"/>
      <c r="I5" s="258" t="s">
        <v>702</v>
      </c>
      <c r="J5" s="259" t="s">
        <v>703</v>
      </c>
      <c r="K5" s="259" t="s">
        <v>704</v>
      </c>
      <c r="L5" s="629" t="s">
        <v>705</v>
      </c>
      <c r="M5" s="630"/>
    </row>
    <row r="6" spans="2:17" ht="17" thickBot="1" x14ac:dyDescent="0.25">
      <c r="B6" s="255" t="s">
        <v>706</v>
      </c>
      <c r="C6" s="256"/>
      <c r="D6" s="257">
        <v>1900</v>
      </c>
      <c r="E6" s="473" t="s">
        <v>707</v>
      </c>
      <c r="F6" s="474"/>
      <c r="G6" s="474"/>
      <c r="H6" s="474"/>
      <c r="I6" s="46">
        <v>2880</v>
      </c>
      <c r="J6" s="36">
        <v>1945</v>
      </c>
      <c r="K6" s="36">
        <v>1050</v>
      </c>
      <c r="L6" s="36">
        <v>3.1</v>
      </c>
      <c r="M6" s="47"/>
    </row>
    <row r="7" spans="2:17" ht="17" thickBot="1" x14ac:dyDescent="0.25"/>
    <row r="8" spans="2:17" ht="17" thickBot="1" x14ac:dyDescent="0.25">
      <c r="B8" s="641" t="s">
        <v>708</v>
      </c>
      <c r="C8" s="642"/>
      <c r="D8" s="642"/>
      <c r="E8" s="642"/>
      <c r="F8" s="642"/>
      <c r="G8" s="642"/>
      <c r="H8" s="643"/>
      <c r="J8" s="635" t="s">
        <v>709</v>
      </c>
      <c r="K8" s="636"/>
      <c r="L8" s="636"/>
      <c r="M8" s="636"/>
      <c r="N8" s="636"/>
      <c r="O8" s="636"/>
      <c r="P8" s="636"/>
      <c r="Q8" s="637"/>
    </row>
    <row r="9" spans="2:17" ht="17" thickBot="1" x14ac:dyDescent="0.25">
      <c r="B9" s="453" t="s">
        <v>710</v>
      </c>
      <c r="C9" s="454"/>
      <c r="D9" s="454"/>
      <c r="E9" s="454"/>
      <c r="F9" s="454"/>
      <c r="G9" s="454"/>
      <c r="H9" s="464"/>
      <c r="J9" s="648" t="s">
        <v>711</v>
      </c>
      <c r="K9" s="646"/>
      <c r="L9" s="646"/>
      <c r="M9" s="383" t="s">
        <v>712</v>
      </c>
      <c r="N9" s="384" t="s">
        <v>713</v>
      </c>
      <c r="O9" s="646" t="s">
        <v>714</v>
      </c>
      <c r="P9" s="647"/>
      <c r="Q9" s="385" t="s">
        <v>713</v>
      </c>
    </row>
    <row r="10" spans="2:17" ht="18" x14ac:dyDescent="0.25">
      <c r="B10" s="38" t="s">
        <v>715</v>
      </c>
      <c r="C10" s="22">
        <f>mag_completo!T6*3.1+mag_completo!T7*3.3+mag_completo!T82+mag_completo!T9*2.1+mag_completo!T10*3.1+mag_completo!T11*3.5+mag_completo!T12*2+mag_completo!T13*2.3+mag_completo!T14*0.65</f>
        <v>57902.850000000006</v>
      </c>
      <c r="D10" t="s">
        <v>716</v>
      </c>
      <c r="H10" s="41"/>
      <c r="J10" s="644" t="s">
        <v>717</v>
      </c>
      <c r="K10" s="496"/>
      <c r="L10" s="496"/>
      <c r="M10" s="38" t="s">
        <v>718</v>
      </c>
      <c r="N10">
        <v>30000</v>
      </c>
      <c r="O10" s="455">
        <v>11</v>
      </c>
      <c r="P10" s="645"/>
      <c r="Q10" s="262">
        <f t="shared" ref="Q10:Q23" si="0">O10*N10</f>
        <v>330000</v>
      </c>
    </row>
    <row r="11" spans="2:17" ht="18" x14ac:dyDescent="0.25">
      <c r="B11" s="38" t="s">
        <v>719</v>
      </c>
      <c r="C11">
        <v>43</v>
      </c>
      <c r="D11" t="s">
        <v>720</v>
      </c>
      <c r="H11" s="41"/>
      <c r="J11" s="644" t="s">
        <v>721</v>
      </c>
      <c r="K11" s="496"/>
      <c r="L11" s="496"/>
      <c r="M11" s="38" t="s">
        <v>722</v>
      </c>
      <c r="N11">
        <v>6000</v>
      </c>
      <c r="O11" s="455">
        <f>18*5+8*8</f>
        <v>154</v>
      </c>
      <c r="P11" s="645"/>
      <c r="Q11" s="262">
        <f t="shared" si="0"/>
        <v>924000</v>
      </c>
    </row>
    <row r="12" spans="2:17" ht="20" x14ac:dyDescent="0.25">
      <c r="B12" s="38" t="s">
        <v>723</v>
      </c>
      <c r="C12">
        <v>1</v>
      </c>
      <c r="H12" s="41"/>
      <c r="J12" s="644" t="s">
        <v>724</v>
      </c>
      <c r="K12" s="496"/>
      <c r="L12" s="496"/>
      <c r="M12" s="38" t="s">
        <v>725</v>
      </c>
      <c r="N12">
        <v>1000</v>
      </c>
      <c r="O12" s="455">
        <v>19132</v>
      </c>
      <c r="P12" s="645"/>
      <c r="Q12" s="262">
        <f t="shared" si="0"/>
        <v>19132000</v>
      </c>
    </row>
    <row r="13" spans="2:17" ht="20" x14ac:dyDescent="0.25">
      <c r="B13" s="260" t="s">
        <v>726</v>
      </c>
      <c r="C13">
        <v>1</v>
      </c>
      <c r="H13" s="41"/>
      <c r="J13" s="644" t="s">
        <v>727</v>
      </c>
      <c r="K13" s="496"/>
      <c r="L13" s="496"/>
      <c r="M13" s="38" t="s">
        <v>725</v>
      </c>
      <c r="N13">
        <v>410</v>
      </c>
      <c r="O13" s="455">
        <v>19132</v>
      </c>
      <c r="P13" s="645"/>
      <c r="Q13" s="262">
        <f t="shared" si="0"/>
        <v>7844120</v>
      </c>
    </row>
    <row r="14" spans="2:17" ht="18" x14ac:dyDescent="0.25">
      <c r="B14" s="260" t="s">
        <v>728</v>
      </c>
      <c r="C14">
        <f>47.5*70.8</f>
        <v>3363</v>
      </c>
      <c r="D14" t="s">
        <v>205</v>
      </c>
      <c r="H14" s="41"/>
      <c r="J14" s="644" t="s">
        <v>729</v>
      </c>
      <c r="K14" s="496"/>
      <c r="L14" s="496"/>
      <c r="M14" s="38" t="s">
        <v>718</v>
      </c>
      <c r="N14">
        <v>100</v>
      </c>
      <c r="O14" s="455">
        <f>dimens_mag_MP!V36</f>
        <v>240</v>
      </c>
      <c r="P14" s="645"/>
      <c r="Q14" s="262">
        <f t="shared" si="0"/>
        <v>24000</v>
      </c>
    </row>
    <row r="15" spans="2:17" ht="19" thickBot="1" x14ac:dyDescent="0.3">
      <c r="B15" s="260" t="s">
        <v>730</v>
      </c>
      <c r="C15">
        <f>C10*C11*C12*C13/C14</f>
        <v>740.35758251561117</v>
      </c>
      <c r="D15" t="s">
        <v>731</v>
      </c>
      <c r="E15" s="474" t="s">
        <v>732</v>
      </c>
      <c r="F15" s="474"/>
      <c r="G15" s="474"/>
      <c r="H15" s="89">
        <v>60</v>
      </c>
      <c r="J15" s="644" t="s">
        <v>733</v>
      </c>
      <c r="K15" s="496"/>
      <c r="L15" s="496"/>
      <c r="M15" s="38" t="s">
        <v>718</v>
      </c>
      <c r="N15">
        <v>80</v>
      </c>
      <c r="O15" s="455">
        <f>SUM(dimens_mag_MP!U36,dimens_mag_buffer!M118,SUM('dimensionamento magazzino PF'!C64:C67)*'dimensionamento magazzino PF'!B56*'dimensionamento magazzino PF'!B58)</f>
        <v>13140</v>
      </c>
      <c r="P15" s="645"/>
      <c r="Q15" s="262">
        <f t="shared" si="0"/>
        <v>1051200</v>
      </c>
    </row>
    <row r="16" spans="2:17" ht="17" thickBot="1" x14ac:dyDescent="0.25">
      <c r="B16" s="638" t="s">
        <v>734</v>
      </c>
      <c r="C16" s="639"/>
      <c r="D16" s="639"/>
      <c r="E16" s="639"/>
      <c r="F16" s="639"/>
      <c r="G16" s="639"/>
      <c r="H16" s="640"/>
      <c r="J16" s="644" t="s">
        <v>735</v>
      </c>
      <c r="K16" s="496"/>
      <c r="L16" s="496"/>
      <c r="M16" s="38" t="s">
        <v>718</v>
      </c>
      <c r="N16">
        <v>30000</v>
      </c>
      <c r="O16" s="455">
        <v>68</v>
      </c>
      <c r="P16" s="645"/>
      <c r="Q16" s="262">
        <f t="shared" si="0"/>
        <v>2040000</v>
      </c>
    </row>
    <row r="17" spans="2:17" ht="18" x14ac:dyDescent="0.25">
      <c r="B17" s="38" t="s">
        <v>715</v>
      </c>
      <c r="C17" s="97">
        <f>mag_completo!T28*5.3+mag_completo!T29*5.6+mag_completo!T30*5.3+mag_completo!T31*6</f>
        <v>105084.68816326529</v>
      </c>
      <c r="D17" t="s">
        <v>716</v>
      </c>
      <c r="H17" s="89"/>
      <c r="J17" s="644" t="s">
        <v>680</v>
      </c>
      <c r="K17" s="496"/>
      <c r="L17" s="496"/>
      <c r="M17" s="38" t="s">
        <v>718</v>
      </c>
      <c r="N17">
        <v>30000</v>
      </c>
      <c r="O17" s="455">
        <v>2</v>
      </c>
      <c r="P17" s="645"/>
      <c r="Q17" s="262">
        <f t="shared" si="0"/>
        <v>60000</v>
      </c>
    </row>
    <row r="18" spans="2:17" ht="18" x14ac:dyDescent="0.25">
      <c r="B18" s="38" t="s">
        <v>719</v>
      </c>
      <c r="C18">
        <v>43</v>
      </c>
      <c r="D18" t="s">
        <v>720</v>
      </c>
      <c r="H18" s="89"/>
      <c r="J18" s="644" t="s">
        <v>736</v>
      </c>
      <c r="K18" s="496"/>
      <c r="L18" s="496"/>
      <c r="M18" s="38" t="s">
        <v>722</v>
      </c>
      <c r="N18">
        <v>600</v>
      </c>
      <c r="O18" s="455">
        <f>8.4*8+18.6*5</f>
        <v>160.19999999999999</v>
      </c>
      <c r="P18" s="645"/>
      <c r="Q18" s="262">
        <f t="shared" si="0"/>
        <v>96120</v>
      </c>
    </row>
    <row r="19" spans="2:17" ht="18" x14ac:dyDescent="0.25">
      <c r="B19" s="38" t="s">
        <v>723</v>
      </c>
      <c r="C19">
        <v>1</v>
      </c>
      <c r="H19" s="89"/>
      <c r="J19" s="644" t="s">
        <v>737</v>
      </c>
      <c r="K19" s="496"/>
      <c r="L19" s="496"/>
      <c r="M19" s="38" t="s">
        <v>722</v>
      </c>
      <c r="N19">
        <v>2500</v>
      </c>
      <c r="O19" s="455">
        <f>22.2*2+16.2+11.7+14.6</f>
        <v>86.899999999999991</v>
      </c>
      <c r="P19" s="645"/>
      <c r="Q19" s="262">
        <f t="shared" si="0"/>
        <v>217249.99999999997</v>
      </c>
    </row>
    <row r="20" spans="2:17" ht="18" x14ac:dyDescent="0.25">
      <c r="B20" s="260" t="s">
        <v>726</v>
      </c>
      <c r="C20">
        <v>1</v>
      </c>
      <c r="H20" s="89"/>
      <c r="J20" s="644" t="s">
        <v>738</v>
      </c>
      <c r="K20" s="496"/>
      <c r="L20" s="496"/>
      <c r="M20" s="38" t="s">
        <v>718</v>
      </c>
      <c r="N20">
        <v>9700</v>
      </c>
      <c r="O20" s="455">
        <v>13</v>
      </c>
      <c r="P20" s="645"/>
      <c r="Q20" s="262">
        <f t="shared" si="0"/>
        <v>126100</v>
      </c>
    </row>
    <row r="21" spans="2:17" ht="18" x14ac:dyDescent="0.25">
      <c r="B21" s="260" t="s">
        <v>728</v>
      </c>
      <c r="C21">
        <f>24*24+35.5*47.6</f>
        <v>2265.8000000000002</v>
      </c>
      <c r="D21" t="s">
        <v>205</v>
      </c>
      <c r="H21" s="89"/>
      <c r="J21" s="644" t="s">
        <v>739</v>
      </c>
      <c r="K21" s="496"/>
      <c r="L21" s="496"/>
      <c r="M21" s="38" t="s">
        <v>718</v>
      </c>
      <c r="N21">
        <v>3500</v>
      </c>
      <c r="O21" s="455">
        <v>8</v>
      </c>
      <c r="P21" s="645"/>
      <c r="Q21" s="262">
        <f t="shared" si="0"/>
        <v>28000</v>
      </c>
    </row>
    <row r="22" spans="2:17" ht="19" thickBot="1" x14ac:dyDescent="0.3">
      <c r="B22" s="260" t="s">
        <v>730</v>
      </c>
      <c r="C22">
        <f>C17*C18*C19*C20/C21</f>
        <v>1994.280868135055</v>
      </c>
      <c r="D22" t="s">
        <v>731</v>
      </c>
      <c r="E22" s="474" t="s">
        <v>732</v>
      </c>
      <c r="F22" s="474"/>
      <c r="G22" s="474"/>
      <c r="H22" s="89">
        <v>120</v>
      </c>
      <c r="J22" s="644" t="s">
        <v>740</v>
      </c>
      <c r="K22" s="496"/>
      <c r="L22" s="496"/>
      <c r="M22" s="38" t="s">
        <v>718</v>
      </c>
      <c r="N22">
        <v>75000</v>
      </c>
      <c r="O22" s="455">
        <v>1</v>
      </c>
      <c r="P22" s="645"/>
      <c r="Q22" s="262">
        <f t="shared" si="0"/>
        <v>75000</v>
      </c>
    </row>
    <row r="23" spans="2:17" ht="17" thickBot="1" x14ac:dyDescent="0.25">
      <c r="B23" s="638" t="s">
        <v>741</v>
      </c>
      <c r="C23" s="639"/>
      <c r="D23" s="639"/>
      <c r="E23" s="639"/>
      <c r="F23" s="639"/>
      <c r="G23" s="639"/>
      <c r="H23" s="640"/>
      <c r="J23" s="644" t="s">
        <v>742</v>
      </c>
      <c r="K23" s="496"/>
      <c r="L23" s="496"/>
      <c r="M23" s="38" t="s">
        <v>718</v>
      </c>
      <c r="N23">
        <v>2800</v>
      </c>
      <c r="O23" s="455">
        <v>13</v>
      </c>
      <c r="P23" s="645"/>
      <c r="Q23" s="262">
        <f t="shared" si="0"/>
        <v>36400</v>
      </c>
    </row>
    <row r="24" spans="2:17" ht="19" thickBot="1" x14ac:dyDescent="0.3">
      <c r="B24" s="38" t="s">
        <v>715</v>
      </c>
      <c r="C24" s="97">
        <f>mag_completo!T23*11.55+mag_completo!T24*12.15+mag_completo!T25*11.95+mag_completo!T26*12.9</f>
        <v>130644.07714285715</v>
      </c>
      <c r="D24" t="s">
        <v>716</v>
      </c>
      <c r="H24" s="89"/>
      <c r="J24" s="649" t="s">
        <v>938</v>
      </c>
      <c r="K24" s="650"/>
      <c r="L24" s="650"/>
      <c r="M24" s="46" t="s">
        <v>939</v>
      </c>
      <c r="N24" s="36">
        <v>600000</v>
      </c>
      <c r="O24" s="473">
        <v>1</v>
      </c>
      <c r="P24" s="651"/>
      <c r="Q24" s="382">
        <f>O24*N24</f>
        <v>600000</v>
      </c>
    </row>
    <row r="25" spans="2:17" ht="19" thickBot="1" x14ac:dyDescent="0.3">
      <c r="B25" s="38" t="s">
        <v>719</v>
      </c>
      <c r="C25">
        <v>43</v>
      </c>
      <c r="D25" t="s">
        <v>720</v>
      </c>
      <c r="H25" s="89"/>
      <c r="Q25" s="381">
        <f>SUM(Q10:Q24)</f>
        <v>32584190</v>
      </c>
    </row>
    <row r="26" spans="2:17" ht="18" x14ac:dyDescent="0.25">
      <c r="B26" s="38" t="s">
        <v>723</v>
      </c>
      <c r="C26">
        <v>1</v>
      </c>
      <c r="H26" s="89"/>
    </row>
    <row r="27" spans="2:17" ht="18" x14ac:dyDescent="0.25">
      <c r="B27" s="260" t="s">
        <v>726</v>
      </c>
      <c r="C27">
        <v>1</v>
      </c>
      <c r="H27" s="89"/>
    </row>
    <row r="28" spans="2:17" ht="18" x14ac:dyDescent="0.25">
      <c r="B28" s="260" t="s">
        <v>728</v>
      </c>
      <c r="C28">
        <f>59.6*47.5</f>
        <v>2831</v>
      </c>
      <c r="D28" t="s">
        <v>205</v>
      </c>
      <c r="H28" s="89"/>
    </row>
    <row r="29" spans="2:17" ht="19" thickBot="1" x14ac:dyDescent="0.3">
      <c r="B29" s="261" t="s">
        <v>730</v>
      </c>
      <c r="C29" s="36">
        <f>C24*C25*C26*C27/C28</f>
        <v>1984.3501650098401</v>
      </c>
      <c r="D29" s="36" t="s">
        <v>731</v>
      </c>
      <c r="E29" s="474" t="s">
        <v>732</v>
      </c>
      <c r="F29" s="474"/>
      <c r="G29" s="474"/>
      <c r="H29" s="87">
        <v>120</v>
      </c>
    </row>
  </sheetData>
  <mergeCells count="45">
    <mergeCell ref="J24:L24"/>
    <mergeCell ref="O24:P24"/>
    <mergeCell ref="O15:P15"/>
    <mergeCell ref="O20:P20"/>
    <mergeCell ref="O19:P19"/>
    <mergeCell ref="O18:P18"/>
    <mergeCell ref="O17:P17"/>
    <mergeCell ref="O16:P16"/>
    <mergeCell ref="O14:P14"/>
    <mergeCell ref="O13:P13"/>
    <mergeCell ref="O12:P12"/>
    <mergeCell ref="O11:P11"/>
    <mergeCell ref="O10:P10"/>
    <mergeCell ref="O9:P9"/>
    <mergeCell ref="B9:H9"/>
    <mergeCell ref="J23:L23"/>
    <mergeCell ref="J21:L21"/>
    <mergeCell ref="J20:L20"/>
    <mergeCell ref="J19:L19"/>
    <mergeCell ref="J18:L18"/>
    <mergeCell ref="J17:L17"/>
    <mergeCell ref="J16:L16"/>
    <mergeCell ref="J15:L15"/>
    <mergeCell ref="J14:L14"/>
    <mergeCell ref="J13:L13"/>
    <mergeCell ref="J12:L12"/>
    <mergeCell ref="J11:L11"/>
    <mergeCell ref="J10:L10"/>
    <mergeCell ref="J9:L9"/>
    <mergeCell ref="B3:M3"/>
    <mergeCell ref="E29:G29"/>
    <mergeCell ref="L5:M5"/>
    <mergeCell ref="E6:H6"/>
    <mergeCell ref="E5:H5"/>
    <mergeCell ref="I4:M4"/>
    <mergeCell ref="J8:Q8"/>
    <mergeCell ref="E15:G15"/>
    <mergeCell ref="E22:G22"/>
    <mergeCell ref="B23:H23"/>
    <mergeCell ref="B16:H16"/>
    <mergeCell ref="B8:H8"/>
    <mergeCell ref="J22:L22"/>
    <mergeCell ref="O22:P22"/>
    <mergeCell ref="O23:P23"/>
    <mergeCell ref="O21:P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095E-8CB0-437D-990B-D777EF565FD2}">
  <dimension ref="B2:Q81"/>
  <sheetViews>
    <sheetView topLeftCell="A30" zoomScale="70" zoomScaleNormal="70" workbookViewId="0">
      <selection activeCell="K43" sqref="K43"/>
    </sheetView>
  </sheetViews>
  <sheetFormatPr baseColWidth="10" defaultColWidth="11" defaultRowHeight="16" x14ac:dyDescent="0.2"/>
  <cols>
    <col min="4" max="4" width="11.5" bestFit="1" customWidth="1"/>
    <col min="5" max="5" width="15.5" customWidth="1"/>
    <col min="6" max="6" width="26" bestFit="1" customWidth="1"/>
    <col min="8" max="8" width="12.5" bestFit="1" customWidth="1"/>
    <col min="9" max="9" width="16.5" bestFit="1" customWidth="1"/>
    <col min="10" max="10" width="12.5" bestFit="1" customWidth="1"/>
    <col min="11" max="11" width="15.5" bestFit="1" customWidth="1"/>
    <col min="12" max="12" width="17.5" bestFit="1" customWidth="1"/>
    <col min="13" max="13" width="22" bestFit="1" customWidth="1"/>
    <col min="14" max="16" width="13" bestFit="1" customWidth="1"/>
    <col min="17" max="17" width="8" customWidth="1"/>
  </cols>
  <sheetData>
    <row r="2" spans="2:12" ht="17.25" customHeight="1" thickBot="1" x14ac:dyDescent="0.25"/>
    <row r="3" spans="2:12" ht="17.25" customHeight="1" thickBot="1" x14ac:dyDescent="0.25">
      <c r="C3" t="s">
        <v>743</v>
      </c>
      <c r="E3" s="230" t="s">
        <v>744</v>
      </c>
      <c r="F3" s="232" t="s">
        <v>745</v>
      </c>
      <c r="G3" s="230" t="s">
        <v>746</v>
      </c>
      <c r="H3" s="230" t="s">
        <v>747</v>
      </c>
      <c r="I3" s="230" t="s">
        <v>748</v>
      </c>
      <c r="J3" s="230" t="s">
        <v>749</v>
      </c>
      <c r="K3" s="232" t="s">
        <v>750</v>
      </c>
      <c r="L3" s="3"/>
    </row>
    <row r="5" spans="2:12" ht="16.5" customHeight="1" x14ac:dyDescent="0.2">
      <c r="C5" t="s">
        <v>751</v>
      </c>
      <c r="E5">
        <v>1</v>
      </c>
      <c r="F5">
        <f>90</f>
        <v>90</v>
      </c>
      <c r="G5" s="61">
        <f>0.2</f>
        <v>0.2</v>
      </c>
      <c r="H5" s="61">
        <f>G5*1.7416</f>
        <v>0.34832000000000002</v>
      </c>
      <c r="I5" s="61">
        <f>0.4</f>
        <v>0.4</v>
      </c>
      <c r="K5" s="60">
        <f>H5*I5</f>
        <v>0.13932800000000001</v>
      </c>
    </row>
    <row r="6" spans="2:12" ht="16.5" customHeight="1" x14ac:dyDescent="0.2">
      <c r="C6" t="s">
        <v>752</v>
      </c>
      <c r="E6">
        <v>1</v>
      </c>
      <c r="F6">
        <f>120</f>
        <v>120</v>
      </c>
      <c r="G6" s="61">
        <f>0.15</f>
        <v>0.15</v>
      </c>
      <c r="H6" s="61">
        <f>G6*1.7416</f>
        <v>0.26123999999999997</v>
      </c>
      <c r="I6" s="61">
        <f>0.7</f>
        <v>0.7</v>
      </c>
      <c r="K6" s="60">
        <f>H6*I6</f>
        <v>0.18286799999999998</v>
      </c>
    </row>
    <row r="9" spans="2:12" ht="24" x14ac:dyDescent="0.3">
      <c r="B9" s="252" t="s">
        <v>753</v>
      </c>
      <c r="C9" s="160"/>
      <c r="D9" s="160"/>
      <c r="E9" s="160"/>
    </row>
    <row r="12" spans="2:12" x14ac:dyDescent="0.2">
      <c r="B12" s="6" t="s">
        <v>754</v>
      </c>
      <c r="C12" s="6" t="s">
        <v>755</v>
      </c>
      <c r="D12" s="6" t="s">
        <v>756</v>
      </c>
      <c r="E12" s="6" t="s">
        <v>757</v>
      </c>
      <c r="F12" s="6" t="s">
        <v>758</v>
      </c>
      <c r="G12" s="6" t="s">
        <v>759</v>
      </c>
      <c r="H12" s="6" t="s">
        <v>760</v>
      </c>
      <c r="I12" s="6" t="s">
        <v>761</v>
      </c>
      <c r="J12" s="6" t="s">
        <v>762</v>
      </c>
      <c r="K12" s="6" t="s">
        <v>763</v>
      </c>
    </row>
    <row r="13" spans="2:12" ht="16.5" customHeight="1" x14ac:dyDescent="0.2">
      <c r="B13" s="658">
        <f>1</f>
        <v>1</v>
      </c>
      <c r="C13" s="6" t="s">
        <v>751</v>
      </c>
      <c r="D13">
        <f>2</f>
        <v>2</v>
      </c>
      <c r="E13" s="60">
        <f>($F$5)/60</f>
        <v>1.5</v>
      </c>
      <c r="F13">
        <v>2.5</v>
      </c>
      <c r="G13" s="61">
        <f>$I$5</f>
        <v>0.4</v>
      </c>
      <c r="H13" s="61">
        <f>$H$5</f>
        <v>0.34832000000000002</v>
      </c>
      <c r="I13" s="61">
        <f>G13*H13</f>
        <v>0.13932800000000001</v>
      </c>
      <c r="J13" s="657">
        <f>I13*E13*D13+I14*E14*D14</f>
        <v>1.1493439999999999</v>
      </c>
      <c r="K13" s="466">
        <f>J13/60</f>
        <v>1.9155733333333331E-2</v>
      </c>
    </row>
    <row r="14" spans="2:12" ht="16.5" customHeight="1" x14ac:dyDescent="0.2">
      <c r="B14" s="658"/>
      <c r="C14" s="6" t="s">
        <v>752</v>
      </c>
      <c r="D14">
        <f>2</f>
        <v>2</v>
      </c>
      <c r="E14" s="60">
        <f>($F$6)/60</f>
        <v>2</v>
      </c>
      <c r="F14" s="57" t="s">
        <v>764</v>
      </c>
      <c r="G14" s="61">
        <f>0.7</f>
        <v>0.7</v>
      </c>
      <c r="H14" s="61">
        <f>0.2612</f>
        <v>0.26119999999999999</v>
      </c>
      <c r="I14" s="61">
        <f>G14*H14</f>
        <v>0.18283999999999997</v>
      </c>
      <c r="J14" s="466"/>
      <c r="K14" s="466"/>
    </row>
    <row r="15" spans="2:12" x14ac:dyDescent="0.2">
      <c r="B15" s="658">
        <f>2</f>
        <v>2</v>
      </c>
      <c r="C15" s="6" t="s">
        <v>751</v>
      </c>
      <c r="D15">
        <f>2</f>
        <v>2</v>
      </c>
      <c r="E15" s="60">
        <f t="shared" ref="E15" si="0">($F$5)/60</f>
        <v>1.5</v>
      </c>
      <c r="F15">
        <v>2.5</v>
      </c>
      <c r="G15" s="61">
        <f t="shared" ref="G15" si="1">$I$5</f>
        <v>0.4</v>
      </c>
      <c r="H15" s="61">
        <f t="shared" ref="H15" si="2">$H$5</f>
        <v>0.34832000000000002</v>
      </c>
      <c r="I15" s="61">
        <f t="shared" ref="I15:I22" si="3">G15*H15</f>
        <v>0.13932800000000001</v>
      </c>
      <c r="J15" s="466">
        <f>I15*E15*D15+I16*E16*D16</f>
        <v>1.1493439999999999</v>
      </c>
      <c r="K15" s="466">
        <f t="shared" ref="K15" si="4">J15/60</f>
        <v>1.9155733333333331E-2</v>
      </c>
    </row>
    <row r="16" spans="2:12" ht="16.5" customHeight="1" x14ac:dyDescent="0.2">
      <c r="B16" s="658"/>
      <c r="C16" s="6" t="s">
        <v>752</v>
      </c>
      <c r="D16">
        <f>2</f>
        <v>2</v>
      </c>
      <c r="E16" s="60">
        <f t="shared" ref="E16" si="5">($F$6)/60</f>
        <v>2</v>
      </c>
      <c r="F16">
        <v>2.5</v>
      </c>
      <c r="G16" s="61">
        <f t="shared" ref="G16" si="6">0.7</f>
        <v>0.7</v>
      </c>
      <c r="H16" s="61">
        <f t="shared" ref="H16" si="7">0.2612</f>
        <v>0.26119999999999999</v>
      </c>
      <c r="I16" s="61">
        <f t="shared" si="3"/>
        <v>0.18283999999999997</v>
      </c>
      <c r="J16" s="466"/>
      <c r="K16" s="466"/>
    </row>
    <row r="17" spans="2:11" ht="16.5" customHeight="1" x14ac:dyDescent="0.2">
      <c r="B17" s="658">
        <f>3</f>
        <v>3</v>
      </c>
      <c r="C17" s="6" t="s">
        <v>751</v>
      </c>
      <c r="D17">
        <f>2</f>
        <v>2</v>
      </c>
      <c r="E17" s="60">
        <f t="shared" ref="E17" si="8">($F$5)/60</f>
        <v>1.5</v>
      </c>
      <c r="F17">
        <v>2.5</v>
      </c>
      <c r="G17" s="61">
        <f t="shared" ref="G17" si="9">$I$5</f>
        <v>0.4</v>
      </c>
      <c r="H17" s="61">
        <f t="shared" ref="H17" si="10">$H$5</f>
        <v>0.34832000000000002</v>
      </c>
      <c r="I17" s="61">
        <f t="shared" si="3"/>
        <v>0.13932800000000001</v>
      </c>
      <c r="J17" s="466">
        <f>I17*E17*D17+I18*E18*D18</f>
        <v>1.1493439999999999</v>
      </c>
      <c r="K17" s="466">
        <f t="shared" ref="K17" si="11">J17/60</f>
        <v>1.9155733333333331E-2</v>
      </c>
    </row>
    <row r="18" spans="2:11" ht="16.5" customHeight="1" x14ac:dyDescent="0.2">
      <c r="B18" s="658"/>
      <c r="C18" s="6" t="s">
        <v>752</v>
      </c>
      <c r="D18">
        <f>2</f>
        <v>2</v>
      </c>
      <c r="E18" s="60">
        <f t="shared" ref="E18" si="12">($F$6)/60</f>
        <v>2</v>
      </c>
      <c r="F18">
        <v>2.5</v>
      </c>
      <c r="G18" s="61">
        <f t="shared" ref="G18" si="13">0.7</f>
        <v>0.7</v>
      </c>
      <c r="H18" s="61">
        <f t="shared" ref="H18" si="14">0.2612</f>
        <v>0.26119999999999999</v>
      </c>
      <c r="I18" s="61">
        <f t="shared" si="3"/>
        <v>0.18283999999999997</v>
      </c>
      <c r="J18" s="466"/>
      <c r="K18" s="466"/>
    </row>
    <row r="19" spans="2:11" x14ac:dyDescent="0.2">
      <c r="B19" s="658">
        <f>4</f>
        <v>4</v>
      </c>
      <c r="C19" s="6" t="s">
        <v>751</v>
      </c>
      <c r="D19">
        <f>2</f>
        <v>2</v>
      </c>
      <c r="E19" s="60">
        <f t="shared" ref="E19" si="15">($F$5)/60</f>
        <v>1.5</v>
      </c>
      <c r="F19">
        <v>2.5</v>
      </c>
      <c r="G19" s="61">
        <f t="shared" ref="G19" si="16">$I$5</f>
        <v>0.4</v>
      </c>
      <c r="H19" s="61">
        <f t="shared" ref="H19" si="17">$H$5</f>
        <v>0.34832000000000002</v>
      </c>
      <c r="I19" s="61">
        <f t="shared" si="3"/>
        <v>0.13932800000000001</v>
      </c>
      <c r="J19" s="466">
        <f>I19*E19*D19+I20*E20*D20</f>
        <v>1.1493439999999999</v>
      </c>
      <c r="K19" s="466">
        <f t="shared" ref="K19" si="18">J19/60</f>
        <v>1.9155733333333331E-2</v>
      </c>
    </row>
    <row r="20" spans="2:11" ht="16.5" customHeight="1" x14ac:dyDescent="0.2">
      <c r="B20" s="659"/>
      <c r="C20" s="360" t="s">
        <v>752</v>
      </c>
      <c r="D20">
        <f>2</f>
        <v>2</v>
      </c>
      <c r="E20" s="60">
        <f t="shared" ref="E20" si="19">($F$6)/60</f>
        <v>2</v>
      </c>
      <c r="F20">
        <v>2.5</v>
      </c>
      <c r="G20" s="61">
        <f t="shared" ref="G20" si="20">0.7</f>
        <v>0.7</v>
      </c>
      <c r="H20" s="61">
        <f t="shared" ref="H20" si="21">0.2612</f>
        <v>0.26119999999999999</v>
      </c>
      <c r="I20" s="61">
        <f t="shared" si="3"/>
        <v>0.18283999999999997</v>
      </c>
      <c r="J20" s="466"/>
      <c r="K20" s="466"/>
    </row>
    <row r="21" spans="2:11" x14ac:dyDescent="0.2">
      <c r="B21" s="658">
        <f>5</f>
        <v>5</v>
      </c>
      <c r="C21" s="6" t="s">
        <v>751</v>
      </c>
      <c r="D21">
        <f>2</f>
        <v>2</v>
      </c>
      <c r="E21" s="60">
        <f t="shared" ref="E21" si="22">($F$5)/60</f>
        <v>1.5</v>
      </c>
      <c r="F21">
        <v>2.5</v>
      </c>
      <c r="G21" s="61">
        <f t="shared" ref="G21" si="23">$I$5</f>
        <v>0.4</v>
      </c>
      <c r="H21" s="61">
        <f t="shared" ref="H21" si="24">$H$5</f>
        <v>0.34832000000000002</v>
      </c>
      <c r="I21" s="61">
        <f t="shared" si="3"/>
        <v>0.13932800000000001</v>
      </c>
      <c r="J21" s="466">
        <f>I21*E21*D21+I22*E22*D22</f>
        <v>1.1493439999999999</v>
      </c>
      <c r="K21" s="466">
        <f t="shared" ref="K21" si="25">J21/60</f>
        <v>1.9155733333333331E-2</v>
      </c>
    </row>
    <row r="22" spans="2:11" ht="16.5" customHeight="1" x14ac:dyDescent="0.2">
      <c r="B22" s="658"/>
      <c r="C22" s="6" t="s">
        <v>752</v>
      </c>
      <c r="D22">
        <f>2</f>
        <v>2</v>
      </c>
      <c r="E22" s="60">
        <f t="shared" ref="E22" si="26">($F$6)/60</f>
        <v>2</v>
      </c>
      <c r="F22">
        <v>2.5</v>
      </c>
      <c r="G22" s="61">
        <f t="shared" ref="G22" si="27">0.7</f>
        <v>0.7</v>
      </c>
      <c r="H22" s="61">
        <f t="shared" ref="H22" si="28">0.2612</f>
        <v>0.26119999999999999</v>
      </c>
      <c r="I22" s="61">
        <f t="shared" si="3"/>
        <v>0.18283999999999997</v>
      </c>
      <c r="J22" s="466"/>
      <c r="K22" s="466"/>
    </row>
    <row r="23" spans="2:11" x14ac:dyDescent="0.2">
      <c r="B23" s="235"/>
      <c r="E23" s="60"/>
      <c r="G23" s="61"/>
      <c r="H23" s="61"/>
      <c r="I23" s="236" t="s">
        <v>765</v>
      </c>
      <c r="J23" s="61">
        <f>0.2</f>
        <v>0.2</v>
      </c>
    </row>
    <row r="24" spans="2:11" ht="16.5" customHeight="1" x14ac:dyDescent="0.2">
      <c r="B24" s="235"/>
      <c r="E24" s="60"/>
      <c r="G24" s="61"/>
      <c r="H24" s="61"/>
      <c r="I24" s="238" t="s">
        <v>535</v>
      </c>
      <c r="J24" s="239">
        <f>(1+J23)*SUM(J13:J22)</f>
        <v>6.896064</v>
      </c>
      <c r="K24" s="240">
        <f>J24/60</f>
        <v>0.11493440000000001</v>
      </c>
    </row>
    <row r="25" spans="2:11" x14ac:dyDescent="0.2">
      <c r="B25" s="235"/>
      <c r="E25" s="60"/>
      <c r="G25" s="61"/>
      <c r="H25" s="61"/>
      <c r="I25" s="61"/>
      <c r="J25" s="235"/>
      <c r="K25" s="235"/>
    </row>
    <row r="26" spans="2:11" ht="16.5" customHeight="1" x14ac:dyDescent="0.2">
      <c r="B26" s="235"/>
      <c r="E26" s="60"/>
      <c r="G26" s="61"/>
      <c r="H26" s="61"/>
      <c r="I26" s="61"/>
      <c r="J26" s="235"/>
      <c r="K26" s="235"/>
    </row>
    <row r="27" spans="2:11" x14ac:dyDescent="0.2">
      <c r="B27" s="235"/>
      <c r="E27" s="60"/>
      <c r="G27" s="61"/>
      <c r="H27" s="61"/>
    </row>
    <row r="28" spans="2:11" ht="16.5" customHeight="1" x14ac:dyDescent="0.2">
      <c r="B28" s="235"/>
      <c r="E28" s="60"/>
      <c r="G28" s="61"/>
      <c r="H28" s="61"/>
    </row>
    <row r="29" spans="2:11" x14ac:dyDescent="0.2">
      <c r="E29" s="60"/>
      <c r="G29" s="61"/>
      <c r="H29" s="61"/>
      <c r="J29" s="2"/>
      <c r="K29" s="235"/>
    </row>
    <row r="30" spans="2:11" ht="24" x14ac:dyDescent="0.3">
      <c r="B30" s="252" t="s">
        <v>766</v>
      </c>
      <c r="C30" s="160"/>
      <c r="D30" s="160"/>
      <c r="F30" s="60"/>
      <c r="H30" s="61"/>
      <c r="I30" s="61"/>
      <c r="J30" s="61"/>
    </row>
    <row r="31" spans="2:11" x14ac:dyDescent="0.2">
      <c r="J31" s="60"/>
    </row>
    <row r="32" spans="2:11" x14ac:dyDescent="0.2">
      <c r="B32" s="456" t="s">
        <v>767</v>
      </c>
      <c r="C32" s="456"/>
      <c r="D32">
        <f>6.5</f>
        <v>6.5</v>
      </c>
      <c r="J32" s="60"/>
    </row>
    <row r="33" spans="2:13" x14ac:dyDescent="0.2">
      <c r="H33" s="450" t="s">
        <v>768</v>
      </c>
      <c r="I33" s="450"/>
      <c r="J33" s="450"/>
      <c r="K33" s="450"/>
    </row>
    <row r="34" spans="2:13" x14ac:dyDescent="0.2">
      <c r="B34" s="450" t="s">
        <v>769</v>
      </c>
      <c r="C34" s="450"/>
      <c r="D34" s="8" t="s">
        <v>267</v>
      </c>
      <c r="E34" s="8" t="s">
        <v>770</v>
      </c>
      <c r="F34" s="8" t="s">
        <v>771</v>
      </c>
      <c r="G34" s="8" t="s">
        <v>772</v>
      </c>
      <c r="H34" s="1" t="s">
        <v>773</v>
      </c>
      <c r="I34" s="8" t="s">
        <v>774</v>
      </c>
      <c r="J34" s="1" t="s">
        <v>775</v>
      </c>
      <c r="K34" s="1" t="s">
        <v>776</v>
      </c>
      <c r="L34" s="1" t="s">
        <v>777</v>
      </c>
      <c r="M34" s="8" t="s">
        <v>778</v>
      </c>
    </row>
    <row r="35" spans="2:13" x14ac:dyDescent="0.2">
      <c r="B35" s="450" t="s">
        <v>779</v>
      </c>
      <c r="C35" s="450"/>
      <c r="D35" s="241">
        <v>114</v>
      </c>
      <c r="E35" s="242">
        <f>$K$24/($D$32)</f>
        <v>1.7682215384615386E-2</v>
      </c>
      <c r="F35" s="243">
        <v>10</v>
      </c>
      <c r="G35" s="244">
        <f>E35/F35</f>
        <v>1.7682215384615385E-3</v>
      </c>
      <c r="H35" s="244">
        <f>SQRT(4*G35/PI())</f>
        <v>4.7448599416860332E-2</v>
      </c>
      <c r="I35" s="244">
        <f>H35*1000</f>
        <v>47.448599416860333</v>
      </c>
      <c r="J35" s="245">
        <f>63</f>
        <v>63</v>
      </c>
      <c r="K35" s="245">
        <f>J35-2*2</f>
        <v>59</v>
      </c>
      <c r="L35" s="246">
        <f>(PI()*(K35/1000)^2)/4</f>
        <v>2.7339710067865171E-3</v>
      </c>
      <c r="M35" s="247">
        <f>E35/L35</f>
        <v>6.4675943310016626</v>
      </c>
    </row>
    <row r="36" spans="2:13" x14ac:dyDescent="0.2">
      <c r="B36" s="450" t="s">
        <v>780</v>
      </c>
      <c r="C36" s="450"/>
      <c r="D36" s="253">
        <v>83.433000000000007</v>
      </c>
      <c r="E36" s="249">
        <f>$K$24/($D$32)</f>
        <v>1.7682215384615386E-2</v>
      </c>
      <c r="F36" s="2">
        <v>10</v>
      </c>
      <c r="G36" s="250">
        <f t="shared" ref="G36:G41" si="29">E36/F36</f>
        <v>1.7682215384615385E-3</v>
      </c>
      <c r="H36" s="250">
        <f t="shared" ref="H36:H41" si="30">SQRT(4*G36/PI())</f>
        <v>4.7448599416860332E-2</v>
      </c>
      <c r="I36" s="250">
        <f t="shared" ref="I36:I41" si="31">H36*1000</f>
        <v>47.448599416860333</v>
      </c>
      <c r="J36" s="3">
        <f>63</f>
        <v>63</v>
      </c>
      <c r="K36" s="3">
        <f>J36-2*2</f>
        <v>59</v>
      </c>
      <c r="L36">
        <f t="shared" ref="L36:L41" si="32">(PI()*(K36/1000)^2)/4</f>
        <v>2.7339710067865171E-3</v>
      </c>
      <c r="M36" s="251">
        <f t="shared" ref="M36:M41" si="33">E36/L36</f>
        <v>6.4675943310016626</v>
      </c>
    </row>
    <row r="37" spans="2:13" x14ac:dyDescent="0.2">
      <c r="B37" s="450" t="s">
        <v>781</v>
      </c>
      <c r="C37" s="450"/>
      <c r="D37" s="248">
        <v>12.2</v>
      </c>
      <c r="E37" s="249">
        <f>K13*(1+$J$23)/$D$32</f>
        <v>3.5364430769230766E-3</v>
      </c>
      <c r="F37" s="2">
        <v>10</v>
      </c>
      <c r="G37" s="250">
        <f t="shared" si="29"/>
        <v>3.5364430769230769E-4</v>
      </c>
      <c r="H37" s="250">
        <f t="shared" si="30"/>
        <v>2.1219658746651316E-2</v>
      </c>
      <c r="I37" s="250">
        <f t="shared" si="31"/>
        <v>21.219658746651316</v>
      </c>
      <c r="J37" s="3">
        <f>25</f>
        <v>25</v>
      </c>
      <c r="K37" s="115">
        <f>J37-2*1.4</f>
        <v>22.2</v>
      </c>
      <c r="L37">
        <f t="shared" si="32"/>
        <v>3.8707563084879846E-4</v>
      </c>
      <c r="M37" s="251">
        <f>E37/L37</f>
        <v>9.1363103101277403</v>
      </c>
    </row>
    <row r="38" spans="2:13" x14ac:dyDescent="0.2">
      <c r="B38" s="450" t="s">
        <v>782</v>
      </c>
      <c r="C38" s="450"/>
      <c r="D38" s="248">
        <v>12.2</v>
      </c>
      <c r="E38" s="249">
        <f>K15*(1+$J$23)/$D$32</f>
        <v>3.5364430769230766E-3</v>
      </c>
      <c r="F38" s="2">
        <v>10</v>
      </c>
      <c r="G38" s="250">
        <f t="shared" si="29"/>
        <v>3.5364430769230769E-4</v>
      </c>
      <c r="H38" s="250">
        <f t="shared" si="30"/>
        <v>2.1219658746651316E-2</v>
      </c>
      <c r="I38" s="250">
        <f t="shared" si="31"/>
        <v>21.219658746651316</v>
      </c>
      <c r="J38" s="3">
        <f>25</f>
        <v>25</v>
      </c>
      <c r="K38" s="115">
        <f t="shared" ref="K38:K41" si="34">J38-2*1.4</f>
        <v>22.2</v>
      </c>
      <c r="L38">
        <f t="shared" si="32"/>
        <v>3.8707563084879846E-4</v>
      </c>
      <c r="M38" s="251">
        <f t="shared" si="33"/>
        <v>9.1363103101277403</v>
      </c>
    </row>
    <row r="39" spans="2:13" x14ac:dyDescent="0.2">
      <c r="B39" s="450" t="s">
        <v>783</v>
      </c>
      <c r="C39" s="450"/>
      <c r="D39" s="248">
        <v>12.2</v>
      </c>
      <c r="E39" s="249">
        <f>K17*(1+$J$23)/$D$32</f>
        <v>3.5364430769230766E-3</v>
      </c>
      <c r="F39" s="2">
        <v>10</v>
      </c>
      <c r="G39" s="250">
        <f t="shared" si="29"/>
        <v>3.5364430769230769E-4</v>
      </c>
      <c r="H39" s="250">
        <f t="shared" si="30"/>
        <v>2.1219658746651316E-2</v>
      </c>
      <c r="I39" s="250">
        <f t="shared" si="31"/>
        <v>21.219658746651316</v>
      </c>
      <c r="J39" s="3">
        <f>25</f>
        <v>25</v>
      </c>
      <c r="K39" s="115">
        <f t="shared" si="34"/>
        <v>22.2</v>
      </c>
      <c r="L39">
        <f t="shared" si="32"/>
        <v>3.8707563084879846E-4</v>
      </c>
      <c r="M39" s="251">
        <f t="shared" si="33"/>
        <v>9.1363103101277403</v>
      </c>
    </row>
    <row r="40" spans="2:13" x14ac:dyDescent="0.2">
      <c r="B40" s="450" t="s">
        <v>784</v>
      </c>
      <c r="C40" s="450"/>
      <c r="D40" s="248">
        <v>12.2</v>
      </c>
      <c r="E40" s="249">
        <f>K19*(1+$J$23)/$D$32</f>
        <v>3.5364430769230766E-3</v>
      </c>
      <c r="F40" s="2">
        <v>10</v>
      </c>
      <c r="G40" s="250">
        <f t="shared" si="29"/>
        <v>3.5364430769230769E-4</v>
      </c>
      <c r="H40" s="250">
        <f t="shared" si="30"/>
        <v>2.1219658746651316E-2</v>
      </c>
      <c r="I40" s="250">
        <f t="shared" si="31"/>
        <v>21.219658746651316</v>
      </c>
      <c r="J40" s="3">
        <f>25</f>
        <v>25</v>
      </c>
      <c r="K40" s="115">
        <f t="shared" si="34"/>
        <v>22.2</v>
      </c>
      <c r="L40">
        <f t="shared" si="32"/>
        <v>3.8707563084879846E-4</v>
      </c>
      <c r="M40" s="251">
        <f t="shared" si="33"/>
        <v>9.1363103101277403</v>
      </c>
    </row>
    <row r="41" spans="2:13" x14ac:dyDescent="0.2">
      <c r="B41" s="656" t="s">
        <v>785</v>
      </c>
      <c r="C41" s="656"/>
      <c r="D41" s="248">
        <v>12.2</v>
      </c>
      <c r="E41" s="249">
        <f>K21*(1+$J$23)/$D$32</f>
        <v>3.5364430769230766E-3</v>
      </c>
      <c r="F41" s="2">
        <v>10</v>
      </c>
      <c r="G41" s="250">
        <f t="shared" si="29"/>
        <v>3.5364430769230769E-4</v>
      </c>
      <c r="H41" s="250">
        <f t="shared" si="30"/>
        <v>2.1219658746651316E-2</v>
      </c>
      <c r="I41" s="250">
        <f t="shared" si="31"/>
        <v>21.219658746651316</v>
      </c>
      <c r="J41" s="3">
        <f>25</f>
        <v>25</v>
      </c>
      <c r="K41" s="115">
        <f t="shared" si="34"/>
        <v>22.2</v>
      </c>
      <c r="L41">
        <f t="shared" si="32"/>
        <v>3.8707563084879846E-4</v>
      </c>
      <c r="M41" s="251">
        <f t="shared" si="33"/>
        <v>9.1363103101277403</v>
      </c>
    </row>
    <row r="42" spans="2:13" x14ac:dyDescent="0.2">
      <c r="B42" s="456"/>
      <c r="C42" s="456"/>
      <c r="E42" s="249"/>
      <c r="F42" s="2"/>
      <c r="G42" s="250"/>
      <c r="H42" s="250"/>
      <c r="I42" s="250"/>
      <c r="J42" s="3"/>
      <c r="K42" s="115"/>
      <c r="M42" s="199"/>
    </row>
    <row r="43" spans="2:13" x14ac:dyDescent="0.2">
      <c r="B43" s="456"/>
      <c r="C43" s="456"/>
      <c r="E43" s="249"/>
      <c r="F43" s="2"/>
      <c r="G43" s="250"/>
      <c r="H43" s="250"/>
      <c r="I43" s="250"/>
      <c r="J43" s="3"/>
      <c r="K43" s="3"/>
      <c r="M43" s="199"/>
    </row>
    <row r="46" spans="2:13" ht="24" x14ac:dyDescent="0.3">
      <c r="B46" s="252" t="s">
        <v>786</v>
      </c>
      <c r="C46" s="252"/>
      <c r="D46" s="160"/>
    </row>
    <row r="48" spans="2:13" x14ac:dyDescent="0.2">
      <c r="B48" s="3" t="s">
        <v>767</v>
      </c>
      <c r="C48" s="3"/>
      <c r="D48">
        <f>6.5</f>
        <v>6.5</v>
      </c>
    </row>
    <row r="50" spans="2:17" x14ac:dyDescent="0.2">
      <c r="E50" s="263" t="s">
        <v>768</v>
      </c>
      <c r="F50" s="359"/>
    </row>
    <row r="51" spans="2:17" x14ac:dyDescent="0.2">
      <c r="B51" s="652" t="s">
        <v>769</v>
      </c>
      <c r="C51" s="653"/>
      <c r="D51" s="8" t="s">
        <v>267</v>
      </c>
      <c r="E51" s="1" t="s">
        <v>775</v>
      </c>
      <c r="F51" s="1" t="s">
        <v>776</v>
      </c>
      <c r="G51" s="366" t="s">
        <v>787</v>
      </c>
      <c r="H51" s="367" t="s">
        <v>788</v>
      </c>
      <c r="I51" s="8" t="s">
        <v>789</v>
      </c>
      <c r="J51" s="8" t="s">
        <v>790</v>
      </c>
      <c r="K51" s="8" t="s">
        <v>791</v>
      </c>
      <c r="L51" s="8" t="s">
        <v>792</v>
      </c>
      <c r="M51" s="365" t="s">
        <v>793</v>
      </c>
      <c r="N51" s="359" t="s">
        <v>794</v>
      </c>
      <c r="O51" s="225" t="s">
        <v>795</v>
      </c>
      <c r="P51" s="225" t="s">
        <v>796</v>
      </c>
    </row>
    <row r="52" spans="2:17" x14ac:dyDescent="0.2">
      <c r="B52" s="652" t="s">
        <v>779</v>
      </c>
      <c r="C52" s="653"/>
      <c r="D52" s="241">
        <v>114</v>
      </c>
      <c r="E52" s="245">
        <f>63</f>
        <v>63</v>
      </c>
      <c r="F52" s="245">
        <f>E52-2*2</f>
        <v>59</v>
      </c>
      <c r="G52">
        <v>1</v>
      </c>
      <c r="H52">
        <v>2</v>
      </c>
      <c r="I52">
        <v>17</v>
      </c>
      <c r="J52">
        <v>0</v>
      </c>
      <c r="K52">
        <v>0</v>
      </c>
      <c r="L52" s="386">
        <v>9</v>
      </c>
      <c r="M52">
        <f>G52*4.5+H52*5+I52*0.5+L52</f>
        <v>32</v>
      </c>
      <c r="N52">
        <f t="shared" ref="N52:N58" si="35">M52+D52</f>
        <v>146</v>
      </c>
      <c r="O52" s="161">
        <f>1.6*(10^8)*((($K$24)^1.85)*(D52+M52))/(((F52)^5)*$D$48)</f>
        <v>9.1861172550990841E-2</v>
      </c>
      <c r="P52" s="161">
        <f>O52</f>
        <v>9.1861172550990841E-2</v>
      </c>
      <c r="Q52" s="161"/>
    </row>
    <row r="53" spans="2:17" x14ac:dyDescent="0.2">
      <c r="B53" s="652" t="s">
        <v>780</v>
      </c>
      <c r="C53" s="653"/>
      <c r="D53" s="253">
        <f>130/2</f>
        <v>65</v>
      </c>
      <c r="E53" s="3">
        <f>63</f>
        <v>63</v>
      </c>
      <c r="F53" s="3">
        <f>E53-2*2</f>
        <v>59</v>
      </c>
      <c r="G53">
        <v>3</v>
      </c>
      <c r="H53">
        <v>2</v>
      </c>
      <c r="I53">
        <v>4</v>
      </c>
      <c r="J53">
        <v>2</v>
      </c>
      <c r="K53" s="386">
        <v>5</v>
      </c>
      <c r="L53">
        <v>0</v>
      </c>
      <c r="M53">
        <f>G53*4.5+H53*5+I53*0.5+J53*0.5+K53*5.5+L53</f>
        <v>54</v>
      </c>
      <c r="N53">
        <f t="shared" si="35"/>
        <v>119</v>
      </c>
      <c r="O53" s="161">
        <f>1.6*(10^8)*((($K$24)^1.85)*(D53+M53))/(((F53)^5)*$D$48)</f>
        <v>7.4873147490191166E-2</v>
      </c>
      <c r="P53" s="161">
        <f>O53</f>
        <v>7.4873147490191166E-2</v>
      </c>
      <c r="Q53" s="161"/>
    </row>
    <row r="54" spans="2:17" x14ac:dyDescent="0.2">
      <c r="B54" s="652" t="s">
        <v>781</v>
      </c>
      <c r="C54" s="653"/>
      <c r="D54" s="248">
        <v>24</v>
      </c>
      <c r="E54" s="3">
        <f>25</f>
        <v>25</v>
      </c>
      <c r="F54" s="115">
        <f>E54-2*1.4</f>
        <v>22.2</v>
      </c>
      <c r="G54">
        <v>1</v>
      </c>
      <c r="H54">
        <v>0</v>
      </c>
      <c r="I54">
        <v>2</v>
      </c>
      <c r="J54">
        <v>4</v>
      </c>
      <c r="K54">
        <v>0</v>
      </c>
      <c r="L54">
        <v>36</v>
      </c>
      <c r="M54">
        <f>G54*1.2+I54*0.2+J54*0.3+L54</f>
        <v>38.799999999999997</v>
      </c>
      <c r="N54">
        <f t="shared" si="35"/>
        <v>62.8</v>
      </c>
      <c r="O54" s="161">
        <f>1.6*(10^8)*(((1.2*K13)^1.85)*(D54+M54))/(((F54)^5)*$D$48)</f>
        <v>0.2667715121417531</v>
      </c>
      <c r="P54" s="161">
        <f>$P$53+O54</f>
        <v>0.34164465963194424</v>
      </c>
      <c r="Q54" s="161"/>
    </row>
    <row r="55" spans="2:17" x14ac:dyDescent="0.2">
      <c r="B55" s="652" t="s">
        <v>782</v>
      </c>
      <c r="C55" s="653"/>
      <c r="D55" s="248">
        <v>24</v>
      </c>
      <c r="E55" s="3">
        <f>25</f>
        <v>25</v>
      </c>
      <c r="F55" s="115">
        <f t="shared" ref="F55:F58" si="36">E55-2*1.4</f>
        <v>22.2</v>
      </c>
      <c r="G55">
        <v>1</v>
      </c>
      <c r="H55">
        <v>0</v>
      </c>
      <c r="I55">
        <v>2</v>
      </c>
      <c r="J55">
        <v>4</v>
      </c>
      <c r="K55">
        <v>0</v>
      </c>
      <c r="L55">
        <f t="shared" ref="L55:L58" si="37">9*4</f>
        <v>36</v>
      </c>
      <c r="M55">
        <f t="shared" ref="M55:M58" si="38">G55*1.2+I55*0.2+J55*0.3+L55</f>
        <v>38.799999999999997</v>
      </c>
      <c r="N55">
        <f t="shared" si="35"/>
        <v>62.8</v>
      </c>
      <c r="O55" s="161">
        <f>1.6*(10^8)*((((1.2*K15)^1.85)*(M55+D55))/(((F55)^5)*$D$48))</f>
        <v>0.2667715121417531</v>
      </c>
      <c r="P55" s="161">
        <f>$P$53+O55</f>
        <v>0.34164465963194424</v>
      </c>
      <c r="Q55" s="161" t="s">
        <v>797</v>
      </c>
    </row>
    <row r="56" spans="2:17" x14ac:dyDescent="0.2">
      <c r="B56" s="652" t="s">
        <v>783</v>
      </c>
      <c r="C56" s="653"/>
      <c r="D56" s="248">
        <v>24</v>
      </c>
      <c r="E56" s="3">
        <f>25</f>
        <v>25</v>
      </c>
      <c r="F56" s="115">
        <f t="shared" si="36"/>
        <v>22.2</v>
      </c>
      <c r="G56">
        <v>1</v>
      </c>
      <c r="H56">
        <v>0</v>
      </c>
      <c r="I56">
        <v>2</v>
      </c>
      <c r="J56">
        <v>4</v>
      </c>
      <c r="K56">
        <v>0</v>
      </c>
      <c r="L56">
        <f t="shared" si="37"/>
        <v>36</v>
      </c>
      <c r="M56">
        <f t="shared" si="38"/>
        <v>38.799999999999997</v>
      </c>
      <c r="N56">
        <f t="shared" si="35"/>
        <v>62.8</v>
      </c>
      <c r="O56" s="161">
        <f>1.6*(10^8)*((((1.2*K17)^1.85)*(M56+D56))/((F56)^5*$D$48))</f>
        <v>0.2667715121417531</v>
      </c>
      <c r="P56" s="161">
        <f>$P$53+O56</f>
        <v>0.34164465963194424</v>
      </c>
      <c r="Q56" s="368">
        <f>MAX(P54:P58)</f>
        <v>0.34164465963194424</v>
      </c>
    </row>
    <row r="57" spans="2:17" x14ac:dyDescent="0.2">
      <c r="B57" s="654" t="s">
        <v>784</v>
      </c>
      <c r="C57" s="655"/>
      <c r="D57" s="248">
        <v>24</v>
      </c>
      <c r="E57" s="3">
        <f>25</f>
        <v>25</v>
      </c>
      <c r="F57" s="115">
        <f t="shared" si="36"/>
        <v>22.2</v>
      </c>
      <c r="G57">
        <v>1</v>
      </c>
      <c r="H57">
        <v>0</v>
      </c>
      <c r="I57">
        <v>2</v>
      </c>
      <c r="J57">
        <v>4</v>
      </c>
      <c r="K57">
        <v>0</v>
      </c>
      <c r="L57">
        <f t="shared" si="37"/>
        <v>36</v>
      </c>
      <c r="M57">
        <f t="shared" si="38"/>
        <v>38.799999999999997</v>
      </c>
      <c r="N57">
        <f t="shared" si="35"/>
        <v>62.8</v>
      </c>
      <c r="O57" s="161">
        <f>1.6*(10^8)*((((1.2*K19)^1.85)*(M57+D57))/(((F57)^5)*$D$48))</f>
        <v>0.2667715121417531</v>
      </c>
      <c r="P57" s="161">
        <f>$P$53+O57</f>
        <v>0.34164465963194424</v>
      </c>
      <c r="Q57" s="161"/>
    </row>
    <row r="58" spans="2:17" x14ac:dyDescent="0.2">
      <c r="B58" s="652" t="s">
        <v>785</v>
      </c>
      <c r="C58" s="653"/>
      <c r="D58" s="248">
        <v>24</v>
      </c>
      <c r="E58" s="3">
        <f>25</f>
        <v>25</v>
      </c>
      <c r="F58" s="115">
        <f t="shared" si="36"/>
        <v>22.2</v>
      </c>
      <c r="G58">
        <v>1</v>
      </c>
      <c r="H58">
        <v>0</v>
      </c>
      <c r="I58">
        <v>2</v>
      </c>
      <c r="J58">
        <v>4</v>
      </c>
      <c r="K58">
        <v>0</v>
      </c>
      <c r="L58">
        <f t="shared" si="37"/>
        <v>36</v>
      </c>
      <c r="M58">
        <f t="shared" si="38"/>
        <v>38.799999999999997</v>
      </c>
      <c r="N58">
        <f t="shared" si="35"/>
        <v>62.8</v>
      </c>
      <c r="O58" s="161">
        <f>1.6*(10^8)*((((1.2*K21)^1.85)*(M58+D58))/(((F58)^5)*$D$48))</f>
        <v>0.2667715121417531</v>
      </c>
      <c r="P58" s="161">
        <f>$P$53+O58</f>
        <v>0.34164465963194424</v>
      </c>
      <c r="Q58" s="161"/>
    </row>
    <row r="59" spans="2:17" x14ac:dyDescent="0.2">
      <c r="E59" s="3"/>
      <c r="F59" s="115"/>
    </row>
    <row r="60" spans="2:17" x14ac:dyDescent="0.2">
      <c r="E60" s="3"/>
      <c r="F60" s="3"/>
    </row>
    <row r="62" spans="2:17" x14ac:dyDescent="0.2">
      <c r="C62" s="264" t="s">
        <v>798</v>
      </c>
      <c r="D62" s="161">
        <f>D48+P52+P53+Q56+1.5</f>
        <v>8.5083789796731253</v>
      </c>
      <c r="E62" t="s">
        <v>799</v>
      </c>
    </row>
    <row r="63" spans="2:17" x14ac:dyDescent="0.2">
      <c r="G63" s="3"/>
      <c r="H63" s="3"/>
      <c r="I63" s="3"/>
      <c r="J63" s="3"/>
      <c r="K63" s="3"/>
    </row>
    <row r="64" spans="2:17" x14ac:dyDescent="0.2">
      <c r="G64" s="3"/>
    </row>
    <row r="65" spans="7:7" x14ac:dyDescent="0.2">
      <c r="G65" s="3"/>
    </row>
    <row r="66" spans="7:7" x14ac:dyDescent="0.2">
      <c r="G66" s="3"/>
    </row>
    <row r="78" spans="7:7" x14ac:dyDescent="0.2">
      <c r="G78" s="3"/>
    </row>
    <row r="79" spans="7:7" x14ac:dyDescent="0.2">
      <c r="G79" s="3"/>
    </row>
    <row r="80" spans="7:7" x14ac:dyDescent="0.2">
      <c r="G80" s="3"/>
    </row>
    <row r="81" spans="7:7" x14ac:dyDescent="0.2">
      <c r="G81" s="3"/>
    </row>
  </sheetData>
  <mergeCells count="35">
    <mergeCell ref="K13:K14"/>
    <mergeCell ref="K15:K16"/>
    <mergeCell ref="K17:K18"/>
    <mergeCell ref="K19:K20"/>
    <mergeCell ref="B34:C34"/>
    <mergeCell ref="J13:J14"/>
    <mergeCell ref="J15:J16"/>
    <mergeCell ref="J17:J18"/>
    <mergeCell ref="J19:J20"/>
    <mergeCell ref="J21:J22"/>
    <mergeCell ref="B13:B14"/>
    <mergeCell ref="B15:B16"/>
    <mergeCell ref="B17:B18"/>
    <mergeCell ref="B19:B20"/>
    <mergeCell ref="B21:B22"/>
    <mergeCell ref="K21:K22"/>
    <mergeCell ref="B32:C32"/>
    <mergeCell ref="B57:C57"/>
    <mergeCell ref="B36:C36"/>
    <mergeCell ref="B41:C41"/>
    <mergeCell ref="B42:C42"/>
    <mergeCell ref="B37:C37"/>
    <mergeCell ref="B38:C38"/>
    <mergeCell ref="B39:C39"/>
    <mergeCell ref="B40:C40"/>
    <mergeCell ref="B52:C52"/>
    <mergeCell ref="B53:C53"/>
    <mergeCell ref="B54:C54"/>
    <mergeCell ref="B55:C55"/>
    <mergeCell ref="B51:C51"/>
    <mergeCell ref="B58:C58"/>
    <mergeCell ref="B56:C56"/>
    <mergeCell ref="B43:C43"/>
    <mergeCell ref="B35:C35"/>
    <mergeCell ref="H33:K33"/>
  </mergeCell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A727-60E7-1F46-86E1-3391C1DE246A}">
  <dimension ref="B2:AE69"/>
  <sheetViews>
    <sheetView topLeftCell="A44" zoomScaleNormal="100" workbookViewId="0">
      <selection activeCell="F74" sqref="F74"/>
    </sheetView>
  </sheetViews>
  <sheetFormatPr baseColWidth="10" defaultColWidth="8.5" defaultRowHeight="16" x14ac:dyDescent="0.2"/>
  <cols>
    <col min="5" max="5" width="8.5" customWidth="1"/>
    <col min="6" max="6" width="17.5" customWidth="1"/>
    <col min="7" max="7" width="14.5" customWidth="1"/>
    <col min="8" max="8" width="21.5" bestFit="1" customWidth="1"/>
    <col min="9" max="9" width="16" bestFit="1" customWidth="1"/>
    <col min="10" max="10" width="14.5" customWidth="1"/>
    <col min="11" max="11" width="16.5" customWidth="1"/>
    <col min="12" max="12" width="15.5" bestFit="1" customWidth="1"/>
    <col min="13" max="13" width="15" customWidth="1"/>
    <col min="14" max="14" width="16" bestFit="1" customWidth="1"/>
    <col min="15" max="15" width="11.5" bestFit="1" customWidth="1"/>
    <col min="16" max="16" width="22" bestFit="1" customWidth="1"/>
    <col min="21" max="21" width="7" bestFit="1" customWidth="1"/>
    <col min="22" max="22" width="9.5" bestFit="1" customWidth="1"/>
    <col min="23" max="23" width="15" bestFit="1" customWidth="1"/>
    <col min="24" max="24" width="15.5" bestFit="1" customWidth="1"/>
    <col min="25" max="25" width="11.5" bestFit="1" customWidth="1"/>
    <col min="26" max="26" width="9.5" bestFit="1" customWidth="1"/>
    <col min="27" max="28" width="7.5" bestFit="1" customWidth="1"/>
    <col min="29" max="29" width="11.5" bestFit="1" customWidth="1"/>
    <col min="30" max="30" width="22" bestFit="1" customWidth="1"/>
  </cols>
  <sheetData>
    <row r="2" spans="2:26" ht="17" thickBot="1" x14ac:dyDescent="0.25"/>
    <row r="3" spans="2:26" ht="17" thickBot="1" x14ac:dyDescent="0.25">
      <c r="C3" t="s">
        <v>625</v>
      </c>
      <c r="E3" s="230" t="s">
        <v>744</v>
      </c>
      <c r="F3" s="232" t="s">
        <v>745</v>
      </c>
      <c r="G3" s="230" t="s">
        <v>746</v>
      </c>
      <c r="H3" s="230"/>
      <c r="I3" s="230"/>
      <c r="J3" s="230"/>
      <c r="K3" s="230" t="s">
        <v>747</v>
      </c>
      <c r="L3" s="230" t="s">
        <v>748</v>
      </c>
      <c r="M3" s="230" t="s">
        <v>749</v>
      </c>
      <c r="N3" s="232" t="s">
        <v>750</v>
      </c>
      <c r="O3" s="3"/>
    </row>
    <row r="5" spans="2:26" x14ac:dyDescent="0.2">
      <c r="C5" t="s">
        <v>800</v>
      </c>
      <c r="E5">
        <v>1</v>
      </c>
      <c r="F5">
        <v>70</v>
      </c>
      <c r="G5" s="61">
        <f>0.25</f>
        <v>0.25</v>
      </c>
      <c r="H5" s="61"/>
      <c r="I5" s="61"/>
      <c r="J5" s="61"/>
      <c r="K5" s="61">
        <f>G5*1.7416</f>
        <v>0.43540000000000001</v>
      </c>
      <c r="L5" s="61">
        <f>0.3</f>
        <v>0.3</v>
      </c>
      <c r="M5">
        <v>6.5</v>
      </c>
      <c r="N5" s="60">
        <f>K5*L5</f>
        <v>0.13061999999999999</v>
      </c>
    </row>
    <row r="6" spans="2:26" x14ac:dyDescent="0.2">
      <c r="C6" t="s">
        <v>801</v>
      </c>
      <c r="E6">
        <v>1</v>
      </c>
      <c r="F6">
        <v>30</v>
      </c>
      <c r="G6" s="61">
        <f>0.05</f>
        <v>0.05</v>
      </c>
      <c r="H6" s="61"/>
      <c r="I6" s="61"/>
      <c r="J6" s="61"/>
      <c r="K6" s="61">
        <f>G6*1.7416</f>
        <v>8.7080000000000005E-2</v>
      </c>
      <c r="L6" s="61">
        <f>0.15</f>
        <v>0.15</v>
      </c>
      <c r="M6">
        <v>6.5</v>
      </c>
      <c r="N6" s="60">
        <f>K6*L6</f>
        <v>1.3062000000000001E-2</v>
      </c>
    </row>
    <row r="9" spans="2:26" ht="24" x14ac:dyDescent="0.3">
      <c r="B9" s="252" t="s">
        <v>753</v>
      </c>
      <c r="C9" s="160"/>
      <c r="D9" s="160"/>
      <c r="E9" s="160"/>
    </row>
    <row r="12" spans="2:26" x14ac:dyDescent="0.2">
      <c r="B12" s="6" t="s">
        <v>754</v>
      </c>
      <c r="C12" s="6" t="s">
        <v>755</v>
      </c>
      <c r="D12" s="6" t="s">
        <v>756</v>
      </c>
      <c r="E12" s="6" t="s">
        <v>757</v>
      </c>
      <c r="F12" s="6" t="s">
        <v>758</v>
      </c>
      <c r="G12" s="6" t="s">
        <v>759</v>
      </c>
      <c r="H12" s="6"/>
      <c r="I12" s="6"/>
      <c r="J12" s="6"/>
      <c r="K12" s="6" t="s">
        <v>760</v>
      </c>
      <c r="L12" s="6" t="s">
        <v>761</v>
      </c>
      <c r="M12" s="6" t="s">
        <v>762</v>
      </c>
      <c r="N12" s="6" t="s">
        <v>763</v>
      </c>
      <c r="Q12" s="6" t="s">
        <v>754</v>
      </c>
      <c r="R12" s="6" t="s">
        <v>755</v>
      </c>
      <c r="S12" s="6" t="s">
        <v>756</v>
      </c>
      <c r="T12" s="6" t="s">
        <v>757</v>
      </c>
      <c r="U12" s="6" t="s">
        <v>758</v>
      </c>
      <c r="V12" s="6" t="s">
        <v>759</v>
      </c>
      <c r="W12" s="6" t="s">
        <v>760</v>
      </c>
      <c r="X12" s="6" t="s">
        <v>761</v>
      </c>
      <c r="Y12" s="6" t="s">
        <v>762</v>
      </c>
      <c r="Z12" s="6" t="s">
        <v>763</v>
      </c>
    </row>
    <row r="13" spans="2:26" x14ac:dyDescent="0.2">
      <c r="B13" s="658">
        <f>1</f>
        <v>1</v>
      </c>
      <c r="C13" t="s">
        <v>800</v>
      </c>
      <c r="D13">
        <f>8</f>
        <v>8</v>
      </c>
      <c r="E13" s="60">
        <f>$F$5/60</f>
        <v>1.1666666666666667</v>
      </c>
      <c r="F13">
        <v>2.5</v>
      </c>
      <c r="G13" s="61">
        <f>0.3</f>
        <v>0.3</v>
      </c>
      <c r="H13" s="61"/>
      <c r="I13" s="61"/>
      <c r="J13" s="61"/>
      <c r="K13" s="61">
        <f t="shared" ref="K13:K24" si="0">G13*1.7416</f>
        <v>0.52247999999999994</v>
      </c>
      <c r="L13" s="61">
        <f t="shared" ref="L13:L24" si="1">K13*G13</f>
        <v>0.15674399999999997</v>
      </c>
      <c r="M13" s="657">
        <f>L13*D13*E13+L14*E14*D14</f>
        <v>1.6196879999999998</v>
      </c>
      <c r="N13" s="466">
        <f>M13/60</f>
        <v>2.6994799999999996E-2</v>
      </c>
      <c r="Q13" s="658">
        <f>1</f>
        <v>1</v>
      </c>
      <c r="R13" t="s">
        <v>800</v>
      </c>
      <c r="S13">
        <v>9</v>
      </c>
      <c r="T13" s="60">
        <f>($F$5)/60</f>
        <v>1.1666666666666667</v>
      </c>
      <c r="U13">
        <v>2.5</v>
      </c>
      <c r="V13" s="61">
        <f>0.3</f>
        <v>0.3</v>
      </c>
      <c r="W13" s="61">
        <f t="shared" ref="W13:W18" si="2">V13*1.7416</f>
        <v>0.52247999999999994</v>
      </c>
      <c r="X13" s="61">
        <f t="shared" ref="X13:X18" si="3">V13*W13</f>
        <v>0.15674399999999997</v>
      </c>
      <c r="Y13" s="657">
        <f>X13*T13*S13+X14*T14*S14</f>
        <v>1.8221489999999998</v>
      </c>
      <c r="Z13" s="466">
        <f>Y13/60</f>
        <v>3.0369149999999998E-2</v>
      </c>
    </row>
    <row r="14" spans="2:26" x14ac:dyDescent="0.2">
      <c r="B14" s="658"/>
      <c r="C14" t="s">
        <v>801</v>
      </c>
      <c r="D14">
        <f>8</f>
        <v>8</v>
      </c>
      <c r="E14" s="60">
        <f>$F$6/60</f>
        <v>0.5</v>
      </c>
      <c r="F14">
        <v>2.5</v>
      </c>
      <c r="G14" s="61">
        <f>0.15</f>
        <v>0.15</v>
      </c>
      <c r="H14" s="61"/>
      <c r="I14" s="61"/>
      <c r="J14" s="61"/>
      <c r="K14" s="61">
        <f t="shared" si="0"/>
        <v>0.26123999999999997</v>
      </c>
      <c r="L14" s="61">
        <f t="shared" si="1"/>
        <v>3.9185999999999992E-2</v>
      </c>
      <c r="M14" s="466"/>
      <c r="N14" s="466"/>
      <c r="Q14" s="658"/>
      <c r="R14" t="s">
        <v>801</v>
      </c>
      <c r="S14">
        <v>9</v>
      </c>
      <c r="T14" s="60">
        <f>($F$6)/60</f>
        <v>0.5</v>
      </c>
      <c r="U14" s="57" t="s">
        <v>764</v>
      </c>
      <c r="V14" s="61">
        <f>0.15</f>
        <v>0.15</v>
      </c>
      <c r="W14" s="61">
        <f t="shared" si="2"/>
        <v>0.26123999999999997</v>
      </c>
      <c r="X14" s="61">
        <f t="shared" si="3"/>
        <v>3.9185999999999992E-2</v>
      </c>
      <c r="Y14" s="466"/>
      <c r="Z14" s="466"/>
    </row>
    <row r="15" spans="2:26" x14ac:dyDescent="0.2">
      <c r="B15" s="658">
        <f>2</f>
        <v>2</v>
      </c>
      <c r="C15" t="s">
        <v>800</v>
      </c>
      <c r="D15">
        <f>8</f>
        <v>8</v>
      </c>
      <c r="E15" s="60">
        <f>$F$5/60</f>
        <v>1.1666666666666667</v>
      </c>
      <c r="F15">
        <v>2.5</v>
      </c>
      <c r="G15" s="61">
        <f>0.3</f>
        <v>0.3</v>
      </c>
      <c r="H15" s="61"/>
      <c r="I15" s="61"/>
      <c r="J15" s="61"/>
      <c r="K15" s="61">
        <f t="shared" si="0"/>
        <v>0.52247999999999994</v>
      </c>
      <c r="L15" s="61">
        <f t="shared" si="1"/>
        <v>0.15674399999999997</v>
      </c>
      <c r="M15" s="466">
        <f>L15*D15*E15+L16*E16*D16</f>
        <v>1.6196879999999998</v>
      </c>
      <c r="N15" s="466">
        <f>M15/60</f>
        <v>2.6994799999999996E-2</v>
      </c>
      <c r="Q15" s="658">
        <f>2</f>
        <v>2</v>
      </c>
      <c r="R15" t="s">
        <v>800</v>
      </c>
      <c r="S15">
        <v>9</v>
      </c>
      <c r="T15" s="60">
        <f>($F$5)/60</f>
        <v>1.1666666666666667</v>
      </c>
      <c r="U15">
        <v>2.5</v>
      </c>
      <c r="V15" s="61">
        <f>0.3</f>
        <v>0.3</v>
      </c>
      <c r="W15" s="61">
        <f t="shared" si="2"/>
        <v>0.52247999999999994</v>
      </c>
      <c r="X15" s="61">
        <f t="shared" si="3"/>
        <v>0.15674399999999997</v>
      </c>
      <c r="Y15" s="466">
        <f>X15*T15*S15+X16*T16*S16</f>
        <v>1.8221489999999998</v>
      </c>
      <c r="Z15" s="466">
        <f>Y15/60</f>
        <v>3.0369149999999998E-2</v>
      </c>
    </row>
    <row r="16" spans="2:26" x14ac:dyDescent="0.2">
      <c r="B16" s="658"/>
      <c r="C16" t="s">
        <v>801</v>
      </c>
      <c r="D16">
        <f>8</f>
        <v>8</v>
      </c>
      <c r="E16" s="60">
        <f>$F$6/60</f>
        <v>0.5</v>
      </c>
      <c r="F16">
        <v>2.5</v>
      </c>
      <c r="G16" s="61">
        <f>0.15</f>
        <v>0.15</v>
      </c>
      <c r="H16" s="61"/>
      <c r="I16" s="61"/>
      <c r="J16" s="61"/>
      <c r="K16" s="61">
        <f t="shared" si="0"/>
        <v>0.26123999999999997</v>
      </c>
      <c r="L16" s="61">
        <f t="shared" si="1"/>
        <v>3.9185999999999992E-2</v>
      </c>
      <c r="M16" s="466"/>
      <c r="N16" s="466"/>
      <c r="Q16" s="659"/>
      <c r="R16" t="s">
        <v>801</v>
      </c>
      <c r="S16">
        <v>9</v>
      </c>
      <c r="T16" s="60">
        <f>($F$6)/60</f>
        <v>0.5</v>
      </c>
      <c r="U16">
        <v>2.5</v>
      </c>
      <c r="V16" s="61">
        <f>0.15</f>
        <v>0.15</v>
      </c>
      <c r="W16" s="61">
        <f t="shared" si="2"/>
        <v>0.26123999999999997</v>
      </c>
      <c r="X16" s="61">
        <f t="shared" si="3"/>
        <v>3.9185999999999992E-2</v>
      </c>
      <c r="Y16" s="466"/>
      <c r="Z16" s="466"/>
    </row>
    <row r="17" spans="2:27" x14ac:dyDescent="0.2">
      <c r="B17" s="658">
        <f>3</f>
        <v>3</v>
      </c>
      <c r="C17" t="s">
        <v>800</v>
      </c>
      <c r="D17">
        <f>8</f>
        <v>8</v>
      </c>
      <c r="E17" s="60">
        <f>$F$5/60</f>
        <v>1.1666666666666667</v>
      </c>
      <c r="F17">
        <v>2.5</v>
      </c>
      <c r="G17" s="61">
        <f>0.3</f>
        <v>0.3</v>
      </c>
      <c r="H17" s="61"/>
      <c r="I17" s="61"/>
      <c r="J17" s="61"/>
      <c r="K17" s="61">
        <f t="shared" si="0"/>
        <v>0.52247999999999994</v>
      </c>
      <c r="L17" s="61">
        <f t="shared" si="1"/>
        <v>0.15674399999999997</v>
      </c>
      <c r="M17" s="466">
        <f>L17*D17*E17+L18*E18*D18</f>
        <v>1.6196879999999998</v>
      </c>
      <c r="N17" s="466">
        <f>M17/60</f>
        <v>2.6994799999999996E-2</v>
      </c>
      <c r="Q17" s="660">
        <f>3</f>
        <v>3</v>
      </c>
      <c r="R17" t="s">
        <v>800</v>
      </c>
      <c r="S17">
        <v>9</v>
      </c>
      <c r="T17" s="60">
        <f>($F$5)/60</f>
        <v>1.1666666666666667</v>
      </c>
      <c r="U17">
        <v>2.5</v>
      </c>
      <c r="V17" s="61">
        <f>0.3</f>
        <v>0.3</v>
      </c>
      <c r="W17" s="61">
        <f t="shared" si="2"/>
        <v>0.52247999999999994</v>
      </c>
      <c r="X17" s="61">
        <f t="shared" si="3"/>
        <v>0.15674399999999997</v>
      </c>
      <c r="Y17" s="466">
        <f>X17*T17*S17+X18*T18*S18</f>
        <v>1.8221489999999998</v>
      </c>
      <c r="Z17" s="466">
        <f>Y17/60</f>
        <v>3.0369149999999998E-2</v>
      </c>
    </row>
    <row r="18" spans="2:27" x14ac:dyDescent="0.2">
      <c r="B18" s="658"/>
      <c r="C18" t="s">
        <v>801</v>
      </c>
      <c r="D18">
        <f>8</f>
        <v>8</v>
      </c>
      <c r="E18" s="60">
        <f>$F$6/60</f>
        <v>0.5</v>
      </c>
      <c r="F18">
        <v>2.5</v>
      </c>
      <c r="G18" s="61">
        <f>0.15</f>
        <v>0.15</v>
      </c>
      <c r="H18" s="61"/>
      <c r="I18" s="61"/>
      <c r="J18" s="61"/>
      <c r="K18" s="61">
        <f t="shared" si="0"/>
        <v>0.26123999999999997</v>
      </c>
      <c r="L18" s="61">
        <f t="shared" si="1"/>
        <v>3.9185999999999992E-2</v>
      </c>
      <c r="M18" s="466"/>
      <c r="N18" s="466"/>
      <c r="Q18" s="661"/>
      <c r="R18" t="s">
        <v>801</v>
      </c>
      <c r="S18">
        <v>9</v>
      </c>
      <c r="T18" s="60">
        <f>($F$6)/60</f>
        <v>0.5</v>
      </c>
      <c r="U18">
        <v>2.5</v>
      </c>
      <c r="V18" s="61">
        <f>0.15</f>
        <v>0.15</v>
      </c>
      <c r="W18" s="61">
        <f t="shared" si="2"/>
        <v>0.26123999999999997</v>
      </c>
      <c r="X18" s="61">
        <f t="shared" si="3"/>
        <v>3.9185999999999992E-2</v>
      </c>
      <c r="Y18" s="466"/>
      <c r="Z18" s="466"/>
    </row>
    <row r="19" spans="2:27" x14ac:dyDescent="0.2">
      <c r="B19" s="658">
        <f>4</f>
        <v>4</v>
      </c>
      <c r="C19" t="s">
        <v>800</v>
      </c>
      <c r="D19">
        <f>8</f>
        <v>8</v>
      </c>
      <c r="E19" s="60">
        <f>$F$5/60</f>
        <v>1.1666666666666667</v>
      </c>
      <c r="F19">
        <v>2.5</v>
      </c>
      <c r="G19" s="61">
        <f>0.3</f>
        <v>0.3</v>
      </c>
      <c r="H19" s="61"/>
      <c r="I19" s="61"/>
      <c r="J19" s="61"/>
      <c r="K19" s="61">
        <f t="shared" si="0"/>
        <v>0.52247999999999994</v>
      </c>
      <c r="L19" s="61">
        <f t="shared" si="1"/>
        <v>0.15674399999999997</v>
      </c>
      <c r="M19" s="466">
        <f>L19*D19*E19+L20*E20*D20</f>
        <v>1.6196879999999998</v>
      </c>
      <c r="N19" s="466">
        <f>M19/60</f>
        <v>2.6994799999999996E-2</v>
      </c>
      <c r="Q19" s="235"/>
      <c r="T19" s="60"/>
      <c r="V19" s="61"/>
      <c r="W19" s="61"/>
      <c r="X19" s="236" t="s">
        <v>765</v>
      </c>
      <c r="Y19" s="61">
        <f>0.2</f>
        <v>0.2</v>
      </c>
    </row>
    <row r="20" spans="2:27" x14ac:dyDescent="0.2">
      <c r="B20" s="658"/>
      <c r="C20" t="s">
        <v>801</v>
      </c>
      <c r="D20">
        <f>8</f>
        <v>8</v>
      </c>
      <c r="E20" s="60">
        <f>$F$6/60</f>
        <v>0.5</v>
      </c>
      <c r="F20">
        <v>2.5</v>
      </c>
      <c r="G20" s="61">
        <f>0.15</f>
        <v>0.15</v>
      </c>
      <c r="H20" s="61"/>
      <c r="I20" s="61"/>
      <c r="J20" s="61"/>
      <c r="K20" s="61">
        <f t="shared" si="0"/>
        <v>0.26123999999999997</v>
      </c>
      <c r="L20" s="61">
        <f t="shared" si="1"/>
        <v>3.9185999999999992E-2</v>
      </c>
      <c r="M20" s="466"/>
      <c r="N20" s="466"/>
      <c r="Q20" s="235"/>
      <c r="T20" s="60"/>
      <c r="V20" s="61"/>
      <c r="W20" s="61"/>
      <c r="X20" s="238" t="s">
        <v>535</v>
      </c>
      <c r="Y20" s="239">
        <f>(1+Y19)*SUM(Y13:Y18)</f>
        <v>6.5597363999999994</v>
      </c>
      <c r="Z20" s="240">
        <f>Y20/60</f>
        <v>0.10932893999999999</v>
      </c>
    </row>
    <row r="21" spans="2:27" x14ac:dyDescent="0.2">
      <c r="B21" s="658">
        <f>5</f>
        <v>5</v>
      </c>
      <c r="C21" t="s">
        <v>800</v>
      </c>
      <c r="D21">
        <v>9</v>
      </c>
      <c r="E21" s="60">
        <f>$F$5/60</f>
        <v>1.1666666666666667</v>
      </c>
      <c r="F21">
        <v>2.5</v>
      </c>
      <c r="G21" s="61">
        <f>0.3</f>
        <v>0.3</v>
      </c>
      <c r="H21" s="61"/>
      <c r="I21" s="61"/>
      <c r="J21" s="61"/>
      <c r="K21" s="61">
        <f t="shared" si="0"/>
        <v>0.52247999999999994</v>
      </c>
      <c r="L21" s="61">
        <f t="shared" si="1"/>
        <v>0.15674399999999997</v>
      </c>
      <c r="M21" s="466">
        <f>L21*D21*E21+L22*E22*D22</f>
        <v>1.8221489999999998</v>
      </c>
      <c r="N21" s="466">
        <f>M21/60</f>
        <v>3.0369149999999998E-2</v>
      </c>
      <c r="Q21" s="235"/>
      <c r="T21" s="60"/>
      <c r="V21" s="61"/>
      <c r="W21" s="61"/>
      <c r="X21" s="61"/>
      <c r="Y21" s="2"/>
      <c r="Z21" s="466"/>
    </row>
    <row r="22" spans="2:27" x14ac:dyDescent="0.2">
      <c r="B22" s="659"/>
      <c r="C22" t="s">
        <v>801</v>
      </c>
      <c r="D22">
        <v>9</v>
      </c>
      <c r="E22" s="60">
        <f>$F$6/60</f>
        <v>0.5</v>
      </c>
      <c r="F22">
        <v>2.5</v>
      </c>
      <c r="G22" s="61">
        <f>0.15</f>
        <v>0.15</v>
      </c>
      <c r="H22" s="61"/>
      <c r="I22" s="61"/>
      <c r="J22" s="61"/>
      <c r="K22" s="61">
        <f t="shared" si="0"/>
        <v>0.26123999999999997</v>
      </c>
      <c r="L22" s="61">
        <f t="shared" si="1"/>
        <v>3.9185999999999992E-2</v>
      </c>
      <c r="M22" s="466"/>
      <c r="N22" s="466"/>
      <c r="Q22" s="235"/>
      <c r="T22" s="60"/>
      <c r="V22" s="61"/>
      <c r="W22" s="61"/>
      <c r="X22" s="61"/>
      <c r="Y22" s="2"/>
      <c r="Z22" s="466"/>
    </row>
    <row r="23" spans="2:27" x14ac:dyDescent="0.2">
      <c r="B23" s="660">
        <f>6</f>
        <v>6</v>
      </c>
      <c r="C23" t="s">
        <v>800</v>
      </c>
      <c r="D23">
        <v>9</v>
      </c>
      <c r="E23" s="60">
        <f>$F$5/60</f>
        <v>1.1666666666666667</v>
      </c>
      <c r="F23">
        <v>2.5</v>
      </c>
      <c r="G23" s="61">
        <f>0.3</f>
        <v>0.3</v>
      </c>
      <c r="H23" s="61"/>
      <c r="I23" s="61"/>
      <c r="J23" s="61"/>
      <c r="K23" s="61">
        <f t="shared" si="0"/>
        <v>0.52247999999999994</v>
      </c>
      <c r="L23" s="61">
        <f t="shared" si="1"/>
        <v>0.15674399999999997</v>
      </c>
      <c r="M23" s="466">
        <f>L23*D23*E23+L24*E24*D24</f>
        <v>1.8221489999999998</v>
      </c>
      <c r="N23" s="466">
        <f>M23/60</f>
        <v>3.0369149999999998E-2</v>
      </c>
      <c r="Q23" s="235"/>
      <c r="T23" s="60"/>
      <c r="V23" s="61"/>
      <c r="W23" s="61"/>
      <c r="X23" s="61"/>
      <c r="Y23" s="2"/>
      <c r="Z23" s="466"/>
    </row>
    <row r="24" spans="2:27" x14ac:dyDescent="0.2">
      <c r="B24" s="661"/>
      <c r="C24" t="s">
        <v>801</v>
      </c>
      <c r="D24">
        <v>9</v>
      </c>
      <c r="E24" s="60">
        <f>$F$6/60</f>
        <v>0.5</v>
      </c>
      <c r="F24">
        <v>2.5</v>
      </c>
      <c r="G24" s="61">
        <f>0.15</f>
        <v>0.15</v>
      </c>
      <c r="H24" s="61"/>
      <c r="I24" s="61"/>
      <c r="J24" s="61"/>
      <c r="K24" s="61">
        <f t="shared" si="0"/>
        <v>0.26123999999999997</v>
      </c>
      <c r="L24" s="61">
        <f t="shared" si="1"/>
        <v>3.9185999999999992E-2</v>
      </c>
      <c r="M24" s="466"/>
      <c r="N24" s="466"/>
      <c r="Q24" s="235"/>
      <c r="T24" s="60"/>
      <c r="V24" s="61"/>
      <c r="W24" s="61"/>
      <c r="X24" s="61"/>
      <c r="Y24" s="2"/>
      <c r="Z24" s="466"/>
    </row>
    <row r="25" spans="2:27" x14ac:dyDescent="0.2">
      <c r="B25" s="235"/>
      <c r="E25" s="60"/>
      <c r="G25" s="61"/>
      <c r="H25" s="61"/>
      <c r="I25" s="61"/>
      <c r="J25" s="61"/>
      <c r="K25" s="61"/>
      <c r="L25" s="61"/>
      <c r="M25" s="2"/>
      <c r="N25" s="466"/>
      <c r="Q25" s="235"/>
      <c r="T25" s="60"/>
      <c r="V25" s="61"/>
      <c r="W25" s="61"/>
      <c r="X25" s="61"/>
      <c r="Y25" s="2"/>
      <c r="Z25" s="466"/>
    </row>
    <row r="26" spans="2:27" x14ac:dyDescent="0.2">
      <c r="B26" s="235"/>
      <c r="E26" s="60"/>
      <c r="G26" s="61"/>
      <c r="H26" s="61"/>
      <c r="I26" s="61"/>
      <c r="J26" s="61"/>
      <c r="K26" s="61"/>
      <c r="L26" s="61"/>
      <c r="M26" s="2"/>
      <c r="N26" s="466"/>
      <c r="Q26" s="235"/>
      <c r="T26" s="60"/>
      <c r="V26" s="61"/>
      <c r="W26" s="61"/>
      <c r="X26" s="61"/>
      <c r="Y26" s="2"/>
      <c r="Z26" s="466"/>
    </row>
    <row r="27" spans="2:27" x14ac:dyDescent="0.2">
      <c r="B27" s="235"/>
      <c r="E27" s="60"/>
      <c r="G27" s="61"/>
      <c r="H27" s="61"/>
      <c r="I27" s="61"/>
      <c r="J27" s="61"/>
      <c r="K27" s="61"/>
      <c r="L27" s="236" t="s">
        <v>765</v>
      </c>
      <c r="M27" s="61">
        <f>0.2</f>
        <v>0.2</v>
      </c>
      <c r="Q27" s="235"/>
      <c r="T27" s="60"/>
      <c r="V27" s="61"/>
      <c r="W27" s="61"/>
    </row>
    <row r="28" spans="2:27" x14ac:dyDescent="0.2">
      <c r="B28" s="235"/>
      <c r="E28" s="60"/>
      <c r="G28" s="61"/>
      <c r="H28" s="61"/>
      <c r="I28" s="61"/>
      <c r="J28" s="61"/>
      <c r="K28" s="61"/>
      <c r="L28" s="238" t="s">
        <v>535</v>
      </c>
      <c r="M28" s="239">
        <f>(1+M27)*SUM(M13:M24)</f>
        <v>12.147659999999998</v>
      </c>
      <c r="N28" s="240">
        <f>M28/60</f>
        <v>0.20246099999999997</v>
      </c>
      <c r="Q28" s="235"/>
      <c r="T28" s="60"/>
      <c r="V28" s="61"/>
      <c r="W28" s="61"/>
    </row>
    <row r="29" spans="2:27" x14ac:dyDescent="0.2">
      <c r="E29" s="60"/>
      <c r="G29" s="61"/>
      <c r="H29" s="61"/>
      <c r="I29" s="61"/>
      <c r="J29" s="61"/>
      <c r="K29" s="61"/>
      <c r="M29" s="2"/>
      <c r="N29" s="235"/>
    </row>
    <row r="30" spans="2:27" ht="24" x14ac:dyDescent="0.3">
      <c r="B30" s="252" t="s">
        <v>766</v>
      </c>
      <c r="C30" s="160"/>
      <c r="D30" s="160"/>
      <c r="F30" s="60"/>
      <c r="K30" s="61"/>
      <c r="L30" s="61"/>
      <c r="M30" s="61"/>
    </row>
    <row r="31" spans="2:27" x14ac:dyDescent="0.2">
      <c r="M31" s="60"/>
    </row>
    <row r="32" spans="2:27" x14ac:dyDescent="0.2">
      <c r="B32" s="456" t="s">
        <v>767</v>
      </c>
      <c r="C32" s="456"/>
      <c r="D32">
        <f>6.5</f>
        <v>6.5</v>
      </c>
      <c r="M32" s="60"/>
      <c r="S32" s="456" t="s">
        <v>767</v>
      </c>
      <c r="T32" s="456"/>
      <c r="U32">
        <f>6.5</f>
        <v>6.5</v>
      </c>
      <c r="AA32" s="60"/>
    </row>
    <row r="33" spans="2:30" x14ac:dyDescent="0.2">
      <c r="K33" s="450" t="s">
        <v>768</v>
      </c>
      <c r="L33" s="450"/>
      <c r="M33" s="450"/>
      <c r="N33" s="450"/>
      <c r="Y33" s="450" t="s">
        <v>768</v>
      </c>
      <c r="Z33" s="450"/>
      <c r="AA33" s="450"/>
      <c r="AB33" s="450"/>
    </row>
    <row r="34" spans="2:30" x14ac:dyDescent="0.2">
      <c r="B34" s="450" t="s">
        <v>769</v>
      </c>
      <c r="C34" s="450"/>
      <c r="D34" s="8" t="s">
        <v>702</v>
      </c>
      <c r="E34" s="8" t="s">
        <v>770</v>
      </c>
      <c r="F34" s="8" t="s">
        <v>771</v>
      </c>
      <c r="G34" s="8" t="s">
        <v>772</v>
      </c>
      <c r="H34" s="8"/>
      <c r="I34" s="8"/>
      <c r="J34" s="8"/>
      <c r="K34" s="1" t="s">
        <v>773</v>
      </c>
      <c r="L34" s="8" t="s">
        <v>774</v>
      </c>
      <c r="M34" s="1" t="s">
        <v>775</v>
      </c>
      <c r="N34" s="1" t="s">
        <v>776</v>
      </c>
      <c r="O34" s="1" t="s">
        <v>777</v>
      </c>
      <c r="P34" s="8" t="s">
        <v>778</v>
      </c>
      <c r="S34" s="450" t="s">
        <v>769</v>
      </c>
      <c r="T34" s="450"/>
      <c r="U34" s="8" t="s">
        <v>702</v>
      </c>
      <c r="V34" s="8" t="s">
        <v>770</v>
      </c>
      <c r="W34" s="8" t="s">
        <v>771</v>
      </c>
      <c r="X34" s="8" t="s">
        <v>772</v>
      </c>
      <c r="Y34" s="1" t="s">
        <v>773</v>
      </c>
      <c r="Z34" s="8" t="s">
        <v>774</v>
      </c>
      <c r="AA34" s="1" t="s">
        <v>775</v>
      </c>
      <c r="AB34" s="1" t="s">
        <v>776</v>
      </c>
      <c r="AC34" s="1" t="s">
        <v>777</v>
      </c>
      <c r="AD34" s="8" t="s">
        <v>778</v>
      </c>
    </row>
    <row r="35" spans="2:30" x14ac:dyDescent="0.2">
      <c r="B35" s="450" t="s">
        <v>779</v>
      </c>
      <c r="C35" s="450"/>
      <c r="D35" s="241">
        <f>22000</f>
        <v>22000</v>
      </c>
      <c r="E35" s="242">
        <f>$N$28*(1+$M$27)/($D$32)</f>
        <v>3.7377415384615378E-2</v>
      </c>
      <c r="F35" s="243">
        <v>10</v>
      </c>
      <c r="G35" s="244">
        <f t="shared" ref="G35:G42" si="4">E35/F35</f>
        <v>3.7377415384615377E-3</v>
      </c>
      <c r="H35" s="244"/>
      <c r="I35" s="244"/>
      <c r="J35" s="244"/>
      <c r="K35" s="244">
        <f t="shared" ref="K35:K42" si="5">SQRT(4*G35/PI())</f>
        <v>6.8985798065750281E-2</v>
      </c>
      <c r="L35" s="244">
        <f t="shared" ref="L35:L42" si="6">K35*1000</f>
        <v>68.985798065750288</v>
      </c>
      <c r="M35" s="245">
        <f>80</f>
        <v>80</v>
      </c>
      <c r="N35" s="245">
        <f>M35-2.4*2</f>
        <v>75.2</v>
      </c>
      <c r="O35" s="246">
        <f>(PI()*(N35/1000)^2)/4</f>
        <v>4.4414580299391056E-3</v>
      </c>
      <c r="P35" s="247">
        <f t="shared" ref="P35:P42" si="7">E35/O35</f>
        <v>8.4155732492935069</v>
      </c>
      <c r="S35" s="450" t="s">
        <v>779</v>
      </c>
      <c r="T35" s="450"/>
      <c r="U35" s="241">
        <f>2700+4500+12000</f>
        <v>19200</v>
      </c>
      <c r="V35" s="242">
        <f>$Z$20*(1+$M$27)/($D$32)</f>
        <v>2.0183804307692305E-2</v>
      </c>
      <c r="W35" s="243">
        <v>10</v>
      </c>
      <c r="X35" s="244">
        <f>V35/W35</f>
        <v>2.0183804307692304E-3</v>
      </c>
      <c r="Y35" s="244">
        <f>SQRT(4*X35/PI())</f>
        <v>5.0694001427930076E-2</v>
      </c>
      <c r="Z35" s="244">
        <f>Y35*1000</f>
        <v>50.694001427930075</v>
      </c>
      <c r="AA35" s="245">
        <f>63</f>
        <v>63</v>
      </c>
      <c r="AB35" s="245">
        <f>AA35-2*2</f>
        <v>59</v>
      </c>
      <c r="AC35" s="246">
        <f>(PI()*(AB35/1000)^2)/4</f>
        <v>2.7339710067865171E-3</v>
      </c>
      <c r="AD35" s="247">
        <f>V35/AC35</f>
        <v>7.3825963251220257</v>
      </c>
    </row>
    <row r="36" spans="2:30" x14ac:dyDescent="0.2">
      <c r="B36" s="450" t="s">
        <v>780</v>
      </c>
      <c r="C36" s="450"/>
      <c r="D36" s="248">
        <v>191000</v>
      </c>
      <c r="E36" s="249">
        <f>$N$28*(1+$M$27)/($D$32)</f>
        <v>3.7377415384615378E-2</v>
      </c>
      <c r="F36" s="2">
        <v>10</v>
      </c>
      <c r="G36" s="250">
        <f t="shared" si="4"/>
        <v>3.7377415384615377E-3</v>
      </c>
      <c r="H36" s="250"/>
      <c r="I36" s="250"/>
      <c r="J36" s="250"/>
      <c r="K36" s="250">
        <f t="shared" si="5"/>
        <v>6.8985798065750281E-2</v>
      </c>
      <c r="L36" s="250">
        <f t="shared" si="6"/>
        <v>68.985798065750288</v>
      </c>
      <c r="M36" s="3">
        <f>80</f>
        <v>80</v>
      </c>
      <c r="N36" s="245">
        <f>M36-2.4*2</f>
        <v>75.2</v>
      </c>
      <c r="O36">
        <f t="shared" ref="O36:O42" si="8">(PI()*(N36/1000)^2)/4</f>
        <v>4.4414580299391056E-3</v>
      </c>
      <c r="P36" s="251">
        <f t="shared" si="7"/>
        <v>8.4155732492935069</v>
      </c>
      <c r="S36" s="450" t="s">
        <v>780</v>
      </c>
      <c r="T36" s="450"/>
      <c r="U36" s="248">
        <f>12000*2+24000*2</f>
        <v>72000</v>
      </c>
      <c r="V36" s="242">
        <f>$Z$20*(1+$M$27)/($D$32)</f>
        <v>2.0183804307692305E-2</v>
      </c>
      <c r="W36" s="2">
        <v>10</v>
      </c>
      <c r="X36" s="250">
        <f>V36/W36</f>
        <v>2.0183804307692304E-3</v>
      </c>
      <c r="Y36" s="250">
        <f>SQRT(4*X36/PI())</f>
        <v>5.0694001427930076E-2</v>
      </c>
      <c r="Z36" s="250">
        <f>Y36*1000</f>
        <v>50.694001427930075</v>
      </c>
      <c r="AA36" s="3">
        <v>63</v>
      </c>
      <c r="AB36" s="3">
        <f>AA36-2*2</f>
        <v>59</v>
      </c>
      <c r="AC36">
        <f>(PI()*(AB36/1000)^2)/4</f>
        <v>2.7339710067865171E-3</v>
      </c>
      <c r="AD36" s="251">
        <f>V36/AC36</f>
        <v>7.3825963251220257</v>
      </c>
    </row>
    <row r="37" spans="2:30" x14ac:dyDescent="0.2">
      <c r="B37" s="450" t="s">
        <v>781</v>
      </c>
      <c r="C37" s="450"/>
      <c r="D37" s="248">
        <v>35755</v>
      </c>
      <c r="E37" s="249">
        <f>N13*(1+$M$27)/$D$32</f>
        <v>4.9836553846153838E-3</v>
      </c>
      <c r="F37" s="2">
        <v>10</v>
      </c>
      <c r="G37" s="250">
        <f t="shared" si="4"/>
        <v>4.9836553846153834E-4</v>
      </c>
      <c r="H37" s="250"/>
      <c r="I37" s="250"/>
      <c r="J37" s="250"/>
      <c r="K37" s="250">
        <f t="shared" si="5"/>
        <v>2.5190051832071791E-2</v>
      </c>
      <c r="L37" s="250">
        <f t="shared" si="6"/>
        <v>25.190051832071791</v>
      </c>
      <c r="M37" s="3">
        <v>32</v>
      </c>
      <c r="N37" s="3">
        <f t="shared" ref="N37:N42" si="9">M37-2*1.5</f>
        <v>29</v>
      </c>
      <c r="O37">
        <f t="shared" si="8"/>
        <v>6.605198554172541E-4</v>
      </c>
      <c r="P37" s="251">
        <f t="shared" si="7"/>
        <v>7.5450500749401099</v>
      </c>
      <c r="S37" s="450" t="s">
        <v>781</v>
      </c>
      <c r="T37" s="450"/>
      <c r="U37" s="248">
        <v>24000</v>
      </c>
      <c r="V37" s="242">
        <f>Z13*(1+$M$27)/($D$32)</f>
        <v>5.6066123076923069E-3</v>
      </c>
      <c r="W37" s="2">
        <v>10</v>
      </c>
      <c r="X37" s="250">
        <f>V37/W37</f>
        <v>5.6066123076923071E-4</v>
      </c>
      <c r="Y37" s="250">
        <f>SQRT(4*X37/PI())</f>
        <v>2.6718084703347869E-2</v>
      </c>
      <c r="Z37" s="250">
        <f>Y37*1000</f>
        <v>26.71808470334787</v>
      </c>
      <c r="AA37" s="3">
        <v>32</v>
      </c>
      <c r="AB37" s="3">
        <f>AA37-2*1.5</f>
        <v>29</v>
      </c>
      <c r="AC37">
        <f>(PI()*(AB37/1000)^2)/4</f>
        <v>6.605198554172541E-4</v>
      </c>
      <c r="AD37" s="251">
        <f>V37/AC37</f>
        <v>8.4881813343076242</v>
      </c>
    </row>
    <row r="38" spans="2:30" x14ac:dyDescent="0.2">
      <c r="B38" s="450" t="s">
        <v>782</v>
      </c>
      <c r="C38" s="450"/>
      <c r="D38" s="248">
        <v>35755</v>
      </c>
      <c r="E38" s="249">
        <f>N15*(1+$M$27)/$D$32</f>
        <v>4.9836553846153838E-3</v>
      </c>
      <c r="F38" s="2">
        <v>10</v>
      </c>
      <c r="G38" s="250">
        <f t="shared" si="4"/>
        <v>4.9836553846153834E-4</v>
      </c>
      <c r="H38" s="250"/>
      <c r="I38" s="250"/>
      <c r="J38" s="250"/>
      <c r="K38" s="250">
        <f t="shared" si="5"/>
        <v>2.5190051832071791E-2</v>
      </c>
      <c r="L38" s="250">
        <f t="shared" si="6"/>
        <v>25.190051832071791</v>
      </c>
      <c r="M38" s="3">
        <v>32</v>
      </c>
      <c r="N38" s="3">
        <f t="shared" si="9"/>
        <v>29</v>
      </c>
      <c r="O38">
        <f t="shared" si="8"/>
        <v>6.605198554172541E-4</v>
      </c>
      <c r="P38" s="251">
        <f t="shared" si="7"/>
        <v>7.5450500749401099</v>
      </c>
      <c r="S38" s="450" t="s">
        <v>782</v>
      </c>
      <c r="T38" s="450"/>
      <c r="U38" s="248">
        <v>24000</v>
      </c>
      <c r="V38" s="242">
        <f>Z15*(1+$M$27)/($D$32)</f>
        <v>5.6066123076923069E-3</v>
      </c>
      <c r="W38" s="2">
        <v>10</v>
      </c>
      <c r="X38" s="250">
        <f>V38/W38</f>
        <v>5.6066123076923071E-4</v>
      </c>
      <c r="Y38" s="250">
        <f>SQRT(4*X38/PI())</f>
        <v>2.6718084703347869E-2</v>
      </c>
      <c r="Z38" s="250">
        <f>Y38*1000</f>
        <v>26.71808470334787</v>
      </c>
      <c r="AA38" s="3">
        <v>32</v>
      </c>
      <c r="AB38" s="3">
        <f>AA38-2*1.5</f>
        <v>29</v>
      </c>
      <c r="AC38">
        <f>(PI()*(AB38/1000)^2)/4</f>
        <v>6.605198554172541E-4</v>
      </c>
      <c r="AD38" s="251">
        <f>V38/AC38</f>
        <v>8.4881813343076242</v>
      </c>
    </row>
    <row r="39" spans="2:30" x14ac:dyDescent="0.2">
      <c r="B39" s="450" t="s">
        <v>783</v>
      </c>
      <c r="C39" s="450"/>
      <c r="D39" s="248">
        <v>35755</v>
      </c>
      <c r="E39" s="249">
        <f>N17*(1+$M$27)/$D$32</f>
        <v>4.9836553846153838E-3</v>
      </c>
      <c r="F39" s="2">
        <v>10</v>
      </c>
      <c r="G39" s="250">
        <f t="shared" si="4"/>
        <v>4.9836553846153834E-4</v>
      </c>
      <c r="H39" s="250"/>
      <c r="I39" s="250"/>
      <c r="J39" s="250"/>
      <c r="K39" s="250">
        <f t="shared" si="5"/>
        <v>2.5190051832071791E-2</v>
      </c>
      <c r="L39" s="250">
        <f t="shared" si="6"/>
        <v>25.190051832071791</v>
      </c>
      <c r="M39" s="3">
        <v>32</v>
      </c>
      <c r="N39" s="3">
        <f t="shared" si="9"/>
        <v>29</v>
      </c>
      <c r="O39">
        <f t="shared" si="8"/>
        <v>6.605198554172541E-4</v>
      </c>
      <c r="P39" s="251">
        <f t="shared" si="7"/>
        <v>7.5450500749401099</v>
      </c>
      <c r="S39" s="450" t="s">
        <v>783</v>
      </c>
      <c r="T39" s="450"/>
      <c r="U39" s="248">
        <v>24000</v>
      </c>
      <c r="V39" s="242">
        <f>Z17*(1+$M$27)/($D$32)</f>
        <v>5.6066123076923069E-3</v>
      </c>
      <c r="W39" s="2">
        <v>10</v>
      </c>
      <c r="X39" s="250">
        <f>V39/W39</f>
        <v>5.6066123076923071E-4</v>
      </c>
      <c r="Y39" s="250">
        <f>SQRT(4*X39/PI())</f>
        <v>2.6718084703347869E-2</v>
      </c>
      <c r="Z39" s="250">
        <f>Y39*1000</f>
        <v>26.71808470334787</v>
      </c>
      <c r="AA39" s="3">
        <v>32</v>
      </c>
      <c r="AB39" s="3">
        <f>AA39-2*1.5</f>
        <v>29</v>
      </c>
      <c r="AC39">
        <f>(PI()*(AB39/1000)^2)/4</f>
        <v>6.605198554172541E-4</v>
      </c>
      <c r="AD39" s="251">
        <f>V39/AC39</f>
        <v>8.4881813343076242</v>
      </c>
    </row>
    <row r="40" spans="2:30" x14ac:dyDescent="0.2">
      <c r="B40" s="450" t="s">
        <v>784</v>
      </c>
      <c r="C40" s="450"/>
      <c r="D40" s="248">
        <v>35755</v>
      </c>
      <c r="E40" s="249">
        <f>N19*(1+$M$27)/$D$32</f>
        <v>4.9836553846153838E-3</v>
      </c>
      <c r="F40" s="2">
        <v>10</v>
      </c>
      <c r="G40" s="250">
        <f t="shared" si="4"/>
        <v>4.9836553846153834E-4</v>
      </c>
      <c r="H40" s="250"/>
      <c r="I40" s="250"/>
      <c r="J40" s="250"/>
      <c r="K40" s="250">
        <f t="shared" si="5"/>
        <v>2.5190051832071791E-2</v>
      </c>
      <c r="L40" s="250">
        <f t="shared" si="6"/>
        <v>25.190051832071791</v>
      </c>
      <c r="M40" s="3">
        <v>32</v>
      </c>
      <c r="N40" s="3">
        <f t="shared" si="9"/>
        <v>29</v>
      </c>
      <c r="O40">
        <f t="shared" si="8"/>
        <v>6.605198554172541E-4</v>
      </c>
      <c r="P40" s="251">
        <f t="shared" si="7"/>
        <v>7.5450500749401099</v>
      </c>
    </row>
    <row r="41" spans="2:30" x14ac:dyDescent="0.2">
      <c r="B41" s="450" t="s">
        <v>785</v>
      </c>
      <c r="C41" s="450"/>
      <c r="D41" s="248">
        <v>35755</v>
      </c>
      <c r="E41" s="249">
        <f>N21*(1+$M$27)/$D$32</f>
        <v>5.6066123076923069E-3</v>
      </c>
      <c r="F41" s="2">
        <v>10</v>
      </c>
      <c r="G41" s="250">
        <f t="shared" si="4"/>
        <v>5.6066123076923071E-4</v>
      </c>
      <c r="H41" s="250"/>
      <c r="I41" s="250"/>
      <c r="J41" s="250"/>
      <c r="K41" s="250">
        <f t="shared" si="5"/>
        <v>2.6718084703347869E-2</v>
      </c>
      <c r="L41" s="250">
        <f t="shared" si="6"/>
        <v>26.71808470334787</v>
      </c>
      <c r="M41" s="3">
        <v>32</v>
      </c>
      <c r="N41" s="3">
        <f t="shared" si="9"/>
        <v>29</v>
      </c>
      <c r="O41">
        <f t="shared" si="8"/>
        <v>6.605198554172541E-4</v>
      </c>
      <c r="P41" s="251">
        <f t="shared" si="7"/>
        <v>8.4881813343076242</v>
      </c>
    </row>
    <row r="42" spans="2:30" x14ac:dyDescent="0.2">
      <c r="B42" s="450" t="s">
        <v>802</v>
      </c>
      <c r="C42" s="450"/>
      <c r="D42" s="248">
        <v>35755</v>
      </c>
      <c r="E42" s="249">
        <f>N23*(1+$M$27)/$D$32</f>
        <v>5.6066123076923069E-3</v>
      </c>
      <c r="F42" s="2">
        <v>10</v>
      </c>
      <c r="G42" s="250">
        <f t="shared" si="4"/>
        <v>5.6066123076923071E-4</v>
      </c>
      <c r="H42" s="250"/>
      <c r="I42" s="250"/>
      <c r="J42" s="250"/>
      <c r="K42" s="250">
        <f t="shared" si="5"/>
        <v>2.6718084703347869E-2</v>
      </c>
      <c r="L42" s="250">
        <f t="shared" si="6"/>
        <v>26.71808470334787</v>
      </c>
      <c r="M42" s="3">
        <v>32</v>
      </c>
      <c r="N42" s="3">
        <f t="shared" si="9"/>
        <v>29</v>
      </c>
      <c r="O42">
        <f t="shared" si="8"/>
        <v>6.605198554172541E-4</v>
      </c>
      <c r="P42" s="251">
        <f t="shared" si="7"/>
        <v>8.4881813343076242</v>
      </c>
    </row>
    <row r="45" spans="2:30" ht="24" x14ac:dyDescent="0.3">
      <c r="B45" s="252" t="s">
        <v>803</v>
      </c>
      <c r="C45" s="160"/>
      <c r="D45" s="160"/>
    </row>
    <row r="48" spans="2:30" x14ac:dyDescent="0.2">
      <c r="B48" t="s">
        <v>98</v>
      </c>
      <c r="C48" t="s">
        <v>804</v>
      </c>
    </row>
    <row r="56" spans="2:30" ht="29" x14ac:dyDescent="0.35">
      <c r="B56" s="252" t="s">
        <v>786</v>
      </c>
      <c r="C56" s="252"/>
      <c r="D56" s="160"/>
      <c r="F56" s="369" t="s">
        <v>805</v>
      </c>
    </row>
    <row r="58" spans="2:30" x14ac:dyDescent="0.2">
      <c r="B58" s="456" t="s">
        <v>767</v>
      </c>
      <c r="C58" s="456"/>
      <c r="D58">
        <f>6.5</f>
        <v>6.5</v>
      </c>
      <c r="T58" s="456" t="s">
        <v>767</v>
      </c>
      <c r="U58" s="456"/>
      <c r="V58">
        <f>6.5</f>
        <v>6.5</v>
      </c>
    </row>
    <row r="60" spans="2:30" x14ac:dyDescent="0.2">
      <c r="E60" s="662" t="s">
        <v>768</v>
      </c>
      <c r="F60" s="663"/>
      <c r="G60">
        <v>4.5</v>
      </c>
      <c r="H60">
        <v>0.5</v>
      </c>
      <c r="I60">
        <v>5.5</v>
      </c>
      <c r="J60">
        <v>0.5</v>
      </c>
      <c r="K60">
        <v>5</v>
      </c>
      <c r="W60" s="662" t="s">
        <v>768</v>
      </c>
      <c r="X60" s="663"/>
    </row>
    <row r="61" spans="2:30" x14ac:dyDescent="0.2">
      <c r="B61" s="652" t="s">
        <v>769</v>
      </c>
      <c r="C61" s="653"/>
      <c r="D61" s="8" t="s">
        <v>267</v>
      </c>
      <c r="E61" s="265" t="s">
        <v>775</v>
      </c>
      <c r="F61" s="266" t="s">
        <v>776</v>
      </c>
      <c r="G61" s="225" t="s">
        <v>806</v>
      </c>
      <c r="H61" s="225" t="s">
        <v>807</v>
      </c>
      <c r="I61" s="225" t="s">
        <v>808</v>
      </c>
      <c r="J61" s="225" t="s">
        <v>789</v>
      </c>
      <c r="K61" s="225" t="s">
        <v>809</v>
      </c>
      <c r="L61" s="263" t="s">
        <v>810</v>
      </c>
      <c r="M61" s="225" t="s">
        <v>794</v>
      </c>
      <c r="N61" s="225" t="s">
        <v>795</v>
      </c>
      <c r="O61" s="225" t="s">
        <v>796</v>
      </c>
      <c r="T61" s="652" t="s">
        <v>769</v>
      </c>
      <c r="U61" s="653"/>
      <c r="V61" s="8" t="s">
        <v>267</v>
      </c>
      <c r="W61" s="265" t="s">
        <v>775</v>
      </c>
      <c r="X61" s="266" t="s">
        <v>776</v>
      </c>
      <c r="Y61" s="225" t="s">
        <v>806</v>
      </c>
      <c r="Z61" s="225" t="s">
        <v>809</v>
      </c>
      <c r="AA61" s="263" t="s">
        <v>811</v>
      </c>
      <c r="AB61" s="225" t="s">
        <v>794</v>
      </c>
      <c r="AC61" s="225" t="s">
        <v>795</v>
      </c>
      <c r="AD61" s="225" t="s">
        <v>796</v>
      </c>
    </row>
    <row r="62" spans="2:30" x14ac:dyDescent="0.2">
      <c r="B62" s="652" t="s">
        <v>779</v>
      </c>
      <c r="C62" s="653"/>
      <c r="D62" s="379">
        <f>22</f>
        <v>22</v>
      </c>
      <c r="E62" s="245">
        <v>80</v>
      </c>
      <c r="F62" s="245">
        <f>E62-2.4*2</f>
        <v>75.2</v>
      </c>
      <c r="G62">
        <v>1</v>
      </c>
      <c r="J62">
        <v>3</v>
      </c>
      <c r="K62">
        <v>2</v>
      </c>
      <c r="L62">
        <f>0</f>
        <v>0</v>
      </c>
      <c r="M62">
        <f>$G$60*G62+$H$60*H62+$I$60*I62+$J$60*J62+$K$60*K62+L62</f>
        <v>16</v>
      </c>
      <c r="N62">
        <f>1.6*(10^8)*(((($N$28)^1.85)*(M62+D62))/((F62)^5*$D$58))</f>
        <v>2.0259679383763125E-2</v>
      </c>
      <c r="O62">
        <f>1.6*(10^8)*(((($N$28)^1.85)*(M62+D62))/((F62)^5*$D$58))</f>
        <v>2.0259679383763125E-2</v>
      </c>
      <c r="T62" s="652" t="s">
        <v>779</v>
      </c>
      <c r="U62" s="653"/>
      <c r="V62" s="241">
        <v>114</v>
      </c>
      <c r="W62" s="245">
        <f>63.3</f>
        <v>63.3</v>
      </c>
      <c r="X62" s="245">
        <f>W62-2*2</f>
        <v>59.3</v>
      </c>
      <c r="Y62">
        <f>2</f>
        <v>2</v>
      </c>
      <c r="Z62">
        <f>2</f>
        <v>2</v>
      </c>
      <c r="AA62">
        <f>0</f>
        <v>0</v>
      </c>
      <c r="AC62" t="e">
        <f>1.6*(10^8)*(((($N$28)^1.85)*(AB62+V62))/((X62)^5*$D$59))</f>
        <v>#DIV/0!</v>
      </c>
      <c r="AD62" t="e">
        <f>1.6*(10^8)*(((($N$28)^1.85)*(AB62+V62))/((X62)^5*$D$59))</f>
        <v>#DIV/0!</v>
      </c>
    </row>
    <row r="63" spans="2:30" x14ac:dyDescent="0.2">
      <c r="B63" s="652" t="s">
        <v>780</v>
      </c>
      <c r="C63" s="653"/>
      <c r="D63" s="248">
        <v>191</v>
      </c>
      <c r="E63" s="245">
        <v>80</v>
      </c>
      <c r="F63" s="245">
        <f>E63-2.4*2</f>
        <v>75.2</v>
      </c>
      <c r="G63">
        <f>2</f>
        <v>2</v>
      </c>
      <c r="H63">
        <v>1</v>
      </c>
      <c r="I63">
        <v>6</v>
      </c>
      <c r="J63">
        <v>12</v>
      </c>
      <c r="K63">
        <v>2</v>
      </c>
      <c r="L63">
        <f>0</f>
        <v>0</v>
      </c>
      <c r="M63">
        <f t="shared" ref="M63:M69" si="10">$G$60*G63+$H$60*H63+$I$60*I63+$J$60*J63+$K$60*K63+L63</f>
        <v>58.5</v>
      </c>
      <c r="N63">
        <f t="shared" ref="N63:N69" si="11">1.6*(10^8)*(((($N$28)^1.85)*(M63+D63))/((F63)^5*$D$58))</f>
        <v>0.13302078963812897</v>
      </c>
      <c r="O63">
        <f t="shared" ref="O63:O69" si="12">1.6*(10^8)*(((($N$28)^1.85)*(M63+D63))/((F63)^5*$D$58))</f>
        <v>0.13302078963812897</v>
      </c>
      <c r="T63" s="652" t="s">
        <v>780</v>
      </c>
      <c r="U63" s="653"/>
      <c r="V63" s="253">
        <v>83.433000000000007</v>
      </c>
      <c r="W63" s="3">
        <f>63.3</f>
        <v>63.3</v>
      </c>
      <c r="X63" s="3">
        <f>W63-2*2</f>
        <v>59.3</v>
      </c>
      <c r="Y63">
        <f>2</f>
        <v>2</v>
      </c>
      <c r="Z63">
        <f>4</f>
        <v>4</v>
      </c>
      <c r="AA63">
        <f>0</f>
        <v>0</v>
      </c>
      <c r="AC63" t="e">
        <f>1.6*(10^8)*(((($N$28)^1.85)*(AB63+V63))/((X63)^5*$D$59))</f>
        <v>#DIV/0!</v>
      </c>
      <c r="AD63" t="e">
        <f>AC63</f>
        <v>#DIV/0!</v>
      </c>
    </row>
    <row r="64" spans="2:30" x14ac:dyDescent="0.2">
      <c r="B64" s="652" t="s">
        <v>781</v>
      </c>
      <c r="C64" s="653"/>
      <c r="D64" s="248">
        <v>35.75</v>
      </c>
      <c r="E64" s="3">
        <v>32</v>
      </c>
      <c r="F64" s="3">
        <f t="shared" ref="F64:F69" si="13">E64-2*1.5</f>
        <v>29</v>
      </c>
      <c r="G64">
        <v>1</v>
      </c>
      <c r="H64">
        <v>16</v>
      </c>
      <c r="I64">
        <v>0</v>
      </c>
      <c r="J64">
        <v>3</v>
      </c>
      <c r="K64">
        <f>0</f>
        <v>0</v>
      </c>
      <c r="L64">
        <f>16*6</f>
        <v>96</v>
      </c>
      <c r="M64">
        <f t="shared" si="10"/>
        <v>110</v>
      </c>
      <c r="N64">
        <f t="shared" si="11"/>
        <v>9.1108049378244278</v>
      </c>
      <c r="O64">
        <f t="shared" si="12"/>
        <v>9.1108049378244278</v>
      </c>
      <c r="T64" s="652" t="s">
        <v>781</v>
      </c>
      <c r="U64" s="653"/>
      <c r="V64" s="248">
        <v>12.2</v>
      </c>
      <c r="W64" s="3">
        <f>25</f>
        <v>25</v>
      </c>
      <c r="X64" s="115">
        <f>W64-2*1.4</f>
        <v>22.2</v>
      </c>
      <c r="Y64">
        <f>1</f>
        <v>1</v>
      </c>
      <c r="Z64">
        <f>0</f>
        <v>0</v>
      </c>
      <c r="AA64">
        <v>1</v>
      </c>
      <c r="AC64" t="e">
        <f>1.6*(10^8)*(((1.2*AC12)^1.85)*(V64+AB64))/(((X64)^5)*$D$59)</f>
        <v>#DIV/0!</v>
      </c>
      <c r="AD64" t="e">
        <f>$O$64+AC64</f>
        <v>#DIV/0!</v>
      </c>
    </row>
    <row r="65" spans="2:31" x14ac:dyDescent="0.2">
      <c r="B65" s="652" t="s">
        <v>782</v>
      </c>
      <c r="C65" s="653"/>
      <c r="D65" s="248">
        <v>35.75</v>
      </c>
      <c r="E65" s="3">
        <v>32</v>
      </c>
      <c r="F65" s="3">
        <f t="shared" si="13"/>
        <v>29</v>
      </c>
      <c r="G65">
        <v>1</v>
      </c>
      <c r="H65">
        <v>16</v>
      </c>
      <c r="I65">
        <v>0</v>
      </c>
      <c r="J65">
        <v>3</v>
      </c>
      <c r="K65">
        <f>0</f>
        <v>0</v>
      </c>
      <c r="L65">
        <f t="shared" ref="L65:L69" si="14">16*6</f>
        <v>96</v>
      </c>
      <c r="M65">
        <f t="shared" si="10"/>
        <v>110</v>
      </c>
      <c r="N65">
        <f t="shared" si="11"/>
        <v>9.1108049378244278</v>
      </c>
      <c r="O65">
        <f t="shared" si="12"/>
        <v>9.1108049378244278</v>
      </c>
      <c r="P65" s="264">
        <f>MAX(O64:O69)</f>
        <v>9.1108049378244278</v>
      </c>
      <c r="T65" s="652" t="s">
        <v>782</v>
      </c>
      <c r="U65" s="653"/>
      <c r="V65" s="248">
        <v>12.2</v>
      </c>
      <c r="W65" s="3">
        <f>25</f>
        <v>25</v>
      </c>
      <c r="X65" s="115">
        <f>W65-2*1.4</f>
        <v>22.2</v>
      </c>
      <c r="Y65">
        <f>1</f>
        <v>1</v>
      </c>
      <c r="Z65">
        <f>0</f>
        <v>0</v>
      </c>
      <c r="AA65">
        <v>1</v>
      </c>
      <c r="AC65" t="e">
        <f>1.6*(10^8)*((((1.2*AC14)^1.85)*(AB65+V65))/(((X65)^5)*$D$59))</f>
        <v>#DIV/0!</v>
      </c>
      <c r="AD65" t="e">
        <f>$O$64+AC65</f>
        <v>#DIV/0!</v>
      </c>
      <c r="AE65" s="264" t="e">
        <f>MAX(AD64:AD69)</f>
        <v>#DIV/0!</v>
      </c>
    </row>
    <row r="66" spans="2:31" x14ac:dyDescent="0.2">
      <c r="B66" s="652" t="s">
        <v>783</v>
      </c>
      <c r="C66" s="653"/>
      <c r="D66" s="248">
        <v>35.75</v>
      </c>
      <c r="E66" s="3">
        <v>32</v>
      </c>
      <c r="F66" s="3">
        <f t="shared" si="13"/>
        <v>29</v>
      </c>
      <c r="G66">
        <v>1</v>
      </c>
      <c r="H66">
        <v>16</v>
      </c>
      <c r="I66">
        <v>0</v>
      </c>
      <c r="J66">
        <v>3</v>
      </c>
      <c r="K66">
        <f>0</f>
        <v>0</v>
      </c>
      <c r="L66">
        <f t="shared" si="14"/>
        <v>96</v>
      </c>
      <c r="M66">
        <f t="shared" si="10"/>
        <v>110</v>
      </c>
      <c r="N66">
        <f t="shared" si="11"/>
        <v>9.1108049378244278</v>
      </c>
      <c r="O66">
        <f t="shared" si="12"/>
        <v>9.1108049378244278</v>
      </c>
      <c r="T66" s="652" t="s">
        <v>783</v>
      </c>
      <c r="U66" s="653"/>
      <c r="V66" s="248">
        <v>12.2</v>
      </c>
      <c r="W66" s="3">
        <f>25</f>
        <v>25</v>
      </c>
      <c r="X66" s="115">
        <f>W66-2*1.4</f>
        <v>22.2</v>
      </c>
      <c r="Y66">
        <f>1</f>
        <v>1</v>
      </c>
      <c r="Z66">
        <f>0</f>
        <v>0</v>
      </c>
      <c r="AA66">
        <v>1</v>
      </c>
      <c r="AC66" t="e">
        <f>1.6*(10^8)*((((1.2*AC16)^1.85)*(AB66+V66))/((X66)^5*$D$59))</f>
        <v>#DIV/0!</v>
      </c>
      <c r="AD66" t="e">
        <f>$O$64+AC66</f>
        <v>#DIV/0!</v>
      </c>
    </row>
    <row r="67" spans="2:31" x14ac:dyDescent="0.2">
      <c r="B67" s="652" t="s">
        <v>784</v>
      </c>
      <c r="C67" s="653"/>
      <c r="D67" s="248">
        <v>35.75</v>
      </c>
      <c r="E67" s="3">
        <v>32</v>
      </c>
      <c r="F67" s="3">
        <f t="shared" si="13"/>
        <v>29</v>
      </c>
      <c r="G67">
        <v>1</v>
      </c>
      <c r="H67">
        <v>16</v>
      </c>
      <c r="I67">
        <v>0</v>
      </c>
      <c r="J67">
        <v>3</v>
      </c>
      <c r="K67">
        <f>0</f>
        <v>0</v>
      </c>
      <c r="L67">
        <f t="shared" si="14"/>
        <v>96</v>
      </c>
      <c r="M67">
        <f t="shared" si="10"/>
        <v>110</v>
      </c>
      <c r="N67">
        <f t="shared" si="11"/>
        <v>9.1108049378244278</v>
      </c>
      <c r="O67">
        <f t="shared" si="12"/>
        <v>9.1108049378244278</v>
      </c>
    </row>
    <row r="68" spans="2:31" x14ac:dyDescent="0.2">
      <c r="B68" s="652" t="s">
        <v>785</v>
      </c>
      <c r="C68" s="653"/>
      <c r="D68" s="248">
        <v>35.75</v>
      </c>
      <c r="E68" s="3">
        <v>32</v>
      </c>
      <c r="F68" s="3">
        <f t="shared" si="13"/>
        <v>29</v>
      </c>
      <c r="G68">
        <v>1</v>
      </c>
      <c r="H68">
        <v>16</v>
      </c>
      <c r="I68">
        <v>0</v>
      </c>
      <c r="J68">
        <v>3</v>
      </c>
      <c r="K68">
        <f>0</f>
        <v>0</v>
      </c>
      <c r="L68">
        <f t="shared" si="14"/>
        <v>96</v>
      </c>
      <c r="M68">
        <f t="shared" si="10"/>
        <v>110</v>
      </c>
      <c r="N68">
        <f t="shared" si="11"/>
        <v>9.1108049378244278</v>
      </c>
      <c r="O68">
        <f t="shared" si="12"/>
        <v>9.1108049378244278</v>
      </c>
    </row>
    <row r="69" spans="2:31" x14ac:dyDescent="0.2">
      <c r="B69" s="652" t="s">
        <v>802</v>
      </c>
      <c r="C69" s="653"/>
      <c r="D69" s="248">
        <v>35.75</v>
      </c>
      <c r="E69" s="3">
        <v>32</v>
      </c>
      <c r="F69" s="3">
        <f t="shared" si="13"/>
        <v>29</v>
      </c>
      <c r="G69">
        <v>1</v>
      </c>
      <c r="H69">
        <v>16</v>
      </c>
      <c r="I69">
        <v>0</v>
      </c>
      <c r="J69">
        <v>3</v>
      </c>
      <c r="K69">
        <f>0</f>
        <v>0</v>
      </c>
      <c r="L69">
        <f t="shared" si="14"/>
        <v>96</v>
      </c>
      <c r="M69">
        <f t="shared" si="10"/>
        <v>110</v>
      </c>
      <c r="N69">
        <f t="shared" si="11"/>
        <v>9.1108049378244278</v>
      </c>
      <c r="O69">
        <f t="shared" si="12"/>
        <v>9.1108049378244278</v>
      </c>
    </row>
  </sheetData>
  <mergeCells count="69">
    <mergeCell ref="B69:C69"/>
    <mergeCell ref="T58:U58"/>
    <mergeCell ref="W60:X60"/>
    <mergeCell ref="T61:U61"/>
    <mergeCell ref="T62:U62"/>
    <mergeCell ref="T63:U63"/>
    <mergeCell ref="T64:U64"/>
    <mergeCell ref="T65:U65"/>
    <mergeCell ref="T66:U66"/>
    <mergeCell ref="B63:C63"/>
    <mergeCell ref="B64:C64"/>
    <mergeCell ref="B65:C65"/>
    <mergeCell ref="B66:C66"/>
    <mergeCell ref="B67:C67"/>
    <mergeCell ref="B68:C68"/>
    <mergeCell ref="B62:C62"/>
    <mergeCell ref="S38:T38"/>
    <mergeCell ref="S39:T39"/>
    <mergeCell ref="B58:C58"/>
    <mergeCell ref="E60:F60"/>
    <mergeCell ref="B61:C61"/>
    <mergeCell ref="S32:T32"/>
    <mergeCell ref="Y33:AB33"/>
    <mergeCell ref="S34:T34"/>
    <mergeCell ref="S35:T35"/>
    <mergeCell ref="S36:T36"/>
    <mergeCell ref="S37:T37"/>
    <mergeCell ref="Z21:Z22"/>
    <mergeCell ref="Z23:Z24"/>
    <mergeCell ref="Z25:Z26"/>
    <mergeCell ref="B42:C42"/>
    <mergeCell ref="B36:C36"/>
    <mergeCell ref="B37:C37"/>
    <mergeCell ref="B38:C38"/>
    <mergeCell ref="B39:C39"/>
    <mergeCell ref="B40:C40"/>
    <mergeCell ref="B41:C41"/>
    <mergeCell ref="N25:N26"/>
    <mergeCell ref="B32:C32"/>
    <mergeCell ref="K33:N33"/>
    <mergeCell ref="B34:C34"/>
    <mergeCell ref="B35:C35"/>
    <mergeCell ref="Q13:Q14"/>
    <mergeCell ref="Z13:Z14"/>
    <mergeCell ref="Q15:Q16"/>
    <mergeCell ref="Z15:Z16"/>
    <mergeCell ref="Q17:Q18"/>
    <mergeCell ref="Z17:Z18"/>
    <mergeCell ref="Y13:Y14"/>
    <mergeCell ref="Y15:Y16"/>
    <mergeCell ref="Y17:Y18"/>
    <mergeCell ref="B19:B20"/>
    <mergeCell ref="N19:N20"/>
    <mergeCell ref="B21:B22"/>
    <mergeCell ref="N21:N22"/>
    <mergeCell ref="B23:B24"/>
    <mergeCell ref="N23:N24"/>
    <mergeCell ref="M19:M20"/>
    <mergeCell ref="M21:M22"/>
    <mergeCell ref="M23:M24"/>
    <mergeCell ref="B13:B14"/>
    <mergeCell ref="N13:N14"/>
    <mergeCell ref="B15:B16"/>
    <mergeCell ref="N15:N16"/>
    <mergeCell ref="B17:B18"/>
    <mergeCell ref="N17:N18"/>
    <mergeCell ref="M13:M14"/>
    <mergeCell ref="M15:M16"/>
    <mergeCell ref="M17:M18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F73EB-26B5-4DFE-A80F-A061A4ADB135}">
  <dimension ref="A1:AX106"/>
  <sheetViews>
    <sheetView tabSelected="1" zoomScale="70" zoomScaleNormal="70" workbookViewId="0">
      <selection activeCell="J23" sqref="J23"/>
    </sheetView>
  </sheetViews>
  <sheetFormatPr baseColWidth="10" defaultColWidth="8.5" defaultRowHeight="16" x14ac:dyDescent="0.2"/>
  <cols>
    <col min="3" max="3" width="11.5" bestFit="1" customWidth="1"/>
    <col min="15" max="16" width="9" bestFit="1" customWidth="1"/>
    <col min="18" max="18" width="9" bestFit="1" customWidth="1"/>
    <col min="19" max="19" width="10" bestFit="1" customWidth="1"/>
    <col min="20" max="20" width="11" bestFit="1" customWidth="1"/>
    <col min="24" max="24" width="11.5" customWidth="1"/>
    <col min="25" max="25" width="12" bestFit="1" customWidth="1"/>
  </cols>
  <sheetData>
    <row r="1" spans="1:48" x14ac:dyDescent="0.2">
      <c r="A1" s="451" t="s">
        <v>812</v>
      </c>
      <c r="B1" s="452"/>
      <c r="C1" s="452"/>
      <c r="D1" s="353">
        <f>D2+D3</f>
        <v>43506.122448979593</v>
      </c>
      <c r="E1" s="717" t="s">
        <v>813</v>
      </c>
      <c r="F1" s="717"/>
      <c r="G1" s="354">
        <f>'[4]$_DATI_DI_BASE'!N8</f>
        <v>330</v>
      </c>
      <c r="H1" s="121"/>
      <c r="I1" s="354"/>
      <c r="J1" s="112"/>
      <c r="K1" s="112"/>
      <c r="L1" s="698" t="s">
        <v>814</v>
      </c>
      <c r="M1" s="698" t="s">
        <v>815</v>
      </c>
      <c r="N1" s="698" t="s">
        <v>816</v>
      </c>
      <c r="O1" s="698" t="s">
        <v>817</v>
      </c>
      <c r="P1" s="718" t="s">
        <v>818</v>
      </c>
      <c r="Q1" s="721" t="s">
        <v>819</v>
      </c>
      <c r="R1" s="722" t="s">
        <v>820</v>
      </c>
      <c r="S1" s="722" t="s">
        <v>821</v>
      </c>
      <c r="T1" s="698" t="s">
        <v>822</v>
      </c>
      <c r="U1" s="698" t="s">
        <v>823</v>
      </c>
      <c r="V1" s="698" t="s">
        <v>824</v>
      </c>
      <c r="W1" s="112"/>
      <c r="X1" s="112"/>
      <c r="Y1" s="114"/>
    </row>
    <row r="2" spans="1:48" x14ac:dyDescent="0.2">
      <c r="A2" s="715" t="s">
        <v>825</v>
      </c>
      <c r="B2" s="485"/>
      <c r="C2" s="485"/>
      <c r="D2" s="9">
        <f>'[4]$_FABBISOGNI'!P4</f>
        <v>26103.673469387755</v>
      </c>
      <c r="E2" s="716" t="s">
        <v>826</v>
      </c>
      <c r="F2" s="716"/>
      <c r="G2" s="2">
        <v>22</v>
      </c>
      <c r="I2" s="2"/>
      <c r="L2" s="439"/>
      <c r="M2" s="439"/>
      <c r="N2" s="439"/>
      <c r="O2" s="440"/>
      <c r="P2" s="719"/>
      <c r="Q2" s="677"/>
      <c r="R2" s="723"/>
      <c r="S2" s="723"/>
      <c r="T2" s="440"/>
      <c r="U2" s="440"/>
      <c r="V2" s="440"/>
      <c r="Y2" s="41"/>
    </row>
    <row r="3" spans="1:48" x14ac:dyDescent="0.2">
      <c r="A3" s="715" t="s">
        <v>827</v>
      </c>
      <c r="B3" s="485"/>
      <c r="C3" s="485"/>
      <c r="D3" s="9">
        <f>'[4]$_FABBISOGNI'!P13</f>
        <v>17402.448979591838</v>
      </c>
      <c r="E3" s="716" t="s">
        <v>828</v>
      </c>
      <c r="F3" s="716"/>
      <c r="G3" s="2">
        <v>14.33</v>
      </c>
      <c r="I3" s="2"/>
      <c r="L3" s="439"/>
      <c r="M3" s="439"/>
      <c r="N3" s="439"/>
      <c r="O3" s="440"/>
      <c r="P3" s="719"/>
      <c r="Q3" s="677"/>
      <c r="R3" s="723"/>
      <c r="S3" s="723"/>
      <c r="T3" s="440"/>
      <c r="U3" s="440"/>
      <c r="V3" s="440"/>
      <c r="Y3" s="41"/>
    </row>
    <row r="4" spans="1:48" x14ac:dyDescent="0.2">
      <c r="A4" s="697" t="s">
        <v>829</v>
      </c>
      <c r="B4" s="440"/>
      <c r="C4" s="440" t="s">
        <v>4</v>
      </c>
      <c r="D4" s="440" t="s">
        <v>5</v>
      </c>
      <c r="E4" s="440"/>
      <c r="F4" s="440"/>
      <c r="G4" s="440"/>
      <c r="H4" s="440"/>
      <c r="I4" s="665" t="s">
        <v>6</v>
      </c>
      <c r="J4" s="665"/>
      <c r="K4" s="441" t="s">
        <v>7</v>
      </c>
      <c r="L4" s="439"/>
      <c r="M4" s="439"/>
      <c r="N4" s="440"/>
      <c r="O4" s="440"/>
      <c r="P4" s="719"/>
      <c r="Q4" s="677"/>
      <c r="R4" s="723"/>
      <c r="S4" s="723"/>
      <c r="T4" s="440"/>
      <c r="U4" s="440"/>
      <c r="V4" s="440"/>
      <c r="Y4" s="41"/>
    </row>
    <row r="5" spans="1:48" x14ac:dyDescent="0.2">
      <c r="A5" s="697"/>
      <c r="B5" s="440"/>
      <c r="C5" s="440"/>
      <c r="D5" s="440"/>
      <c r="E5" s="440"/>
      <c r="F5" s="440"/>
      <c r="G5" s="440"/>
      <c r="H5" s="440"/>
      <c r="I5" s="312" t="s">
        <v>830</v>
      </c>
      <c r="J5" s="312" t="s">
        <v>831</v>
      </c>
      <c r="K5" s="441"/>
      <c r="L5" s="439"/>
      <c r="M5" s="439"/>
      <c r="N5" s="440"/>
      <c r="O5" s="440"/>
      <c r="P5" s="720"/>
      <c r="Q5" s="677"/>
      <c r="R5" s="724"/>
      <c r="S5" s="724"/>
      <c r="T5" s="440"/>
      <c r="U5" s="440"/>
      <c r="V5" s="440"/>
      <c r="Y5" s="41"/>
    </row>
    <row r="6" spans="1:48" x14ac:dyDescent="0.2">
      <c r="A6" s="455"/>
      <c r="B6" s="456"/>
      <c r="C6" s="456"/>
      <c r="D6" s="456"/>
      <c r="E6" s="456"/>
      <c r="F6" s="456"/>
      <c r="G6" s="456"/>
      <c r="H6" s="456"/>
      <c r="I6" s="456"/>
      <c r="J6" s="456"/>
      <c r="K6" s="456"/>
      <c r="Y6" s="41"/>
    </row>
    <row r="7" spans="1:48" ht="15.75" customHeight="1" x14ac:dyDescent="0.2">
      <c r="A7" s="669" t="s">
        <v>832</v>
      </c>
      <c r="B7" s="670"/>
      <c r="C7" s="8" t="str">
        <f>'[4]$_FABBISOGNI'!F3</f>
        <v>INT_ASS_001</v>
      </c>
      <c r="D7" s="429" t="str">
        <f>'[4]$_DATI_DI_BASE'!I39</f>
        <v>PLANCIA SEGMENTO A1</v>
      </c>
      <c r="E7" s="429"/>
      <c r="F7" s="429"/>
      <c r="G7" s="429"/>
      <c r="H7" s="429"/>
      <c r="I7" s="273">
        <f>_xlfn.XLOOKUP($D7,'[4]$_FABBISOGNI'!$H$3:$H$20,'[4]$_FABBISOGNI'!$P$3:$P$20)</f>
        <v>25581.599999999999</v>
      </c>
      <c r="J7" s="273"/>
      <c r="K7" s="273">
        <f>SUM($I7:$J7)</f>
        <v>25581.599999999999</v>
      </c>
      <c r="L7" s="305">
        <f>_xlfn.XLOOKUP($D7,'[4]$_FABBISOGNI'!$H$24:$H$27,'[4]$_FABBISOGNI'!$P$24:$P$27)</f>
        <v>3654.5142857142855</v>
      </c>
      <c r="M7" s="306">
        <v>0</v>
      </c>
      <c r="N7" s="307">
        <f>_xlfn.XLOOKUP($D7,'[4]$_DATI_DI_BASE'!$E$106:$E$109,'[4]$_DATI_DI_BASE'!$P$106:$P$109)</f>
        <v>2.5</v>
      </c>
      <c r="O7" s="308">
        <f>$G$3*$G$2*60</f>
        <v>18915.599999999999</v>
      </c>
      <c r="P7" s="308">
        <f>O7*$L$35</f>
        <v>18537.287999999997</v>
      </c>
      <c r="Q7" s="308">
        <f>M7*'[4]$_FABBISOGNI'!O24</f>
        <v>0</v>
      </c>
      <c r="R7" s="308">
        <f t="shared" ref="R7:R14" si="0">P7-Q7</f>
        <v>18537.287999999997</v>
      </c>
      <c r="S7" s="305">
        <f>R7*$M$35</f>
        <v>17981.169359999996</v>
      </c>
      <c r="T7" s="309">
        <f>$S7/$K$7</f>
        <v>0.7028946336429307</v>
      </c>
      <c r="U7" s="307">
        <f>$N7/$T7</f>
        <v>3.5567208516632323</v>
      </c>
      <c r="V7" s="348">
        <f>ROUNDUP($U7,0)</f>
        <v>4</v>
      </c>
      <c r="X7" t="s">
        <v>833</v>
      </c>
      <c r="Y7" s="125">
        <f>ROUNDUP(SUM(U11,U12,U13,U14),0)</f>
        <v>10</v>
      </c>
    </row>
    <row r="8" spans="1:48" x14ac:dyDescent="0.2">
      <c r="A8" s="671"/>
      <c r="B8" s="672"/>
      <c r="C8" s="8" t="str">
        <f>'[4]$_DATI_DI_BASE'!F49</f>
        <v>INT_ASS_002</v>
      </c>
      <c r="D8" s="429" t="str">
        <f>'[4]$_DATI_DI_BASE'!I49</f>
        <v>PLANCIA SEGMENTO B</v>
      </c>
      <c r="E8" s="429"/>
      <c r="F8" s="429"/>
      <c r="G8" s="429"/>
      <c r="H8" s="429"/>
      <c r="I8" s="273"/>
      <c r="J8" s="273">
        <f>_xlfn.XLOOKUP($D8,'[4]$_FABBISOGNI'!$H$3:$H$20,'[4]$_FABBISOGNI'!$P$3:$P$20)</f>
        <v>17054.400000000001</v>
      </c>
      <c r="K8" s="273">
        <f>SUM($I8:$J8)</f>
        <v>17054.400000000001</v>
      </c>
      <c r="L8" s="305">
        <f>_xlfn.XLOOKUP($D8,'[4]$_FABBISOGNI'!$H$24:$H$27,'[4]$_FABBISOGNI'!$P$24:$P$27)</f>
        <v>2436.3428571428572</v>
      </c>
      <c r="M8" s="306">
        <v>0</v>
      </c>
      <c r="N8" s="307">
        <f>_xlfn.XLOOKUP($D8,'[4]$_DATI_DI_BASE'!$E$106:$E$109,'[4]$_DATI_DI_BASE'!$P$106:$P$109)</f>
        <v>2.5</v>
      </c>
      <c r="O8" s="308">
        <f t="shared" ref="O8:O14" si="1">$G$3*$G$2*60</f>
        <v>18915.599999999999</v>
      </c>
      <c r="P8" s="308">
        <f>O8*$L$35</f>
        <v>18537.287999999997</v>
      </c>
      <c r="Q8" s="308">
        <f>M8*'[4]$_FABBISOGNI'!O25</f>
        <v>0</v>
      </c>
      <c r="R8" s="308">
        <f t="shared" si="0"/>
        <v>18537.287999999997</v>
      </c>
      <c r="S8" s="305">
        <f>R8*$M$35</f>
        <v>17981.169359999996</v>
      </c>
      <c r="T8" s="309">
        <f>S8/$K$8</f>
        <v>1.054341950464396</v>
      </c>
      <c r="U8" s="307">
        <f t="shared" ref="U8:U10" si="2">$N8/$T8</f>
        <v>2.3711472344421547</v>
      </c>
      <c r="V8" s="348">
        <f>ROUNDUP($U8,0)</f>
        <v>3</v>
      </c>
      <c r="X8" t="s">
        <v>834</v>
      </c>
      <c r="Y8" s="125">
        <f>V7+V9</f>
        <v>8</v>
      </c>
    </row>
    <row r="9" spans="1:48" ht="15.75" customHeight="1" x14ac:dyDescent="0.2">
      <c r="A9" s="671"/>
      <c r="B9" s="672"/>
      <c r="C9" s="313" t="s">
        <v>72</v>
      </c>
      <c r="D9" s="429" t="s">
        <v>73</v>
      </c>
      <c r="E9" s="429"/>
      <c r="F9" s="429"/>
      <c r="G9" s="429"/>
      <c r="H9" s="429"/>
      <c r="I9" s="314">
        <v>24042.857142857145</v>
      </c>
      <c r="J9" s="314"/>
      <c r="K9" s="314">
        <v>24042.857142857145</v>
      </c>
      <c r="L9" s="315">
        <v>3366</v>
      </c>
      <c r="M9" s="316">
        <v>0</v>
      </c>
      <c r="N9" s="317">
        <v>2.5</v>
      </c>
      <c r="O9" s="318">
        <f>$G$3*$G$2*60</f>
        <v>18915.599999999999</v>
      </c>
      <c r="P9" s="318">
        <f>$O$11*$L$35</f>
        <v>18537.287999999997</v>
      </c>
      <c r="Q9" s="318">
        <v>0</v>
      </c>
      <c r="R9" s="318">
        <f>P9-Q9</f>
        <v>18537.287999999997</v>
      </c>
      <c r="S9" s="315">
        <f>R9*$M$35</f>
        <v>17981.169359999996</v>
      </c>
      <c r="T9" s="319">
        <f>S9/K9</f>
        <v>0.74787989019607826</v>
      </c>
      <c r="U9" s="317">
        <f t="shared" si="2"/>
        <v>3.3427827553225864</v>
      </c>
      <c r="V9" s="349">
        <f>ROUNDUP(U9,0)</f>
        <v>4</v>
      </c>
      <c r="X9" t="s">
        <v>835</v>
      </c>
      <c r="Y9" s="125">
        <f>V8+V10</f>
        <v>5</v>
      </c>
    </row>
    <row r="10" spans="1:48" x14ac:dyDescent="0.2">
      <c r="A10" s="673"/>
      <c r="B10" s="674"/>
      <c r="C10" s="313" t="s">
        <v>75</v>
      </c>
      <c r="D10" s="429" t="s">
        <v>76</v>
      </c>
      <c r="E10" s="429"/>
      <c r="F10" s="429"/>
      <c r="G10" s="429"/>
      <c r="H10" s="429"/>
      <c r="I10" s="314"/>
      <c r="J10" s="314">
        <v>10304.081632653062</v>
      </c>
      <c r="K10" s="314">
        <v>10304.081632653062</v>
      </c>
      <c r="L10" s="315">
        <v>1442.5714285714287</v>
      </c>
      <c r="M10" s="316">
        <v>0</v>
      </c>
      <c r="N10" s="317">
        <v>2.5</v>
      </c>
      <c r="O10" s="318">
        <f>$G$3*$G$2*60</f>
        <v>18915.599999999999</v>
      </c>
      <c r="P10" s="318">
        <f>$O$12*$L$35</f>
        <v>18537.287999999997</v>
      </c>
      <c r="Q10" s="318">
        <v>0</v>
      </c>
      <c r="R10" s="318">
        <f>P10-Q10</f>
        <v>18537.287999999997</v>
      </c>
      <c r="S10" s="315">
        <f>R10*$M$35</f>
        <v>17981.169359999996</v>
      </c>
      <c r="T10" s="319">
        <f>S10/K10</f>
        <v>1.7450530771241826</v>
      </c>
      <c r="U10" s="317">
        <f t="shared" si="2"/>
        <v>1.4326211808525371</v>
      </c>
      <c r="V10" s="349">
        <f>ROUNDUP(U10,0)</f>
        <v>2</v>
      </c>
      <c r="Y10" s="41"/>
    </row>
    <row r="11" spans="1:48" ht="16.5" customHeight="1" x14ac:dyDescent="0.2">
      <c r="A11" s="669" t="s">
        <v>743</v>
      </c>
      <c r="B11" s="670"/>
      <c r="C11" s="8" t="str">
        <f>'[4]$_DATI_DI_BASE'!$F$40</f>
        <v>INT_SAL_001</v>
      </c>
      <c r="D11" s="429" t="str">
        <f>'[4]$_FABBISOGNI'!$H$4</f>
        <v>(CORPO + INSERTO) PLANCIA SEGMENTO A1</v>
      </c>
      <c r="E11" s="429"/>
      <c r="F11" s="429"/>
      <c r="G11" s="429"/>
      <c r="H11" s="429"/>
      <c r="I11" s="273">
        <f>_xlfn.XLOOKUP($D$11,'[4]$_FABBISOGNI'!$H$3:$H$20,'[4]$_FABBISOGNI'!$P$3:$P$20)</f>
        <v>26103.673469387755</v>
      </c>
      <c r="J11" s="273"/>
      <c r="K11" s="273">
        <f>SUM($I11:$J11)</f>
        <v>26103.673469387755</v>
      </c>
      <c r="L11" s="305">
        <f>_xlfn.XLOOKUP($D$11,'[4]$_FABBISOGNI'!$H$24:$H$27,'[4]$_FABBISOGNI'!$P$24:$P$27)</f>
        <v>6525.9183673469388</v>
      </c>
      <c r="M11" s="306">
        <f>_xlfn.XLOOKUP($D$11,'[4]$_DATI_DI_BASE'!$E$106:$E$109,'[4]$_DATI_DI_BASE'!$N$106:$N$109)</f>
        <v>45</v>
      </c>
      <c r="N11" s="307">
        <f>_xlfn.XLOOKUP($D$11,'[4]$_DATI_DI_BASE'!$E$106:$E$109,'[4]$_DATI_DI_BASE'!$P$106:$P$109)</f>
        <v>2</v>
      </c>
      <c r="O11" s="308">
        <f t="shared" si="1"/>
        <v>18915.599999999999</v>
      </c>
      <c r="P11" s="308">
        <f>O11*$L$37</f>
        <v>18348.131999999998</v>
      </c>
      <c r="Q11" s="308">
        <f>M11*'[4]$_FABBISOGNI'!$O$26</f>
        <v>180</v>
      </c>
      <c r="R11" s="308">
        <f t="shared" ref="R11:R12" si="3">P11-Q11</f>
        <v>18168.131999999998</v>
      </c>
      <c r="S11" s="305">
        <f>R11*$M$37</f>
        <v>17078.044079999996</v>
      </c>
      <c r="T11" s="309">
        <f>$S11/$K$11</f>
        <v>0.65423910929730733</v>
      </c>
      <c r="U11" s="307">
        <f t="shared" ref="U11:U14" si="4">$N11/$T11</f>
        <v>3.0569863091005396</v>
      </c>
      <c r="V11" s="688">
        <f>ROUNDUP(SUM(U11:U14),0)</f>
        <v>10</v>
      </c>
      <c r="Y11" s="41"/>
      <c r="AA11" s="334"/>
      <c r="AB11" s="334"/>
      <c r="AC11" s="335"/>
      <c r="AI11" s="22"/>
      <c r="AJ11" s="22"/>
      <c r="AK11" s="22"/>
      <c r="AL11" s="9"/>
      <c r="AM11" s="2"/>
      <c r="AN11" s="336"/>
      <c r="AO11" s="23"/>
      <c r="AP11" s="23"/>
      <c r="AQ11" s="23"/>
      <c r="AR11" s="23"/>
      <c r="AS11" s="9"/>
      <c r="AT11" s="337"/>
      <c r="AU11" s="336"/>
      <c r="AV11" s="342"/>
    </row>
    <row r="12" spans="1:48" x14ac:dyDescent="0.2">
      <c r="A12" s="671"/>
      <c r="B12" s="672"/>
      <c r="C12" s="8" t="str">
        <f>'[4]$_DATI_DI_BASE'!$F$50</f>
        <v>INT_SAL_002</v>
      </c>
      <c r="D12" s="429" t="str">
        <f>'[4]$_FABBISOGNI'!$H$13</f>
        <v>(CORPO + INSERTO) PLANCIA SEGMENTO B</v>
      </c>
      <c r="E12" s="429"/>
      <c r="F12" s="429"/>
      <c r="G12" s="429"/>
      <c r="H12" s="429"/>
      <c r="I12" s="273"/>
      <c r="J12" s="273">
        <f>_xlfn.XLOOKUP($D$12,'[4]$_FABBISOGNI'!$H$3:$H$20,'[4]$_FABBISOGNI'!$P$3:$P$20)</f>
        <v>17402.448979591838</v>
      </c>
      <c r="K12" s="273">
        <f>SUM($I12:$J12)</f>
        <v>17402.448979591838</v>
      </c>
      <c r="L12" s="305">
        <f>_xlfn.XLOOKUP($D$12,'[4]$_FABBISOGNI'!$H$24:$H$27,'[4]$_FABBISOGNI'!$P$24:$P$27)</f>
        <v>4350.6122448979595</v>
      </c>
      <c r="M12" s="306">
        <f>_xlfn.XLOOKUP($D$12,'[4]$_DATI_DI_BASE'!$E$106:$E$109,'[4]$_DATI_DI_BASE'!$N$106:$N$109)</f>
        <v>60</v>
      </c>
      <c r="N12" s="307">
        <f>_xlfn.XLOOKUP($D$12,'[4]$_DATI_DI_BASE'!$E$106:$E$109,'[4]$_DATI_DI_BASE'!$P$106:$P$109)</f>
        <v>2</v>
      </c>
      <c r="O12" s="308">
        <f t="shared" si="1"/>
        <v>18915.599999999999</v>
      </c>
      <c r="P12" s="308">
        <f>O12*$L$37</f>
        <v>18348.131999999998</v>
      </c>
      <c r="Q12" s="308">
        <f>M12*'[4]$_FABBISOGNI'!$O$27</f>
        <v>240</v>
      </c>
      <c r="R12" s="308">
        <f t="shared" si="3"/>
        <v>18108.131999999998</v>
      </c>
      <c r="S12" s="305">
        <f>R12*$M$37</f>
        <v>17021.644079999998</v>
      </c>
      <c r="T12" s="309">
        <f>S12/$K$12</f>
        <v>0.97811774078243718</v>
      </c>
      <c r="U12" s="307">
        <f t="shared" si="4"/>
        <v>2.0447436097009311</v>
      </c>
      <c r="V12" s="688"/>
      <c r="Y12" s="41"/>
      <c r="AA12" s="334"/>
      <c r="AB12" s="334"/>
      <c r="AC12" s="335"/>
      <c r="AI12" s="22"/>
      <c r="AJ12" s="22"/>
      <c r="AK12" s="22"/>
      <c r="AL12" s="9"/>
      <c r="AM12" s="2"/>
      <c r="AN12" s="336"/>
      <c r="AO12" s="23"/>
      <c r="AP12" s="23"/>
      <c r="AQ12" s="23"/>
      <c r="AR12" s="23"/>
      <c r="AS12" s="9"/>
      <c r="AT12" s="337"/>
      <c r="AU12" s="336"/>
      <c r="AV12" s="342"/>
    </row>
    <row r="13" spans="1:48" x14ac:dyDescent="0.2">
      <c r="A13" s="671"/>
      <c r="B13" s="672"/>
      <c r="C13" s="313" t="s">
        <v>78</v>
      </c>
      <c r="D13" s="429" t="s">
        <v>79</v>
      </c>
      <c r="E13" s="429"/>
      <c r="F13" s="429"/>
      <c r="G13" s="429"/>
      <c r="H13" s="429"/>
      <c r="I13" s="314">
        <v>24042.857142857145</v>
      </c>
      <c r="J13" s="314"/>
      <c r="K13" s="314">
        <v>24042.857142857145</v>
      </c>
      <c r="L13" s="315">
        <v>6010.7142857142862</v>
      </c>
      <c r="M13" s="316">
        <v>45</v>
      </c>
      <c r="N13" s="317">
        <v>2</v>
      </c>
      <c r="O13" s="318">
        <f t="shared" si="1"/>
        <v>18915.599999999999</v>
      </c>
      <c r="P13" s="318">
        <f>O13*$L$37</f>
        <v>18348.131999999998</v>
      </c>
      <c r="Q13" s="318">
        <v>180</v>
      </c>
      <c r="R13" s="318">
        <f t="shared" si="0"/>
        <v>18168.131999999998</v>
      </c>
      <c r="S13" s="315">
        <f>R13*$M$37</f>
        <v>17078.044079999996</v>
      </c>
      <c r="T13" s="319">
        <f t="shared" ref="T13:T14" si="5">S13/K13</f>
        <v>0.71031674723707638</v>
      </c>
      <c r="U13" s="317">
        <f t="shared" si="4"/>
        <v>2.8156452846978661</v>
      </c>
      <c r="V13" s="688"/>
      <c r="Y13" s="41"/>
    </row>
    <row r="14" spans="1:48" x14ac:dyDescent="0.2">
      <c r="A14" s="673"/>
      <c r="B14" s="674"/>
      <c r="C14" s="313" t="s">
        <v>82</v>
      </c>
      <c r="D14" s="429" t="s">
        <v>83</v>
      </c>
      <c r="E14" s="429"/>
      <c r="F14" s="429"/>
      <c r="G14" s="429"/>
      <c r="H14" s="429"/>
      <c r="I14" s="314"/>
      <c r="J14" s="314">
        <v>10304.081632653062</v>
      </c>
      <c r="K14" s="314">
        <v>10304.081632653062</v>
      </c>
      <c r="L14" s="315">
        <v>2576.0204081632655</v>
      </c>
      <c r="M14" s="316">
        <v>60</v>
      </c>
      <c r="N14" s="317">
        <v>2</v>
      </c>
      <c r="O14" s="318">
        <f t="shared" si="1"/>
        <v>18915.599999999999</v>
      </c>
      <c r="P14" s="318">
        <f>O14*$L$37</f>
        <v>18348.131999999998</v>
      </c>
      <c r="Q14" s="318">
        <v>240</v>
      </c>
      <c r="R14" s="318">
        <f t="shared" si="0"/>
        <v>18108.131999999998</v>
      </c>
      <c r="S14" s="315">
        <f>R14*$M$37</f>
        <v>17021.644079999998</v>
      </c>
      <c r="T14" s="319">
        <f t="shared" si="5"/>
        <v>1.6519321844325605</v>
      </c>
      <c r="U14" s="317">
        <f t="shared" si="4"/>
        <v>1.2107034531123932</v>
      </c>
      <c r="V14" s="688"/>
      <c r="Y14" s="41"/>
    </row>
    <row r="15" spans="1:48" x14ac:dyDescent="0.2">
      <c r="A15" s="38"/>
      <c r="Y15" s="41"/>
    </row>
    <row r="16" spans="1:48" x14ac:dyDescent="0.2">
      <c r="A16" s="697" t="s">
        <v>829</v>
      </c>
      <c r="B16" s="440"/>
      <c r="C16" s="440" t="s">
        <v>4</v>
      </c>
      <c r="D16" s="440" t="s">
        <v>5</v>
      </c>
      <c r="E16" s="440"/>
      <c r="F16" s="440"/>
      <c r="G16" s="440"/>
      <c r="H16" s="440"/>
      <c r="I16" s="665" t="s">
        <v>6</v>
      </c>
      <c r="J16" s="665"/>
      <c r="K16" s="441" t="s">
        <v>7</v>
      </c>
      <c r="L16" s="439" t="s">
        <v>836</v>
      </c>
      <c r="M16" s="701" t="s">
        <v>837</v>
      </c>
      <c r="N16" s="670" t="s">
        <v>838</v>
      </c>
      <c r="O16" s="387" t="s">
        <v>839</v>
      </c>
      <c r="P16" s="387" t="s">
        <v>840</v>
      </c>
      <c r="Q16" s="389" t="s">
        <v>841</v>
      </c>
      <c r="R16" s="389" t="s">
        <v>842</v>
      </c>
      <c r="S16" s="387" t="s">
        <v>843</v>
      </c>
      <c r="T16" s="389" t="s">
        <v>844</v>
      </c>
      <c r="U16" s="389" t="s">
        <v>845</v>
      </c>
      <c r="V16" s="713" t="s">
        <v>846</v>
      </c>
      <c r="Y16" s="41"/>
    </row>
    <row r="17" spans="1:25" x14ac:dyDescent="0.2">
      <c r="A17" s="730"/>
      <c r="B17" s="389"/>
      <c r="C17" s="389"/>
      <c r="D17" s="389"/>
      <c r="E17" s="389"/>
      <c r="F17" s="389"/>
      <c r="G17" s="389"/>
      <c r="H17" s="389"/>
      <c r="I17" s="320" t="s">
        <v>830</v>
      </c>
      <c r="J17" s="320" t="s">
        <v>831</v>
      </c>
      <c r="K17" s="749"/>
      <c r="L17" s="389"/>
      <c r="M17" s="702"/>
      <c r="N17" s="672"/>
      <c r="O17" s="703"/>
      <c r="P17" s="703"/>
      <c r="Q17" s="695"/>
      <c r="R17" s="695"/>
      <c r="S17" s="703"/>
      <c r="T17" s="695"/>
      <c r="U17" s="695"/>
      <c r="V17" s="714"/>
      <c r="X17" s="3" t="s">
        <v>847</v>
      </c>
      <c r="Y17" s="356" t="s">
        <v>848</v>
      </c>
    </row>
    <row r="18" spans="1:25" x14ac:dyDescent="0.2">
      <c r="A18" s="748" t="s">
        <v>832</v>
      </c>
      <c r="B18" s="439"/>
      <c r="C18" s="8" t="str">
        <f>C7</f>
        <v>INT_ASS_001</v>
      </c>
      <c r="D18" s="429" t="str">
        <f>D7</f>
        <v>PLANCIA SEGMENTO A1</v>
      </c>
      <c r="E18" s="429"/>
      <c r="F18" s="429"/>
      <c r="G18" s="429"/>
      <c r="H18" s="429"/>
      <c r="I18" s="308">
        <f>_xlfn.XLOOKUP($D18,'[4]$_FABBISOGNI'!$H$3:$H$20,'[4]$_FABBISOGNI'!$P$3:$P$20)</f>
        <v>25581.599999999999</v>
      </c>
      <c r="J18" s="273"/>
      <c r="K18" s="273">
        <f>SUM($I18:$J18)</f>
        <v>25581.599999999999</v>
      </c>
      <c r="L18" s="310">
        <f>'[4]$_OP_MONTAGGIO (TIPO A1)'!P22/T7</f>
        <v>13.032986114180066</v>
      </c>
      <c r="M18" s="307">
        <f>V7</f>
        <v>4</v>
      </c>
      <c r="N18" s="307">
        <f>4</f>
        <v>4</v>
      </c>
      <c r="O18" s="311">
        <f>O7*N18*M18</f>
        <v>302649.59999999998</v>
      </c>
      <c r="P18" s="322">
        <f>R7*N18*M18</f>
        <v>296596.60799999995</v>
      </c>
      <c r="Q18" s="323">
        <f>P18/O18</f>
        <v>0.97999999999999987</v>
      </c>
      <c r="R18" s="747">
        <f>97%</f>
        <v>0.97</v>
      </c>
      <c r="S18" s="324">
        <f>L18/(N18*M18)</f>
        <v>0.8145616321362541</v>
      </c>
      <c r="T18" s="324">
        <f>R18*S18</f>
        <v>0.7901247831721665</v>
      </c>
      <c r="U18" s="343">
        <f>'[4]$_DATI_DI_BASE'!$K$17</f>
        <v>1</v>
      </c>
      <c r="V18" s="324">
        <f t="shared" ref="V18:V23" si="6">U18*T18*Q18</f>
        <v>0.77432228750872312</v>
      </c>
      <c r="X18" s="350">
        <v>0.73973589199999989</v>
      </c>
      <c r="Y18" s="357">
        <f>V18-X18</f>
        <v>3.4586395508723222E-2</v>
      </c>
    </row>
    <row r="19" spans="1:25" x14ac:dyDescent="0.2">
      <c r="A19" s="748"/>
      <c r="B19" s="439"/>
      <c r="C19" s="8" t="str">
        <f>C8</f>
        <v>INT_ASS_002</v>
      </c>
      <c r="D19" s="429" t="str">
        <f>D8</f>
        <v>PLANCIA SEGMENTO B</v>
      </c>
      <c r="E19" s="429"/>
      <c r="F19" s="429"/>
      <c r="G19" s="429"/>
      <c r="H19" s="429"/>
      <c r="I19" s="321"/>
      <c r="J19" s="273">
        <f>_xlfn.XLOOKUP($D19,'[4]$_FABBISOGNI'!$H$3:$H$20,'[4]$_FABBISOGNI'!$P$3:$P$20)</f>
        <v>17054.400000000001</v>
      </c>
      <c r="K19" s="273">
        <f>SUM($I19:$J19)</f>
        <v>17054.400000000001</v>
      </c>
      <c r="L19" s="310">
        <f>'[4]$_OP_MONTAGGIO (TIPO B)'!P26/T8</f>
        <v>12.719137272393725</v>
      </c>
      <c r="M19" s="307">
        <f>V8</f>
        <v>3</v>
      </c>
      <c r="N19" s="307">
        <v>9</v>
      </c>
      <c r="O19" s="311">
        <f>O8*N19*M19</f>
        <v>510721.19999999995</v>
      </c>
      <c r="P19" s="322">
        <f>R8*N19*M19</f>
        <v>500506.77599999995</v>
      </c>
      <c r="Q19" s="323">
        <f>P19/O19</f>
        <v>0.98</v>
      </c>
      <c r="R19" s="747"/>
      <c r="S19" s="324">
        <f>L19/(N19*M19)</f>
        <v>0.47107915823680463</v>
      </c>
      <c r="T19" s="324">
        <f>R18*S19</f>
        <v>0.45694678348970047</v>
      </c>
      <c r="U19" s="343">
        <f>'[4]$_DATI_DI_BASE'!$K$17</f>
        <v>1</v>
      </c>
      <c r="V19" s="324">
        <f t="shared" si="6"/>
        <v>0.44780784781990646</v>
      </c>
      <c r="X19" s="350">
        <v>0.4278057639506172</v>
      </c>
      <c r="Y19" s="357">
        <f t="shared" ref="Y19:Y23" si="7">V19-X19</f>
        <v>2.0002083869289256E-2</v>
      </c>
    </row>
    <row r="20" spans="1:25" x14ac:dyDescent="0.2">
      <c r="A20" s="355"/>
      <c r="B20" s="86"/>
      <c r="C20" s="3"/>
      <c r="D20" s="21"/>
      <c r="E20" s="21"/>
      <c r="F20" s="21"/>
      <c r="G20" s="21"/>
      <c r="H20" s="21"/>
      <c r="I20" s="3"/>
      <c r="J20" s="22"/>
      <c r="K20" s="22"/>
      <c r="L20" s="235"/>
      <c r="M20" s="351"/>
      <c r="N20" s="346" t="s">
        <v>849</v>
      </c>
      <c r="O20" s="311">
        <f>SUM(O18:O19)</f>
        <v>813370.79999999993</v>
      </c>
      <c r="P20" s="311">
        <f>SUM(P18:P19)</f>
        <v>797103.38399999985</v>
      </c>
      <c r="Q20" s="323">
        <f>P20/O20</f>
        <v>0.97999999999999987</v>
      </c>
      <c r="R20" s="324">
        <f>R18</f>
        <v>0.97</v>
      </c>
      <c r="S20" s="324">
        <f>SUM(L18:L19)/(M18*N18+M19*N19)</f>
        <v>0.59888659038543701</v>
      </c>
      <c r="T20" s="324">
        <f>S20*R20</f>
        <v>0.58091999267387384</v>
      </c>
      <c r="U20" s="343">
        <f>'[4]$_DATI_DI_BASE'!$K$17</f>
        <v>1</v>
      </c>
      <c r="V20" s="324">
        <f t="shared" si="6"/>
        <v>0.56930159282039627</v>
      </c>
      <c r="X20" s="350">
        <v>0.54387278834108532</v>
      </c>
      <c r="Y20" s="357">
        <f t="shared" si="7"/>
        <v>2.5428804479310951E-2</v>
      </c>
    </row>
    <row r="21" spans="1:25" x14ac:dyDescent="0.2">
      <c r="A21" s="728" t="s">
        <v>832</v>
      </c>
      <c r="B21" s="729"/>
      <c r="C21" s="325" t="s">
        <v>72</v>
      </c>
      <c r="D21" s="429" t="s">
        <v>73</v>
      </c>
      <c r="E21" s="429"/>
      <c r="F21" s="429"/>
      <c r="G21" s="429"/>
      <c r="H21" s="429"/>
      <c r="I21" s="344">
        <v>23562</v>
      </c>
      <c r="J21" s="314"/>
      <c r="K21" s="314">
        <v>23562</v>
      </c>
      <c r="L21" s="317">
        <f>'[5]$_OP_MONTAGGIO (TIPO A2)'!$P$22/T11</f>
        <v>14.002244546094584</v>
      </c>
      <c r="M21" s="317">
        <f>V9</f>
        <v>4</v>
      </c>
      <c r="N21" s="317">
        <v>4</v>
      </c>
      <c r="O21" s="327">
        <f>O10*N21*M21</f>
        <v>302649.59999999998</v>
      </c>
      <c r="P21" s="328">
        <f>R9*N21*M21</f>
        <v>296596.60799999995</v>
      </c>
      <c r="Q21" s="329">
        <f>P21/O21</f>
        <v>0.97999999999999987</v>
      </c>
      <c r="R21" s="758">
        <v>0.97</v>
      </c>
      <c r="S21" s="330">
        <f>L21/(M21*N21)</f>
        <v>0.87514028413091149</v>
      </c>
      <c r="T21" s="330">
        <f>R21*S21</f>
        <v>0.84888607560698415</v>
      </c>
      <c r="U21" s="345">
        <v>1</v>
      </c>
      <c r="V21" s="330">
        <f t="shared" si="6"/>
        <v>0.83190835409484432</v>
      </c>
      <c r="X21" s="350">
        <v>0.79439823342257287</v>
      </c>
      <c r="Y21" s="357">
        <f t="shared" si="7"/>
        <v>3.7510120672271441E-2</v>
      </c>
    </row>
    <row r="22" spans="1:25" x14ac:dyDescent="0.2">
      <c r="A22" s="728"/>
      <c r="B22" s="729"/>
      <c r="C22" s="325" t="s">
        <v>75</v>
      </c>
      <c r="D22" s="429" t="s">
        <v>76</v>
      </c>
      <c r="E22" s="429"/>
      <c r="F22" s="429"/>
      <c r="G22" s="429"/>
      <c r="H22" s="429"/>
      <c r="I22" s="326"/>
      <c r="J22" s="314">
        <v>10098</v>
      </c>
      <c r="K22" s="314">
        <v>10098</v>
      </c>
      <c r="L22" s="317">
        <f>'[5]$_OP_MONTAGGIO (TIPO D)'!$P$26/T12</f>
        <v>17.485126060916741</v>
      </c>
      <c r="M22" s="317">
        <f>V10</f>
        <v>2</v>
      </c>
      <c r="N22" s="317">
        <v>9</v>
      </c>
      <c r="O22" s="327">
        <f>O11*N22*M22</f>
        <v>340480.8</v>
      </c>
      <c r="P22" s="328">
        <f>R10*N22*M22</f>
        <v>333671.18399999995</v>
      </c>
      <c r="Q22" s="329">
        <f t="shared" ref="Q22:Q23" si="8">P22/O22</f>
        <v>0.97999999999999987</v>
      </c>
      <c r="R22" s="758"/>
      <c r="S22" s="330">
        <f>L22/(M22*N22)</f>
        <v>0.97139589227315226</v>
      </c>
      <c r="T22" s="330">
        <f>R21*S22</f>
        <v>0.94225401550495769</v>
      </c>
      <c r="U22" s="345">
        <v>1</v>
      </c>
      <c r="V22" s="330">
        <f>U22*T22*Q22</f>
        <v>0.92340893519485845</v>
      </c>
      <c r="X22" s="350">
        <v>0.88164140506632627</v>
      </c>
      <c r="Y22" s="357">
        <f t="shared" si="7"/>
        <v>4.1767530128532182E-2</v>
      </c>
    </row>
    <row r="23" spans="1:25" x14ac:dyDescent="0.2">
      <c r="A23" s="358"/>
      <c r="B23" s="334"/>
      <c r="C23" s="159"/>
      <c r="F23" s="21"/>
      <c r="G23" s="21"/>
      <c r="H23" s="21"/>
      <c r="I23" s="335"/>
      <c r="J23" s="22"/>
      <c r="K23" s="22"/>
      <c r="L23" s="235"/>
      <c r="M23" s="352"/>
      <c r="N23" s="347" t="s">
        <v>849</v>
      </c>
      <c r="O23" s="327">
        <f>SUM(O21:O22)</f>
        <v>643130.39999999991</v>
      </c>
      <c r="P23" s="327">
        <f>SUM(P21:P22)</f>
        <v>630267.7919999999</v>
      </c>
      <c r="Q23" s="329">
        <f t="shared" si="8"/>
        <v>0.98</v>
      </c>
      <c r="R23" s="330">
        <v>0.97</v>
      </c>
      <c r="S23" s="330">
        <f>SUM(L21:L22)/(M21*N21+M22*N22)</f>
        <v>0.92609913550033307</v>
      </c>
      <c r="T23" s="330">
        <f>S23*R23</f>
        <v>0.898316161435323</v>
      </c>
      <c r="U23" s="345">
        <v>1</v>
      </c>
      <c r="V23" s="330">
        <f t="shared" si="6"/>
        <v>0.8803498382066165</v>
      </c>
      <c r="X23" s="350">
        <v>0.84058579488103058</v>
      </c>
      <c r="Y23" s="357">
        <f t="shared" si="7"/>
        <v>3.9764043325585918E-2</v>
      </c>
    </row>
    <row r="24" spans="1:25" x14ac:dyDescent="0.2">
      <c r="A24" s="38"/>
      <c r="X24" s="3"/>
      <c r="Y24" s="41"/>
    </row>
    <row r="25" spans="1:25" x14ac:dyDescent="0.2">
      <c r="A25" s="355"/>
      <c r="B25" s="86"/>
      <c r="C25" s="3"/>
      <c r="D25" s="21"/>
      <c r="E25" s="21"/>
      <c r="F25" s="21"/>
      <c r="G25" s="21"/>
      <c r="H25" s="21"/>
      <c r="I25" s="3"/>
      <c r="J25" s="22"/>
      <c r="K25" s="22"/>
      <c r="T25" s="3"/>
      <c r="U25" s="3"/>
      <c r="X25" s="3"/>
      <c r="Y25" s="41"/>
    </row>
    <row r="26" spans="1:25" x14ac:dyDescent="0.2">
      <c r="A26" s="750" t="s">
        <v>829</v>
      </c>
      <c r="B26" s="751"/>
      <c r="C26" s="389" t="s">
        <v>4</v>
      </c>
      <c r="D26" s="749" t="s">
        <v>5</v>
      </c>
      <c r="E26" s="754"/>
      <c r="F26" s="754"/>
      <c r="G26" s="754"/>
      <c r="H26" s="751"/>
      <c r="I26" s="756" t="s">
        <v>6</v>
      </c>
      <c r="J26" s="757"/>
      <c r="K26" s="389" t="s">
        <v>7</v>
      </c>
      <c r="L26" s="387" t="s">
        <v>836</v>
      </c>
      <c r="M26" s="701" t="s">
        <v>850</v>
      </c>
      <c r="N26" s="670"/>
      <c r="O26" s="387" t="s">
        <v>851</v>
      </c>
      <c r="P26" s="387" t="s">
        <v>852</v>
      </c>
      <c r="Q26" s="389" t="s">
        <v>853</v>
      </c>
      <c r="R26" s="389" t="s">
        <v>842</v>
      </c>
      <c r="S26" s="389" t="s">
        <v>854</v>
      </c>
      <c r="T26" s="389" t="s">
        <v>855</v>
      </c>
      <c r="U26" s="389" t="s">
        <v>845</v>
      </c>
      <c r="V26" s="389" t="s">
        <v>856</v>
      </c>
      <c r="X26" s="3"/>
      <c r="Y26" s="41"/>
    </row>
    <row r="27" spans="1:25" x14ac:dyDescent="0.2">
      <c r="A27" s="752"/>
      <c r="B27" s="753"/>
      <c r="C27" s="695"/>
      <c r="D27" s="755"/>
      <c r="E27" s="561"/>
      <c r="F27" s="561"/>
      <c r="G27" s="561"/>
      <c r="H27" s="753"/>
      <c r="I27" s="320" t="s">
        <v>830</v>
      </c>
      <c r="J27" s="320" t="s">
        <v>831</v>
      </c>
      <c r="K27" s="695"/>
      <c r="L27" s="703"/>
      <c r="M27" s="702"/>
      <c r="N27" s="672"/>
      <c r="O27" s="703"/>
      <c r="P27" s="703"/>
      <c r="Q27" s="695"/>
      <c r="R27" s="695"/>
      <c r="S27" s="695"/>
      <c r="T27" s="695"/>
      <c r="U27" s="695"/>
      <c r="V27" s="695"/>
      <c r="X27" s="3"/>
      <c r="Y27" s="41"/>
    </row>
    <row r="28" spans="1:25" ht="16.5" customHeight="1" x14ac:dyDescent="0.2">
      <c r="A28" s="669" t="s">
        <v>743</v>
      </c>
      <c r="B28" s="670"/>
      <c r="C28" s="8" t="str">
        <f>C11</f>
        <v>INT_SAL_001</v>
      </c>
      <c r="D28" s="429" t="str">
        <f>D11</f>
        <v>(CORPO + INSERTO) PLANCIA SEGMENTO A1</v>
      </c>
      <c r="E28" s="429"/>
      <c r="F28" s="429"/>
      <c r="G28" s="429"/>
      <c r="H28" s="429"/>
      <c r="I28" s="273">
        <f>_xlfn.XLOOKUP($D28,'[4]$_FABBISOGNI'!$H$3:$H$20,'[4]$_FABBISOGNI'!$P$3:$P$20)</f>
        <v>26103.673469387755</v>
      </c>
      <c r="J28" s="273"/>
      <c r="K28" s="273">
        <f>SUM($I28:$J28)</f>
        <v>26103.673469387755</v>
      </c>
      <c r="L28" s="340">
        <f>$U11</f>
        <v>3.0569863091005396</v>
      </c>
      <c r="M28" s="735">
        <f>ROUNDUP(SUM(L28:L31),0)</f>
        <v>10</v>
      </c>
      <c r="N28" s="736"/>
      <c r="O28" s="744">
        <f>$M$28*$O$7</f>
        <v>189156</v>
      </c>
      <c r="P28" s="741">
        <f>($R$9*$L$28+$R$10*$L$29+R13*L30+R14*L31)/$S$28</f>
        <v>183664.97074495361</v>
      </c>
      <c r="Q28" s="707">
        <f>$P$28/$O$28</f>
        <v>0.97097089568902706</v>
      </c>
      <c r="R28" s="710">
        <f>M37</f>
        <v>0.94</v>
      </c>
      <c r="S28" s="704">
        <f>SUM($L$28:$L$31)/$M$28</f>
        <v>0.91280786566117311</v>
      </c>
      <c r="T28" s="707">
        <f>$R$28*$S$28</f>
        <v>0.85803939372150273</v>
      </c>
      <c r="U28" s="710">
        <v>0.98</v>
      </c>
      <c r="V28" s="707">
        <f>U28*T28*Q28</f>
        <v>0.81646865308507244</v>
      </c>
      <c r="X28" s="350">
        <v>0.86642084510937301</v>
      </c>
      <c r="Y28" s="357">
        <f t="shared" ref="Y28" si="9">V28-X28</f>
        <v>-4.9952192024300568E-2</v>
      </c>
    </row>
    <row r="29" spans="1:25" x14ac:dyDescent="0.2">
      <c r="A29" s="671"/>
      <c r="B29" s="672"/>
      <c r="C29" s="8" t="str">
        <f>C12</f>
        <v>INT_SAL_002</v>
      </c>
      <c r="D29" s="429" t="str">
        <f>D12</f>
        <v>(CORPO + INSERTO) PLANCIA SEGMENTO B</v>
      </c>
      <c r="E29" s="429"/>
      <c r="F29" s="429"/>
      <c r="G29" s="429"/>
      <c r="H29" s="429"/>
      <c r="I29" s="273"/>
      <c r="J29" s="273">
        <f>_xlfn.XLOOKUP($D29,'[4]$_FABBISOGNI'!$H$3:$H$20,'[4]$_FABBISOGNI'!$P$3:$P$20)</f>
        <v>17402.448979591838</v>
      </c>
      <c r="K29" s="273">
        <f>SUM($I29:$J29)</f>
        <v>17402.448979591838</v>
      </c>
      <c r="L29" s="340">
        <f>$U12</f>
        <v>2.0447436097009311</v>
      </c>
      <c r="M29" s="737"/>
      <c r="N29" s="738"/>
      <c r="O29" s="745"/>
      <c r="P29" s="742"/>
      <c r="Q29" s="708"/>
      <c r="R29" s="711"/>
      <c r="S29" s="705"/>
      <c r="T29" s="708"/>
      <c r="U29" s="711"/>
      <c r="V29" s="708"/>
      <c r="Y29" s="41"/>
    </row>
    <row r="30" spans="1:25" x14ac:dyDescent="0.2">
      <c r="A30" s="671"/>
      <c r="B30" s="672"/>
      <c r="C30" s="313" t="s">
        <v>78</v>
      </c>
      <c r="D30" s="429" t="s">
        <v>79</v>
      </c>
      <c r="E30" s="429"/>
      <c r="F30" s="429"/>
      <c r="G30" s="429"/>
      <c r="H30" s="429"/>
      <c r="I30" s="338">
        <v>24042.857142857145</v>
      </c>
      <c r="J30" s="338"/>
      <c r="K30" s="338">
        <v>24042.857142857145</v>
      </c>
      <c r="L30" s="339">
        <f>U13</f>
        <v>2.8156452846978661</v>
      </c>
      <c r="M30" s="737"/>
      <c r="N30" s="738"/>
      <c r="O30" s="745"/>
      <c r="P30" s="742"/>
      <c r="Q30" s="708"/>
      <c r="R30" s="711"/>
      <c r="S30" s="705"/>
      <c r="T30" s="708"/>
      <c r="U30" s="711"/>
      <c r="V30" s="708"/>
      <c r="Y30" s="41"/>
    </row>
    <row r="31" spans="1:25" x14ac:dyDescent="0.2">
      <c r="A31" s="673"/>
      <c r="B31" s="674"/>
      <c r="C31" s="313" t="s">
        <v>82</v>
      </c>
      <c r="D31" s="429" t="s">
        <v>83</v>
      </c>
      <c r="E31" s="429"/>
      <c r="F31" s="429"/>
      <c r="G31" s="429"/>
      <c r="H31" s="429"/>
      <c r="I31" s="338"/>
      <c r="J31" s="338">
        <v>10304.081632653062</v>
      </c>
      <c r="K31" s="338">
        <v>10304.081632653062</v>
      </c>
      <c r="L31" s="339">
        <f>U14</f>
        <v>1.2107034531123932</v>
      </c>
      <c r="M31" s="739"/>
      <c r="N31" s="740"/>
      <c r="O31" s="746"/>
      <c r="P31" s="743"/>
      <c r="Q31" s="709"/>
      <c r="R31" s="712"/>
      <c r="S31" s="706"/>
      <c r="T31" s="709"/>
      <c r="U31" s="712"/>
      <c r="V31" s="709"/>
      <c r="Y31" s="41"/>
    </row>
    <row r="32" spans="1:25" ht="17" thickBot="1" x14ac:dyDescent="0.25">
      <c r="A32" s="38"/>
      <c r="Y32" s="41"/>
    </row>
    <row r="33" spans="1:44" x14ac:dyDescent="0.2">
      <c r="A33" s="38"/>
      <c r="G33" s="696" t="s">
        <v>857</v>
      </c>
      <c r="H33" s="698" t="s">
        <v>858</v>
      </c>
      <c r="I33" s="698"/>
      <c r="J33" s="698"/>
      <c r="K33" s="698"/>
      <c r="L33" s="698" t="s">
        <v>859</v>
      </c>
      <c r="M33" s="698" t="s">
        <v>860</v>
      </c>
      <c r="N33" s="699" t="s">
        <v>861</v>
      </c>
      <c r="Y33" s="41"/>
    </row>
    <row r="34" spans="1:44" x14ac:dyDescent="0.2">
      <c r="A34" s="38"/>
      <c r="G34" s="697"/>
      <c r="H34" s="439"/>
      <c r="I34" s="439"/>
      <c r="J34" s="439"/>
      <c r="K34" s="439"/>
      <c r="L34" s="440"/>
      <c r="M34" s="440"/>
      <c r="N34" s="700"/>
      <c r="Y34" s="41"/>
    </row>
    <row r="35" spans="1:44" x14ac:dyDescent="0.2">
      <c r="A35" s="38"/>
      <c r="G35" s="393" t="s">
        <v>603</v>
      </c>
      <c r="H35" s="726" t="s">
        <v>832</v>
      </c>
      <c r="I35" s="726"/>
      <c r="J35" s="726"/>
      <c r="K35" s="726"/>
      <c r="L35" s="731">
        <v>0.98</v>
      </c>
      <c r="M35" s="731">
        <v>0.97</v>
      </c>
      <c r="N35" s="733">
        <v>1</v>
      </c>
      <c r="Y35" s="41"/>
    </row>
    <row r="36" spans="1:44" x14ac:dyDescent="0.2">
      <c r="A36" s="38"/>
      <c r="G36" s="393"/>
      <c r="H36" s="726"/>
      <c r="I36" s="726"/>
      <c r="J36" s="726"/>
      <c r="K36" s="726"/>
      <c r="L36" s="731"/>
      <c r="M36" s="731"/>
      <c r="N36" s="733"/>
      <c r="Y36" s="41"/>
    </row>
    <row r="37" spans="1:44" x14ac:dyDescent="0.2">
      <c r="A37" s="38"/>
      <c r="G37" s="393" t="s">
        <v>862</v>
      </c>
      <c r="H37" s="726" t="s">
        <v>743</v>
      </c>
      <c r="I37" s="726"/>
      <c r="J37" s="726"/>
      <c r="K37" s="726"/>
      <c r="L37" s="731">
        <v>0.97</v>
      </c>
      <c r="M37" s="731">
        <v>0.94</v>
      </c>
      <c r="N37" s="733">
        <v>0.98</v>
      </c>
      <c r="Y37" s="41"/>
    </row>
    <row r="38" spans="1:44" ht="17" thickBot="1" x14ac:dyDescent="0.25">
      <c r="A38" s="38"/>
      <c r="G38" s="725"/>
      <c r="H38" s="727"/>
      <c r="I38" s="727"/>
      <c r="J38" s="727"/>
      <c r="K38" s="727"/>
      <c r="L38" s="732"/>
      <c r="M38" s="732"/>
      <c r="N38" s="734"/>
      <c r="Y38" s="41"/>
    </row>
    <row r="39" spans="1:44" ht="17" thickBot="1" x14ac:dyDescent="0.25">
      <c r="A39" s="4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47"/>
    </row>
    <row r="40" spans="1:44" x14ac:dyDescent="0.2">
      <c r="A40" s="689" t="s">
        <v>863</v>
      </c>
      <c r="B40" s="689"/>
      <c r="C40" s="689"/>
      <c r="D40" s="689"/>
      <c r="E40" s="689"/>
      <c r="F40" s="689"/>
      <c r="G40" s="689"/>
      <c r="H40" s="689"/>
      <c r="I40" s="689"/>
      <c r="J40" s="689"/>
      <c r="K40" s="689"/>
      <c r="L40" s="689"/>
      <c r="M40" s="689"/>
      <c r="N40" s="689"/>
      <c r="O40" s="689"/>
      <c r="P40" s="689"/>
      <c r="Q40" s="689"/>
      <c r="R40" s="689"/>
      <c r="S40" s="689"/>
      <c r="T40" s="689"/>
      <c r="U40" s="689"/>
      <c r="AQ40" s="9"/>
      <c r="AR40" s="28"/>
    </row>
    <row r="41" spans="1:44" x14ac:dyDescent="0.2">
      <c r="A41" s="689"/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689"/>
      <c r="T41" s="689"/>
      <c r="U41" s="689"/>
      <c r="AE41" s="2"/>
      <c r="AH41" s="675" t="s">
        <v>814</v>
      </c>
      <c r="AI41" s="675" t="s">
        <v>815</v>
      </c>
      <c r="AJ41" s="675" t="s">
        <v>816</v>
      </c>
      <c r="AK41" s="439" t="s">
        <v>817</v>
      </c>
      <c r="AL41" s="676" t="s">
        <v>818</v>
      </c>
      <c r="AM41" s="676" t="s">
        <v>819</v>
      </c>
      <c r="AN41" s="678" t="s">
        <v>820</v>
      </c>
      <c r="AO41" s="678" t="s">
        <v>821</v>
      </c>
      <c r="AP41" s="439" t="s">
        <v>822</v>
      </c>
      <c r="AQ41" s="439" t="s">
        <v>823</v>
      </c>
      <c r="AR41" s="439" t="s">
        <v>864</v>
      </c>
    </row>
    <row r="42" spans="1:44" ht="15.75" customHeight="1" x14ac:dyDescent="0.2">
      <c r="I42" s="439" t="s">
        <v>865</v>
      </c>
      <c r="J42" s="440" t="s">
        <v>632</v>
      </c>
      <c r="K42" s="440" t="s">
        <v>866</v>
      </c>
      <c r="L42" s="440" t="s">
        <v>867</v>
      </c>
      <c r="M42" s="439" t="s">
        <v>868</v>
      </c>
      <c r="N42" s="439" t="s">
        <v>819</v>
      </c>
      <c r="O42" s="439" t="s">
        <v>869</v>
      </c>
      <c r="P42" s="439" t="s">
        <v>870</v>
      </c>
      <c r="R42" s="439" t="s">
        <v>865</v>
      </c>
      <c r="S42" s="439" t="s">
        <v>871</v>
      </c>
      <c r="T42" s="440" t="s">
        <v>872</v>
      </c>
      <c r="U42" s="439" t="s">
        <v>873</v>
      </c>
      <c r="AE42" s="2"/>
      <c r="AH42" s="675"/>
      <c r="AI42" s="675"/>
      <c r="AJ42" s="675"/>
      <c r="AK42" s="440"/>
      <c r="AL42" s="676"/>
      <c r="AM42" s="677"/>
      <c r="AN42" s="678"/>
      <c r="AO42" s="678"/>
      <c r="AP42" s="440"/>
      <c r="AQ42" s="440"/>
      <c r="AR42" s="440"/>
    </row>
    <row r="43" spans="1:44" x14ac:dyDescent="0.2">
      <c r="I43" s="439"/>
      <c r="J43" s="440"/>
      <c r="K43" s="440"/>
      <c r="L43" s="440"/>
      <c r="M43" s="439"/>
      <c r="N43" s="439"/>
      <c r="O43" s="440"/>
      <c r="P43" s="440"/>
      <c r="R43" s="439"/>
      <c r="S43" s="439"/>
      <c r="T43" s="658"/>
      <c r="U43" s="440"/>
      <c r="AE43" s="2"/>
      <c r="AH43" s="675"/>
      <c r="AI43" s="675"/>
      <c r="AJ43" s="675"/>
      <c r="AK43" s="440"/>
      <c r="AL43" s="676"/>
      <c r="AM43" s="677"/>
      <c r="AN43" s="678"/>
      <c r="AO43" s="678"/>
      <c r="AP43" s="440"/>
      <c r="AQ43" s="440"/>
      <c r="AR43" s="440"/>
    </row>
    <row r="44" spans="1:44" ht="18.75" customHeight="1" x14ac:dyDescent="0.2">
      <c r="A44" s="439" t="s">
        <v>832</v>
      </c>
      <c r="B44" s="439"/>
      <c r="C44" s="286" t="s">
        <v>502</v>
      </c>
      <c r="D44" s="694" t="s">
        <v>344</v>
      </c>
      <c r="E44" s="694"/>
      <c r="F44" s="694"/>
      <c r="G44" s="694"/>
      <c r="H44" s="685"/>
      <c r="I44" s="287">
        <f>25581.6/8</f>
        <v>3197.7</v>
      </c>
      <c r="J44" s="288">
        <f>I44/22</f>
        <v>145.35</v>
      </c>
      <c r="K44" s="289">
        <f>I44/J44</f>
        <v>22</v>
      </c>
      <c r="L44" s="290">
        <v>2.5</v>
      </c>
      <c r="M44" s="291">
        <f>L44*J44</f>
        <v>363.375</v>
      </c>
      <c r="N44" s="291">
        <v>90</v>
      </c>
      <c r="O44" s="292">
        <f>N44/60</f>
        <v>1.5</v>
      </c>
      <c r="P44" s="293">
        <f>O44+M44/60</f>
        <v>7.5562500000000004</v>
      </c>
      <c r="R44" s="332">
        <f>25581.6/8</f>
        <v>3197.7</v>
      </c>
      <c r="S44" s="332">
        <f>R44/22</f>
        <v>145.35</v>
      </c>
      <c r="T44" s="693">
        <f>O47/(M48-M47)</f>
        <v>1.5982532478979807</v>
      </c>
      <c r="U44" s="331">
        <f>T44*S44</f>
        <v>232.3061095819715</v>
      </c>
      <c r="V44" s="276"/>
      <c r="AE44" s="665" t="s">
        <v>6</v>
      </c>
      <c r="AF44" s="665"/>
      <c r="AG44" s="441" t="s">
        <v>7</v>
      </c>
      <c r="AH44" s="675"/>
      <c r="AI44" s="675"/>
      <c r="AJ44" s="665"/>
      <c r="AK44" s="440"/>
      <c r="AL44" s="676"/>
      <c r="AM44" s="677"/>
      <c r="AN44" s="678"/>
      <c r="AO44" s="678"/>
      <c r="AP44" s="440"/>
      <c r="AQ44" s="440"/>
      <c r="AR44" s="440"/>
    </row>
    <row r="45" spans="1:44" ht="18" x14ac:dyDescent="0.2">
      <c r="A45" s="439"/>
      <c r="B45" s="439"/>
      <c r="C45" s="294" t="s">
        <v>72</v>
      </c>
      <c r="D45" s="694" t="s">
        <v>73</v>
      </c>
      <c r="E45" s="694"/>
      <c r="F45" s="694"/>
      <c r="G45" s="694"/>
      <c r="H45" s="685"/>
      <c r="I45" s="295">
        <f>24042.8571428571/8</f>
        <v>3005.3571428571377</v>
      </c>
      <c r="J45" s="296">
        <f>I45/22</f>
        <v>136.60714285714263</v>
      </c>
      <c r="K45" s="297">
        <f>I45/J45</f>
        <v>21.999999999999996</v>
      </c>
      <c r="L45" s="298">
        <v>2.5</v>
      </c>
      <c r="M45" s="299">
        <f>L45*J45</f>
        <v>341.5178571428566</v>
      </c>
      <c r="N45" s="300">
        <v>90</v>
      </c>
      <c r="O45" s="301">
        <f>N45/60</f>
        <v>1.5</v>
      </c>
      <c r="P45" s="302">
        <f>O45+M45/60</f>
        <v>7.1919642857142767</v>
      </c>
      <c r="R45" s="333">
        <f>24042.8571428571/8</f>
        <v>3005.3571428571377</v>
      </c>
      <c r="S45" s="332">
        <f>R45/22</f>
        <v>136.60714285714263</v>
      </c>
      <c r="T45" s="693"/>
      <c r="U45" s="331">
        <f>T44*S45</f>
        <v>218.33280975749165</v>
      </c>
      <c r="V45" s="276"/>
      <c r="AE45" s="312" t="s">
        <v>830</v>
      </c>
      <c r="AF45" s="312" t="s">
        <v>831</v>
      </c>
      <c r="AG45" s="441"/>
      <c r="AH45" s="675"/>
      <c r="AI45" s="675"/>
      <c r="AJ45" s="665"/>
      <c r="AK45" s="440"/>
      <c r="AL45" s="676"/>
      <c r="AM45" s="677"/>
      <c r="AN45" s="678"/>
      <c r="AO45" s="678"/>
      <c r="AP45" s="440"/>
      <c r="AQ45" s="440"/>
      <c r="AR45" s="440"/>
    </row>
    <row r="46" spans="1:44" ht="17.25" customHeight="1" x14ac:dyDescent="0.2">
      <c r="L46" t="s">
        <v>874</v>
      </c>
      <c r="M46" s="23">
        <f>SUM(M44:M45)</f>
        <v>704.89285714285666</v>
      </c>
      <c r="W46" s="669" t="s">
        <v>832</v>
      </c>
      <c r="X46" s="670"/>
      <c r="Y46" s="8" t="str">
        <f>C7</f>
        <v>INT_ASS_001</v>
      </c>
      <c r="Z46" s="429" t="str">
        <f>D7</f>
        <v>PLANCIA SEGMENTO A1</v>
      </c>
      <c r="AA46" s="429"/>
      <c r="AB46" s="429"/>
      <c r="AC46" s="429"/>
      <c r="AD46" s="429"/>
      <c r="AE46" s="305">
        <f>I7</f>
        <v>25581.599999999999</v>
      </c>
      <c r="AF46" s="305">
        <f>J7</f>
        <v>0</v>
      </c>
      <c r="AG46" s="305">
        <f>K7</f>
        <v>25581.599999999999</v>
      </c>
      <c r="AH46" s="370">
        <f>L7</f>
        <v>3654.5142857142855</v>
      </c>
      <c r="AI46" s="370">
        <v>90</v>
      </c>
      <c r="AJ46" s="371">
        <v>2.5</v>
      </c>
      <c r="AK46" s="370">
        <f>$G$3*$G$2*60</f>
        <v>18915.599999999999</v>
      </c>
      <c r="AL46" s="370">
        <f>AK46*$L$35</f>
        <v>18537.287999999997</v>
      </c>
      <c r="AM46" s="370">
        <f>AI46*7</f>
        <v>630</v>
      </c>
      <c r="AN46" s="370">
        <f t="shared" ref="AN46" si="10">AL46-AM46</f>
        <v>17907.287999999997</v>
      </c>
      <c r="AO46" s="370">
        <f>AN46*$M$35</f>
        <v>17370.069359999998</v>
      </c>
      <c r="AP46" s="372">
        <f>$AO46/$K$7</f>
        <v>0.67900637020358379</v>
      </c>
      <c r="AQ46" s="371">
        <f>$AJ46/$AP46</f>
        <v>3.6818505830076895</v>
      </c>
      <c r="AR46" s="668">
        <f>ROUNDUP(SUM(AQ46:AQ47),0)</f>
        <v>8</v>
      </c>
    </row>
    <row r="47" spans="1:44" ht="17.25" customHeight="1" x14ac:dyDescent="0.2">
      <c r="L47" t="s">
        <v>875</v>
      </c>
      <c r="M47" s="283">
        <f>M46/60</f>
        <v>11.748214285714278</v>
      </c>
      <c r="N47" s="3"/>
      <c r="O47" s="284">
        <f>SUM(O44:O45)</f>
        <v>3</v>
      </c>
      <c r="P47" s="285">
        <f>P44+P45</f>
        <v>14.748214285714276</v>
      </c>
      <c r="T47" s="274"/>
      <c r="U47" s="275"/>
      <c r="V47" s="277"/>
      <c r="W47" s="671"/>
      <c r="X47" s="672"/>
      <c r="Y47" s="313" t="s">
        <v>72</v>
      </c>
      <c r="Z47" s="429" t="s">
        <v>73</v>
      </c>
      <c r="AA47" s="429"/>
      <c r="AB47" s="429"/>
      <c r="AC47" s="429"/>
      <c r="AD47" s="429"/>
      <c r="AE47" s="315">
        <v>24042.857142857145</v>
      </c>
      <c r="AF47" s="315"/>
      <c r="AG47" s="315">
        <v>24042.857142857145</v>
      </c>
      <c r="AH47" s="315">
        <v>3366</v>
      </c>
      <c r="AI47" s="315">
        <v>90</v>
      </c>
      <c r="AJ47" s="317">
        <v>2.5</v>
      </c>
      <c r="AK47" s="315">
        <f>$G$3*$G$2*60</f>
        <v>18915.599999999999</v>
      </c>
      <c r="AL47" s="315">
        <f>$O$11*$L$35</f>
        <v>18537.287999999997</v>
      </c>
      <c r="AM47" s="370">
        <f t="shared" ref="AM47:AM49" si="11">AI47*7</f>
        <v>630</v>
      </c>
      <c r="AN47" s="315">
        <f>AL47-AM47</f>
        <v>17907.287999999997</v>
      </c>
      <c r="AO47" s="315">
        <f>AN47*$M$35</f>
        <v>17370.069359999998</v>
      </c>
      <c r="AP47" s="319">
        <f>AO47/AG47</f>
        <v>0.72246277789661306</v>
      </c>
      <c r="AQ47" s="317">
        <f>$AJ47/$AP47</f>
        <v>3.4603858862854229</v>
      </c>
      <c r="AR47" s="667"/>
    </row>
    <row r="48" spans="1:44" ht="18.75" customHeight="1" x14ac:dyDescent="0.2">
      <c r="L48" t="s">
        <v>876</v>
      </c>
      <c r="M48">
        <f>14.33333*L35*M35</f>
        <v>13.625263497999999</v>
      </c>
      <c r="T48" s="278"/>
      <c r="U48" s="279"/>
      <c r="V48" s="280"/>
      <c r="W48" s="671"/>
      <c r="X48" s="672"/>
      <c r="Y48" s="8" t="str">
        <f>C8</f>
        <v>INT_ASS_002</v>
      </c>
      <c r="Z48" s="429" t="str">
        <f>D8</f>
        <v>PLANCIA SEGMENTO B</v>
      </c>
      <c r="AA48" s="429"/>
      <c r="AB48" s="429"/>
      <c r="AC48" s="429"/>
      <c r="AD48" s="429"/>
      <c r="AE48" s="305">
        <f>I8</f>
        <v>0</v>
      </c>
      <c r="AF48" s="305">
        <f>J8</f>
        <v>17054.400000000001</v>
      </c>
      <c r="AG48" s="305">
        <f>K8</f>
        <v>17054.400000000001</v>
      </c>
      <c r="AH48" s="305">
        <f>L8</f>
        <v>2436.3428571428572</v>
      </c>
      <c r="AI48" s="305">
        <v>120</v>
      </c>
      <c r="AJ48" s="307">
        <v>2.5</v>
      </c>
      <c r="AK48" s="305">
        <f t="shared" ref="AK48" si="12">$G$3*$G$2*60</f>
        <v>18915.599999999999</v>
      </c>
      <c r="AL48" s="305">
        <f>AK48*$L$35</f>
        <v>18537.287999999997</v>
      </c>
      <c r="AM48" s="370">
        <f t="shared" si="11"/>
        <v>840</v>
      </c>
      <c r="AN48" s="305">
        <f>AL48-AM48</f>
        <v>17697.287999999997</v>
      </c>
      <c r="AO48" s="305">
        <f>AN48*$M$35</f>
        <v>17166.369359999997</v>
      </c>
      <c r="AP48" s="309">
        <f>AO48/$K$8</f>
        <v>1.006565423585702</v>
      </c>
      <c r="AQ48" s="307">
        <f>$AJ48/$AP48</f>
        <v>2.483693500114692</v>
      </c>
      <c r="AR48" s="666">
        <f>ROUNDUP(SUM(AQ48:AQ49),0)</f>
        <v>4</v>
      </c>
    </row>
    <row r="49" spans="1:44" ht="18" x14ac:dyDescent="0.2">
      <c r="M49" s="283"/>
      <c r="N49" s="3"/>
      <c r="O49" s="284"/>
      <c r="P49" s="285"/>
      <c r="R49" s="439" t="s">
        <v>865</v>
      </c>
      <c r="S49" s="439" t="s">
        <v>871</v>
      </c>
      <c r="T49" s="440" t="s">
        <v>872</v>
      </c>
      <c r="U49" s="439" t="s">
        <v>873</v>
      </c>
      <c r="V49" s="280"/>
      <c r="W49" s="673"/>
      <c r="X49" s="674"/>
      <c r="Y49" s="313" t="s">
        <v>75</v>
      </c>
      <c r="Z49" s="429" t="s">
        <v>76</v>
      </c>
      <c r="AA49" s="429"/>
      <c r="AB49" s="429"/>
      <c r="AC49" s="429"/>
      <c r="AD49" s="429"/>
      <c r="AE49" s="315"/>
      <c r="AF49" s="315">
        <v>10304.081632653062</v>
      </c>
      <c r="AG49" s="315">
        <v>10304.081632653062</v>
      </c>
      <c r="AH49" s="315">
        <v>1442.5714285714287</v>
      </c>
      <c r="AI49" s="315">
        <v>120</v>
      </c>
      <c r="AJ49" s="317">
        <v>2.5</v>
      </c>
      <c r="AK49" s="315">
        <f>$G$3*$G$2*60</f>
        <v>18915.599999999999</v>
      </c>
      <c r="AL49" s="315">
        <f>$O$12*$L$35</f>
        <v>18537.287999999997</v>
      </c>
      <c r="AM49" s="370">
        <f t="shared" si="11"/>
        <v>840</v>
      </c>
      <c r="AN49" s="315">
        <f>AL49-AM49</f>
        <v>17697.287999999997</v>
      </c>
      <c r="AO49" s="315">
        <f>AN49*$M$35</f>
        <v>17166.369359999997</v>
      </c>
      <c r="AP49" s="319">
        <f>AO49/AG49</f>
        <v>1.6659776166369573</v>
      </c>
      <c r="AQ49" s="317">
        <f>$AJ49/$AP49</f>
        <v>1.5006204015193496</v>
      </c>
      <c r="AR49" s="667"/>
    </row>
    <row r="50" spans="1:44" ht="17.25" customHeight="1" x14ac:dyDescent="0.2">
      <c r="R50" s="439"/>
      <c r="S50" s="439"/>
      <c r="T50" s="658"/>
      <c r="U50" s="440"/>
      <c r="V50" s="281"/>
    </row>
    <row r="51" spans="1:44" ht="17.25" customHeight="1" x14ac:dyDescent="0.2">
      <c r="A51" s="439" t="s">
        <v>832</v>
      </c>
      <c r="B51" s="439"/>
      <c r="C51" s="286" t="s">
        <v>504</v>
      </c>
      <c r="D51" s="694" t="s">
        <v>345</v>
      </c>
      <c r="E51" s="694"/>
      <c r="F51" s="694"/>
      <c r="G51" s="694"/>
      <c r="H51" s="685"/>
      <c r="I51" s="287">
        <f>17054.4/4</f>
        <v>4263.6000000000004</v>
      </c>
      <c r="J51" s="296">
        <f>I51/22</f>
        <v>193.8</v>
      </c>
      <c r="K51" s="297">
        <f>I51/J51</f>
        <v>22</v>
      </c>
      <c r="L51" s="303">
        <v>2.5</v>
      </c>
      <c r="M51" s="299">
        <f>L51*J51</f>
        <v>484.5</v>
      </c>
      <c r="N51" s="299">
        <v>120</v>
      </c>
      <c r="O51" s="301">
        <f>N51/60</f>
        <v>2</v>
      </c>
      <c r="P51" s="302">
        <f>O51+M51/60</f>
        <v>10.074999999999999</v>
      </c>
      <c r="R51" s="332">
        <f>I51</f>
        <v>4263.6000000000004</v>
      </c>
      <c r="S51" s="332">
        <f>R51/22</f>
        <v>193.8</v>
      </c>
      <c r="T51" s="690">
        <f>O54/(M55-M54)</f>
        <v>5.9573723138334778</v>
      </c>
      <c r="U51" s="331">
        <f>$T$51*S51</f>
        <v>1154.5387544209282</v>
      </c>
      <c r="V51" s="281"/>
    </row>
    <row r="52" spans="1:44" x14ac:dyDescent="0.2">
      <c r="A52" s="439"/>
      <c r="B52" s="439"/>
      <c r="C52" s="294" t="s">
        <v>75</v>
      </c>
      <c r="D52" s="694" t="s">
        <v>76</v>
      </c>
      <c r="E52" s="694"/>
      <c r="F52" s="694"/>
      <c r="G52" s="694"/>
      <c r="H52" s="685"/>
      <c r="I52" s="295">
        <f>10304.0816326531/4</f>
        <v>2576.0204081632751</v>
      </c>
      <c r="J52" s="296">
        <f>I52/22</f>
        <v>117.09183673469433</v>
      </c>
      <c r="K52" s="297">
        <f>I52/J52</f>
        <v>22</v>
      </c>
      <c r="L52" s="298">
        <v>2.5</v>
      </c>
      <c r="M52" s="299">
        <f>L52*J52</f>
        <v>292.72959183673584</v>
      </c>
      <c r="N52" s="300">
        <v>120</v>
      </c>
      <c r="O52" s="301">
        <f>N52/60</f>
        <v>2</v>
      </c>
      <c r="P52" s="302">
        <f>O52+M52/60</f>
        <v>6.8788265306122636</v>
      </c>
      <c r="R52" s="332">
        <f>I52</f>
        <v>2576.0204081632751</v>
      </c>
      <c r="S52" s="332">
        <f>R52/22</f>
        <v>117.09183673469433</v>
      </c>
      <c r="T52" s="692"/>
      <c r="U52" s="331">
        <f>$T$51*S52</f>
        <v>697.55966633917774</v>
      </c>
      <c r="W52" s="84"/>
    </row>
    <row r="53" spans="1:44" x14ac:dyDescent="0.2">
      <c r="L53" t="s">
        <v>874</v>
      </c>
      <c r="M53" s="23">
        <f>SUM(M51:M52)</f>
        <v>777.22959183673584</v>
      </c>
      <c r="W53" s="84"/>
    </row>
    <row r="54" spans="1:44" x14ac:dyDescent="0.2">
      <c r="L54" t="s">
        <v>875</v>
      </c>
      <c r="M54" s="283">
        <f>M53/60</f>
        <v>12.953826530612265</v>
      </c>
      <c r="N54" s="3"/>
      <c r="O54" s="284">
        <f>SUM(O51:O52)</f>
        <v>4</v>
      </c>
      <c r="P54" s="285">
        <f>P51+P52</f>
        <v>16.953826530612261</v>
      </c>
      <c r="W54" s="84"/>
    </row>
    <row r="55" spans="1:44" x14ac:dyDescent="0.2">
      <c r="L55" t="s">
        <v>876</v>
      </c>
      <c r="M55">
        <f>14.33333*L35*M35</f>
        <v>13.625263497999999</v>
      </c>
      <c r="W55" s="84"/>
    </row>
    <row r="56" spans="1:44" x14ac:dyDescent="0.2">
      <c r="R56" s="439" t="s">
        <v>865</v>
      </c>
      <c r="S56" s="439" t="s">
        <v>871</v>
      </c>
      <c r="T56" s="440" t="s">
        <v>872</v>
      </c>
      <c r="U56" s="439" t="s">
        <v>873</v>
      </c>
      <c r="W56" s="84"/>
    </row>
    <row r="57" spans="1:44" x14ac:dyDescent="0.2">
      <c r="R57" s="439"/>
      <c r="S57" s="439"/>
      <c r="T57" s="658"/>
      <c r="U57" s="440"/>
      <c r="W57" s="84"/>
    </row>
    <row r="58" spans="1:44" ht="15.75" customHeight="1" x14ac:dyDescent="0.2">
      <c r="A58" s="679" t="s">
        <v>743</v>
      </c>
      <c r="B58" s="680"/>
      <c r="C58" s="282" t="s">
        <v>505</v>
      </c>
      <c r="D58" s="685" t="s">
        <v>877</v>
      </c>
      <c r="E58" s="686"/>
      <c r="F58" s="686"/>
      <c r="G58" s="686"/>
      <c r="H58" s="687"/>
      <c r="I58" s="287">
        <f>26103.6734693878/10</f>
        <v>2610.36734693878</v>
      </c>
      <c r="J58" s="296">
        <f>I58/22</f>
        <v>118.65306122449</v>
      </c>
      <c r="K58" s="297">
        <f>I58/J58</f>
        <v>22</v>
      </c>
      <c r="L58" s="303">
        <v>2</v>
      </c>
      <c r="M58" s="299">
        <f>L58*J58</f>
        <v>237.30612244898001</v>
      </c>
      <c r="N58" s="299">
        <v>45</v>
      </c>
      <c r="O58" s="301">
        <f>N58/60</f>
        <v>0.75</v>
      </c>
      <c r="P58" s="302">
        <f>O58+M58/60</f>
        <v>4.7051020408163335</v>
      </c>
      <c r="R58" s="332">
        <f>I58</f>
        <v>2610.36734693878</v>
      </c>
      <c r="S58" s="332">
        <f>R58/22</f>
        <v>118.65306122449</v>
      </c>
      <c r="T58" s="690">
        <f>O63/(M64-M63)</f>
        <v>2.7489531999598698</v>
      </c>
      <c r="U58" s="331">
        <f>$T$58*S58</f>
        <v>326.17171233809614</v>
      </c>
      <c r="W58" s="84"/>
    </row>
    <row r="59" spans="1:44" x14ac:dyDescent="0.2">
      <c r="A59" s="681"/>
      <c r="B59" s="682"/>
      <c r="C59" s="282" t="s">
        <v>507</v>
      </c>
      <c r="D59" s="685" t="s">
        <v>878</v>
      </c>
      <c r="E59" s="686"/>
      <c r="F59" s="686"/>
      <c r="G59" s="686"/>
      <c r="H59" s="687"/>
      <c r="I59" s="287">
        <f>17402.4489795918/10</f>
        <v>1740.2448979591802</v>
      </c>
      <c r="J59" s="296">
        <f>I59/22</f>
        <v>79.10204081632638</v>
      </c>
      <c r="K59" s="297">
        <f>I59/J59</f>
        <v>21.999999999999996</v>
      </c>
      <c r="L59" s="303">
        <v>2</v>
      </c>
      <c r="M59" s="299">
        <f>L59*J59</f>
        <v>158.20408163265276</v>
      </c>
      <c r="N59" s="299">
        <v>60</v>
      </c>
      <c r="O59" s="301">
        <f>N59/60</f>
        <v>1</v>
      </c>
      <c r="P59" s="302">
        <f>O59+M59/60</f>
        <v>3.6367346938775458</v>
      </c>
      <c r="R59" s="332">
        <f>I59</f>
        <v>1740.2448979591802</v>
      </c>
      <c r="S59" s="332">
        <f>R59/22</f>
        <v>79.10204081632638</v>
      </c>
      <c r="T59" s="691"/>
      <c r="U59" s="331">
        <f>$T$58*S59</f>
        <v>217.44780822539664</v>
      </c>
    </row>
    <row r="60" spans="1:44" x14ac:dyDescent="0.2">
      <c r="A60" s="681"/>
      <c r="B60" s="682"/>
      <c r="C60" s="304" t="s">
        <v>78</v>
      </c>
      <c r="D60" s="685" t="s">
        <v>79</v>
      </c>
      <c r="E60" s="686"/>
      <c r="F60" s="686"/>
      <c r="G60" s="686"/>
      <c r="H60" s="687"/>
      <c r="I60" s="295">
        <f>24042.8571428571/10</f>
        <v>2404.2857142857101</v>
      </c>
      <c r="J60" s="296">
        <f>I60/22</f>
        <v>109.28571428571409</v>
      </c>
      <c r="K60" s="297">
        <f>I60/J60</f>
        <v>22</v>
      </c>
      <c r="L60" s="298">
        <v>2</v>
      </c>
      <c r="M60" s="299">
        <f>L60*J60</f>
        <v>218.57142857142819</v>
      </c>
      <c r="N60" s="300">
        <v>45</v>
      </c>
      <c r="O60" s="301">
        <f>N60/60</f>
        <v>0.75</v>
      </c>
      <c r="P60" s="302">
        <f>O60+M60/60</f>
        <v>4.392857142857137</v>
      </c>
      <c r="R60" s="332">
        <f>I60</f>
        <v>2404.2857142857101</v>
      </c>
      <c r="S60" s="332">
        <f>R60/22</f>
        <v>109.28571428571409</v>
      </c>
      <c r="T60" s="691"/>
      <c r="U60" s="331">
        <f>$T$58*S60</f>
        <v>300.42131399561379</v>
      </c>
    </row>
    <row r="61" spans="1:44" x14ac:dyDescent="0.2">
      <c r="A61" s="683"/>
      <c r="B61" s="684"/>
      <c r="C61" s="304" t="s">
        <v>82</v>
      </c>
      <c r="D61" s="685" t="s">
        <v>83</v>
      </c>
      <c r="E61" s="686"/>
      <c r="F61" s="686"/>
      <c r="G61" s="686"/>
      <c r="H61" s="687"/>
      <c r="I61" s="295">
        <f>10304.0816326531/10</f>
        <v>1030.4081632653101</v>
      </c>
      <c r="J61" s="296">
        <f>I61/22</f>
        <v>46.83673469387773</v>
      </c>
      <c r="K61" s="297">
        <f>I61/J61</f>
        <v>22</v>
      </c>
      <c r="L61" s="298">
        <v>2</v>
      </c>
      <c r="M61" s="299">
        <f>L61*J61</f>
        <v>93.673469387755461</v>
      </c>
      <c r="N61" s="300">
        <v>60</v>
      </c>
      <c r="O61" s="301">
        <f>N61/60</f>
        <v>1</v>
      </c>
      <c r="P61" s="302">
        <f>O61+M61/60</f>
        <v>2.5612244897959244</v>
      </c>
      <c r="R61" s="332">
        <f>I61</f>
        <v>1030.4081632653101</v>
      </c>
      <c r="S61" s="332">
        <f>R61/22</f>
        <v>46.83673469387773</v>
      </c>
      <c r="T61" s="692"/>
      <c r="U61" s="331">
        <f>$T$58*S61</f>
        <v>128.75199171240664</v>
      </c>
    </row>
    <row r="62" spans="1:44" x14ac:dyDescent="0.2">
      <c r="L62" t="s">
        <v>874</v>
      </c>
      <c r="M62" s="23">
        <f>SUM(M58:M61)</f>
        <v>707.75510204081638</v>
      </c>
    </row>
    <row r="63" spans="1:44" x14ac:dyDescent="0.2">
      <c r="L63" t="s">
        <v>875</v>
      </c>
      <c r="M63" s="283">
        <f>M62/60</f>
        <v>11.795918367346939</v>
      </c>
      <c r="N63" s="3"/>
      <c r="O63" s="284">
        <f>SUM(O58:O61)</f>
        <v>3.5</v>
      </c>
      <c r="P63" s="285">
        <f>P58+P59+P60+P61</f>
        <v>15.295918367346941</v>
      </c>
    </row>
    <row r="64" spans="1:44" x14ac:dyDescent="0.2">
      <c r="L64" t="s">
        <v>876</v>
      </c>
      <c r="M64">
        <f>14.33333*L37*M37</f>
        <v>13.069130293999999</v>
      </c>
    </row>
    <row r="66" spans="1:33" ht="22" x14ac:dyDescent="0.3">
      <c r="A66" s="664" t="s">
        <v>879</v>
      </c>
      <c r="B66" s="664"/>
      <c r="C66" s="664"/>
      <c r="D66" s="664"/>
      <c r="E66" s="664"/>
      <c r="F66" s="664"/>
      <c r="G66" s="664"/>
      <c r="H66" s="664"/>
      <c r="I66" s="664"/>
      <c r="J66" s="664"/>
      <c r="K66" s="664"/>
      <c r="L66" s="664"/>
      <c r="M66" s="664"/>
      <c r="N66" s="664"/>
      <c r="O66" s="664"/>
      <c r="P66" s="664"/>
      <c r="R66" s="664" t="s">
        <v>880</v>
      </c>
      <c r="S66" s="664"/>
      <c r="T66" s="664"/>
      <c r="U66" s="664"/>
      <c r="V66" s="664"/>
      <c r="W66" s="664"/>
      <c r="X66" s="664"/>
      <c r="Y66" s="664"/>
      <c r="Z66" s="664"/>
      <c r="AA66" s="664"/>
      <c r="AB66" s="664"/>
      <c r="AC66" s="664"/>
      <c r="AD66" s="664"/>
      <c r="AE66" s="664"/>
      <c r="AF66" s="664"/>
      <c r="AG66" s="664"/>
    </row>
    <row r="68" spans="1:33" x14ac:dyDescent="0.2">
      <c r="I68" s="439" t="s">
        <v>865</v>
      </c>
      <c r="J68" s="440" t="s">
        <v>632</v>
      </c>
      <c r="K68" s="440" t="s">
        <v>866</v>
      </c>
      <c r="L68" s="440" t="s">
        <v>867</v>
      </c>
      <c r="M68" s="439" t="s">
        <v>868</v>
      </c>
      <c r="N68" s="439" t="s">
        <v>819</v>
      </c>
      <c r="O68" s="439" t="s">
        <v>869</v>
      </c>
      <c r="P68" s="439" t="s">
        <v>870</v>
      </c>
      <c r="Z68" s="439" t="s">
        <v>865</v>
      </c>
      <c r="AA68" s="440" t="s">
        <v>632</v>
      </c>
      <c r="AB68" s="440" t="s">
        <v>866</v>
      </c>
      <c r="AC68" s="440" t="s">
        <v>867</v>
      </c>
      <c r="AD68" s="439" t="s">
        <v>868</v>
      </c>
      <c r="AE68" s="439" t="s">
        <v>819</v>
      </c>
      <c r="AF68" s="439" t="s">
        <v>869</v>
      </c>
      <c r="AG68" s="439" t="s">
        <v>870</v>
      </c>
    </row>
    <row r="69" spans="1:33" x14ac:dyDescent="0.2">
      <c r="I69" s="439"/>
      <c r="J69" s="440"/>
      <c r="K69" s="440"/>
      <c r="L69" s="440"/>
      <c r="M69" s="439"/>
      <c r="N69" s="439"/>
      <c r="O69" s="440"/>
      <c r="P69" s="440"/>
      <c r="Z69" s="439"/>
      <c r="AA69" s="440"/>
      <c r="AB69" s="440"/>
      <c r="AC69" s="440"/>
      <c r="AD69" s="439"/>
      <c r="AE69" s="439"/>
      <c r="AF69" s="440"/>
      <c r="AG69" s="440"/>
    </row>
    <row r="70" spans="1:33" x14ac:dyDescent="0.2">
      <c r="A70" s="679" t="s">
        <v>743</v>
      </c>
      <c r="B70" s="680"/>
      <c r="C70" s="282" t="s">
        <v>505</v>
      </c>
      <c r="D70" s="685" t="s">
        <v>877</v>
      </c>
      <c r="E70" s="686"/>
      <c r="F70" s="686"/>
      <c r="G70" s="686"/>
      <c r="H70" s="687"/>
      <c r="I70" s="287">
        <f>26103.6734693878/10</f>
        <v>2610.36734693878</v>
      </c>
      <c r="J70" s="296">
        <f>L11/10</f>
        <v>652.59183673469386</v>
      </c>
      <c r="K70" s="297">
        <f>I70/J70</f>
        <v>4.0000000000000071</v>
      </c>
      <c r="L70" s="303">
        <v>2</v>
      </c>
      <c r="M70" s="299">
        <f>L70*J70</f>
        <v>1305.1836734693877</v>
      </c>
      <c r="N70" s="299">
        <v>45</v>
      </c>
      <c r="O70" s="301">
        <f>N70/60</f>
        <v>0.75</v>
      </c>
      <c r="P70" s="302">
        <f>O70+M70/60</f>
        <v>22.503061224489795</v>
      </c>
      <c r="R70" s="679" t="s">
        <v>743</v>
      </c>
      <c r="S70" s="680"/>
      <c r="T70" s="282" t="s">
        <v>505</v>
      </c>
      <c r="U70" s="685" t="s">
        <v>877</v>
      </c>
      <c r="V70" s="686"/>
      <c r="W70" s="686"/>
      <c r="X70" s="686"/>
      <c r="Y70" s="687"/>
      <c r="Z70" s="287">
        <f>26103.6734693878/10</f>
        <v>2610.36734693878</v>
      </c>
      <c r="AA70" s="296">
        <f>U58</f>
        <v>326.17171233809614</v>
      </c>
      <c r="AB70" s="297">
        <f>Z70/AA70</f>
        <v>8.0030463961049474</v>
      </c>
      <c r="AC70" s="303">
        <v>2</v>
      </c>
      <c r="AD70" s="299">
        <f>AC70*AA70</f>
        <v>652.34342467619229</v>
      </c>
      <c r="AE70" s="299">
        <v>45</v>
      </c>
      <c r="AF70" s="301">
        <f>AE70/60</f>
        <v>0.75</v>
      </c>
      <c r="AG70" s="302">
        <f>AF70+AD70/60</f>
        <v>11.622390411269871</v>
      </c>
    </row>
    <row r="71" spans="1:33" x14ac:dyDescent="0.2">
      <c r="A71" s="681"/>
      <c r="B71" s="682"/>
      <c r="C71" s="282" t="s">
        <v>507</v>
      </c>
      <c r="D71" s="685" t="s">
        <v>878</v>
      </c>
      <c r="E71" s="686"/>
      <c r="F71" s="686"/>
      <c r="G71" s="686"/>
      <c r="H71" s="687"/>
      <c r="I71" s="287">
        <f>17402.4489795918/10</f>
        <v>1740.2448979591802</v>
      </c>
      <c r="J71" s="296">
        <f>L12/10</f>
        <v>435.06122448979596</v>
      </c>
      <c r="K71" s="297">
        <f>I71/J71</f>
        <v>3.9999999999999916</v>
      </c>
      <c r="L71" s="303">
        <v>2</v>
      </c>
      <c r="M71" s="299">
        <f>L71*J71</f>
        <v>870.12244897959192</v>
      </c>
      <c r="N71" s="299">
        <v>60</v>
      </c>
      <c r="O71" s="301">
        <f>N71/60</f>
        <v>1</v>
      </c>
      <c r="P71" s="302">
        <f>O71+M71/60</f>
        <v>15.502040816326533</v>
      </c>
      <c r="R71" s="681"/>
      <c r="S71" s="682"/>
      <c r="T71" s="282" t="s">
        <v>507</v>
      </c>
      <c r="U71" s="685" t="s">
        <v>878</v>
      </c>
      <c r="V71" s="686"/>
      <c r="W71" s="686"/>
      <c r="X71" s="686"/>
      <c r="Y71" s="687"/>
      <c r="Z71" s="287">
        <f>17402.4489795918/10</f>
        <v>1740.2448979591802</v>
      </c>
      <c r="AA71" s="296">
        <f t="shared" ref="AA71:AA73" si="13">U59</f>
        <v>217.44780822539664</v>
      </c>
      <c r="AB71" s="297">
        <f>Z71/AA71</f>
        <v>8.0030463961049474</v>
      </c>
      <c r="AC71" s="303">
        <v>2</v>
      </c>
      <c r="AD71" s="299">
        <f>AC71*AA71</f>
        <v>434.89561645079328</v>
      </c>
      <c r="AE71" s="299">
        <v>60</v>
      </c>
      <c r="AF71" s="301">
        <f>AE71/60</f>
        <v>1</v>
      </c>
      <c r="AG71" s="302">
        <f>AF71+AD71/60</f>
        <v>8.2482602741798878</v>
      </c>
    </row>
    <row r="72" spans="1:33" x14ac:dyDescent="0.2">
      <c r="A72" s="681"/>
      <c r="B72" s="682"/>
      <c r="C72" s="304" t="s">
        <v>78</v>
      </c>
      <c r="D72" s="685" t="s">
        <v>79</v>
      </c>
      <c r="E72" s="686"/>
      <c r="F72" s="686"/>
      <c r="G72" s="686"/>
      <c r="H72" s="687"/>
      <c r="I72" s="295">
        <f>24042.8571428571/10</f>
        <v>2404.2857142857101</v>
      </c>
      <c r="J72" s="296">
        <f>L13/10</f>
        <v>601.07142857142867</v>
      </c>
      <c r="K72" s="297">
        <f>I72/J72</f>
        <v>3.9999999999999925</v>
      </c>
      <c r="L72" s="298">
        <v>2</v>
      </c>
      <c r="M72" s="299">
        <f>L72*J72</f>
        <v>1202.1428571428573</v>
      </c>
      <c r="N72" s="300">
        <v>45</v>
      </c>
      <c r="O72" s="301">
        <f>N72/60</f>
        <v>0.75</v>
      </c>
      <c r="P72" s="302">
        <f>O72+M72/60</f>
        <v>20.785714285714288</v>
      </c>
      <c r="R72" s="681"/>
      <c r="S72" s="682"/>
      <c r="T72" s="304" t="s">
        <v>78</v>
      </c>
      <c r="U72" s="685" t="s">
        <v>79</v>
      </c>
      <c r="V72" s="686"/>
      <c r="W72" s="686"/>
      <c r="X72" s="686"/>
      <c r="Y72" s="687"/>
      <c r="Z72" s="295">
        <f>24042.8571428571/10</f>
        <v>2404.2857142857101</v>
      </c>
      <c r="AA72" s="296">
        <f t="shared" si="13"/>
        <v>300.42131399561379</v>
      </c>
      <c r="AB72" s="297">
        <f>Z72/AA72</f>
        <v>8.0030463961049492</v>
      </c>
      <c r="AC72" s="298">
        <v>2</v>
      </c>
      <c r="AD72" s="299">
        <f>AC72*AA72</f>
        <v>600.84262799122757</v>
      </c>
      <c r="AE72" s="300">
        <v>45</v>
      </c>
      <c r="AF72" s="301">
        <f>AE72/60</f>
        <v>0.75</v>
      </c>
      <c r="AG72" s="302">
        <f>AF72+AD72/60</f>
        <v>10.764043799853793</v>
      </c>
    </row>
    <row r="73" spans="1:33" x14ac:dyDescent="0.2">
      <c r="A73" s="683"/>
      <c r="B73" s="684"/>
      <c r="C73" s="304" t="s">
        <v>82</v>
      </c>
      <c r="D73" s="685" t="s">
        <v>83</v>
      </c>
      <c r="E73" s="686"/>
      <c r="F73" s="686"/>
      <c r="G73" s="686"/>
      <c r="H73" s="687"/>
      <c r="I73" s="295">
        <f>10304.0816326531/10</f>
        <v>1030.4081632653101</v>
      </c>
      <c r="J73" s="296">
        <f>L14/10</f>
        <v>257.60204081632656</v>
      </c>
      <c r="K73" s="297">
        <f>I73/J73</f>
        <v>4.0000000000000151</v>
      </c>
      <c r="L73" s="298">
        <v>2</v>
      </c>
      <c r="M73" s="299">
        <f>L73*J73</f>
        <v>515.20408163265313</v>
      </c>
      <c r="N73" s="300">
        <v>60</v>
      </c>
      <c r="O73" s="301">
        <f>N73/60</f>
        <v>1</v>
      </c>
      <c r="P73" s="302">
        <f>O73+M73/60</f>
        <v>9.5867346938775526</v>
      </c>
      <c r="R73" s="683"/>
      <c r="S73" s="684"/>
      <c r="T73" s="304" t="s">
        <v>82</v>
      </c>
      <c r="U73" s="685" t="s">
        <v>83</v>
      </c>
      <c r="V73" s="686"/>
      <c r="W73" s="686"/>
      <c r="X73" s="686"/>
      <c r="Y73" s="687"/>
      <c r="Z73" s="295">
        <f>10304.0816326531/10</f>
        <v>1030.4081632653101</v>
      </c>
      <c r="AA73" s="296">
        <f t="shared" si="13"/>
        <v>128.75199171240664</v>
      </c>
      <c r="AB73" s="297">
        <f>Z73/AA73</f>
        <v>8.0030463961049492</v>
      </c>
      <c r="AC73" s="298">
        <v>2</v>
      </c>
      <c r="AD73" s="299">
        <f>AC73*AA73</f>
        <v>257.50398342481327</v>
      </c>
      <c r="AE73" s="300">
        <v>60</v>
      </c>
      <c r="AF73" s="301">
        <f>AE73/60</f>
        <v>1</v>
      </c>
      <c r="AG73" s="302">
        <f>AF73+AD73/60</f>
        <v>5.2917330570802212</v>
      </c>
    </row>
    <row r="74" spans="1:33" x14ac:dyDescent="0.2">
      <c r="L74" t="s">
        <v>874</v>
      </c>
      <c r="M74" s="23">
        <f>SUM(M70:M73)</f>
        <v>3892.6530612244901</v>
      </c>
      <c r="AC74" t="s">
        <v>874</v>
      </c>
      <c r="AD74" s="23">
        <f>SUM(AD70:AD73)</f>
        <v>1945.5856525430263</v>
      </c>
    </row>
    <row r="75" spans="1:33" x14ac:dyDescent="0.2">
      <c r="L75" t="s">
        <v>875</v>
      </c>
      <c r="M75" s="283">
        <f>M74/60</f>
        <v>64.877551020408163</v>
      </c>
      <c r="N75" s="3"/>
      <c r="O75" s="284">
        <f>SUM(O70:O73)</f>
        <v>3.5</v>
      </c>
      <c r="P75" s="285">
        <f>P70+P71+P72+P73</f>
        <v>68.377551020408163</v>
      </c>
      <c r="AC75" t="s">
        <v>875</v>
      </c>
      <c r="AD75" s="283">
        <f>AD74/60</f>
        <v>32.42642754238377</v>
      </c>
      <c r="AE75" s="3"/>
      <c r="AF75" s="284">
        <f>SUM(AF70:AF73)</f>
        <v>3.5</v>
      </c>
      <c r="AG75" s="285">
        <f>AG70+AG71+AG72+AG73</f>
        <v>35.926427542383777</v>
      </c>
    </row>
    <row r="76" spans="1:33" x14ac:dyDescent="0.2">
      <c r="L76" t="s">
        <v>876</v>
      </c>
      <c r="M76">
        <f>14.33333*L37*M37</f>
        <v>13.069130293999999</v>
      </c>
      <c r="AC76" t="s">
        <v>876</v>
      </c>
      <c r="AD76">
        <f>14.33333*L37*M37</f>
        <v>13.069130293999999</v>
      </c>
    </row>
    <row r="78" spans="1:33" x14ac:dyDescent="0.2">
      <c r="I78" t="s">
        <v>881</v>
      </c>
      <c r="N78">
        <f>P75/M76</f>
        <v>5.2319893889037212</v>
      </c>
      <c r="O78" t="s">
        <v>882</v>
      </c>
      <c r="Z78" t="s">
        <v>881</v>
      </c>
      <c r="AE78">
        <f>AG75/AD76</f>
        <v>2.7489531999598702</v>
      </c>
      <c r="AF78" t="s">
        <v>882</v>
      </c>
    </row>
    <row r="79" spans="1:33" x14ac:dyDescent="0.2">
      <c r="I79" t="s">
        <v>883</v>
      </c>
      <c r="N79">
        <f>22/N78</f>
        <v>4.2049014943835248</v>
      </c>
      <c r="O79" t="s">
        <v>884</v>
      </c>
      <c r="Z79" t="s">
        <v>883</v>
      </c>
      <c r="AE79">
        <f>22/AE78</f>
        <v>8.0030463961049474</v>
      </c>
      <c r="AF79" t="s">
        <v>884</v>
      </c>
    </row>
    <row r="80" spans="1:33" x14ac:dyDescent="0.2">
      <c r="I80" t="s">
        <v>885</v>
      </c>
      <c r="N80">
        <f>K70</f>
        <v>4.0000000000000071</v>
      </c>
      <c r="O80" t="s">
        <v>886</v>
      </c>
      <c r="Z80" t="s">
        <v>885</v>
      </c>
      <c r="AE80">
        <f>AB70</f>
        <v>8.0030463961049474</v>
      </c>
      <c r="AF80" t="s">
        <v>886</v>
      </c>
    </row>
    <row r="81" spans="9:50" x14ac:dyDescent="0.2">
      <c r="I81" s="130" t="s">
        <v>887</v>
      </c>
      <c r="N81">
        <f>(N79-N80)*N78</f>
        <v>1.07204244438508</v>
      </c>
      <c r="O81" t="s">
        <v>882</v>
      </c>
      <c r="Z81" s="130" t="s">
        <v>887</v>
      </c>
      <c r="AE81">
        <f>ROUND((AE79-AE80)*AE78,5)</f>
        <v>0</v>
      </c>
      <c r="AF81" t="s">
        <v>882</v>
      </c>
    </row>
    <row r="82" spans="9:50" x14ac:dyDescent="0.2">
      <c r="I82" s="130" t="s">
        <v>888</v>
      </c>
      <c r="N82">
        <f>(N79*SUM(J70:J73)-N80*SUM(J70:J73))</f>
        <v>398.80521468073675</v>
      </c>
      <c r="O82" t="s">
        <v>889</v>
      </c>
      <c r="Z82" s="130" t="s">
        <v>888</v>
      </c>
      <c r="AE82">
        <v>0</v>
      </c>
      <c r="AF82" t="s">
        <v>889</v>
      </c>
    </row>
    <row r="83" spans="9:50" x14ac:dyDescent="0.2">
      <c r="I83" s="130" t="s">
        <v>890</v>
      </c>
      <c r="N83">
        <f>ROUNDUP(MAX(J70/6,J71/4,J72/6,J73/4),0)</f>
        <v>109</v>
      </c>
      <c r="O83" t="s">
        <v>185</v>
      </c>
      <c r="Z83" s="130" t="s">
        <v>890</v>
      </c>
      <c r="AE83">
        <f>ROUNDUP(MAX(AA70/6,AA71/4,AA72/6,AA73/4),0)</f>
        <v>55</v>
      </c>
      <c r="AF83" t="s">
        <v>185</v>
      </c>
    </row>
    <row r="84" spans="9:50" x14ac:dyDescent="0.2">
      <c r="I84" s="130" t="s">
        <v>891</v>
      </c>
      <c r="N84">
        <f>ROUNDUP(SUM(J70/6,J71/4,J72/6,J73/4),0)</f>
        <v>383</v>
      </c>
      <c r="O84" t="s">
        <v>185</v>
      </c>
      <c r="Z84" s="130" t="s">
        <v>891</v>
      </c>
      <c r="AE84">
        <f>ROUNDUP(SUM(AA70/6,AA71/4,AA72/6,AA73/4),0)</f>
        <v>191</v>
      </c>
      <c r="AF84" t="s">
        <v>185</v>
      </c>
    </row>
    <row r="85" spans="9:50" x14ac:dyDescent="0.2">
      <c r="I85" s="130" t="s">
        <v>892</v>
      </c>
      <c r="N85">
        <f>N84*11</f>
        <v>4213</v>
      </c>
      <c r="O85" t="s">
        <v>185</v>
      </c>
      <c r="Z85" s="130" t="s">
        <v>892</v>
      </c>
      <c r="AE85">
        <f>AE84*11</f>
        <v>2101</v>
      </c>
      <c r="AF85" t="s">
        <v>185</v>
      </c>
    </row>
    <row r="86" spans="9:50" x14ac:dyDescent="0.2">
      <c r="I86" s="130"/>
      <c r="Z86" s="130"/>
    </row>
    <row r="87" spans="9:50" ht="22" x14ac:dyDescent="0.3">
      <c r="I87" s="130"/>
      <c r="R87" s="664" t="s">
        <v>893</v>
      </c>
      <c r="S87" s="664"/>
      <c r="T87" s="664"/>
      <c r="U87" s="664"/>
      <c r="V87" s="664"/>
      <c r="W87" s="664"/>
      <c r="X87" s="664"/>
      <c r="Y87" s="664"/>
      <c r="Z87" s="664"/>
      <c r="AA87" s="664"/>
      <c r="AB87" s="664"/>
      <c r="AC87" s="664"/>
      <c r="AD87" s="664"/>
      <c r="AE87" s="664"/>
      <c r="AF87" s="664"/>
      <c r="AG87" s="664"/>
      <c r="AI87" s="664" t="s">
        <v>894</v>
      </c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</row>
    <row r="88" spans="9:50" x14ac:dyDescent="0.2">
      <c r="I88" s="130"/>
    </row>
    <row r="89" spans="9:50" x14ac:dyDescent="0.2">
      <c r="I89" s="130"/>
      <c r="Z89" s="439" t="s">
        <v>865</v>
      </c>
      <c r="AA89" s="440" t="s">
        <v>632</v>
      </c>
      <c r="AB89" s="440" t="s">
        <v>866</v>
      </c>
      <c r="AC89" s="440" t="s">
        <v>867</v>
      </c>
      <c r="AD89" s="439" t="s">
        <v>868</v>
      </c>
      <c r="AE89" s="439" t="s">
        <v>819</v>
      </c>
      <c r="AF89" s="439" t="s">
        <v>869</v>
      </c>
      <c r="AG89" s="439" t="s">
        <v>870</v>
      </c>
      <c r="AQ89" s="439" t="s">
        <v>865</v>
      </c>
      <c r="AR89" s="440" t="s">
        <v>632</v>
      </c>
      <c r="AS89" s="440" t="s">
        <v>866</v>
      </c>
      <c r="AT89" s="440" t="s">
        <v>867</v>
      </c>
      <c r="AU89" s="439" t="s">
        <v>868</v>
      </c>
      <c r="AV89" s="439" t="s">
        <v>819</v>
      </c>
      <c r="AW89" s="439" t="s">
        <v>869</v>
      </c>
      <c r="AX89" s="439" t="s">
        <v>870</v>
      </c>
    </row>
    <row r="90" spans="9:50" x14ac:dyDescent="0.2">
      <c r="I90" s="130"/>
      <c r="Z90" s="387"/>
      <c r="AA90" s="389"/>
      <c r="AB90" s="389"/>
      <c r="AC90" s="389"/>
      <c r="AD90" s="387"/>
      <c r="AE90" s="387"/>
      <c r="AF90" s="389"/>
      <c r="AG90" s="389"/>
      <c r="AQ90" s="387"/>
      <c r="AR90" s="389"/>
      <c r="AS90" s="389"/>
      <c r="AT90" s="389"/>
      <c r="AU90" s="387"/>
      <c r="AV90" s="387"/>
      <c r="AW90" s="389"/>
      <c r="AX90" s="389"/>
    </row>
    <row r="91" spans="9:50" ht="15.75" customHeight="1" x14ac:dyDescent="0.2">
      <c r="I91" s="130"/>
      <c r="R91" s="439" t="s">
        <v>832</v>
      </c>
      <c r="S91" s="439"/>
      <c r="T91" s="8" t="s">
        <v>502</v>
      </c>
      <c r="U91" s="429" t="s">
        <v>344</v>
      </c>
      <c r="V91" s="429"/>
      <c r="W91" s="429"/>
      <c r="X91" s="429"/>
      <c r="Y91" s="429"/>
      <c r="Z91" s="287">
        <f>25581.6/8</f>
        <v>3197.7</v>
      </c>
      <c r="AA91" s="373">
        <f>U44</f>
        <v>232.3061095819715</v>
      </c>
      <c r="AB91" s="374">
        <f>Z91/AA91</f>
        <v>13.765027556761954</v>
      </c>
      <c r="AC91" s="375">
        <v>2.5</v>
      </c>
      <c r="AD91" s="332">
        <f>AC91*AA91</f>
        <v>580.76527395492872</v>
      </c>
      <c r="AE91" s="332">
        <v>90</v>
      </c>
      <c r="AF91" s="376">
        <f>AE91/60</f>
        <v>1.5</v>
      </c>
      <c r="AG91" s="377">
        <f>AF91+AD91/60</f>
        <v>11.179421232582145</v>
      </c>
      <c r="AI91" s="439" t="s">
        <v>832</v>
      </c>
      <c r="AJ91" s="439"/>
      <c r="AK91" s="8" t="s">
        <v>504</v>
      </c>
      <c r="AL91" s="429" t="s">
        <v>345</v>
      </c>
      <c r="AM91" s="429"/>
      <c r="AN91" s="429"/>
      <c r="AO91" s="429"/>
      <c r="AP91" s="429"/>
      <c r="AQ91" s="287">
        <f>17054.4/4</f>
        <v>4263.6000000000004</v>
      </c>
      <c r="AR91" s="373">
        <f>U51</f>
        <v>1154.5387544209282</v>
      </c>
      <c r="AS91" s="374">
        <f>AQ91/AR91</f>
        <v>3.6929033206325386</v>
      </c>
      <c r="AT91" s="375">
        <v>2.5</v>
      </c>
      <c r="AU91" s="332">
        <f>AT91*AR91</f>
        <v>2886.3468860523203</v>
      </c>
      <c r="AV91" s="332">
        <v>120</v>
      </c>
      <c r="AW91" s="376">
        <f>AV91/60</f>
        <v>2</v>
      </c>
      <c r="AX91" s="377">
        <f>AW91+AU91/60</f>
        <v>50.10578143420534</v>
      </c>
    </row>
    <row r="92" spans="9:50" x14ac:dyDescent="0.2">
      <c r="R92" s="439"/>
      <c r="S92" s="439"/>
      <c r="T92" s="313" t="s">
        <v>72</v>
      </c>
      <c r="U92" s="429" t="s">
        <v>73</v>
      </c>
      <c r="V92" s="429"/>
      <c r="W92" s="429"/>
      <c r="X92" s="429"/>
      <c r="Y92" s="429"/>
      <c r="Z92" s="295">
        <f>24042.8571428571/8</f>
        <v>3005.3571428571377</v>
      </c>
      <c r="AA92" s="373">
        <f>U45</f>
        <v>218.33280975749165</v>
      </c>
      <c r="AB92" s="374">
        <f>Z92/AA92</f>
        <v>13.765027556761954</v>
      </c>
      <c r="AC92" s="375">
        <v>2.5</v>
      </c>
      <c r="AD92" s="332">
        <f>AC92*AA92</f>
        <v>545.83202439372917</v>
      </c>
      <c r="AE92" s="332">
        <v>90</v>
      </c>
      <c r="AF92" s="376">
        <f>AE92/60</f>
        <v>1.5</v>
      </c>
      <c r="AG92" s="377">
        <f>AF92+AD92/60</f>
        <v>10.597200406562154</v>
      </c>
      <c r="AH92" s="37"/>
      <c r="AI92" s="439"/>
      <c r="AJ92" s="439"/>
      <c r="AK92" s="313" t="s">
        <v>75</v>
      </c>
      <c r="AL92" s="429" t="s">
        <v>76</v>
      </c>
      <c r="AM92" s="429"/>
      <c r="AN92" s="429"/>
      <c r="AO92" s="429"/>
      <c r="AP92" s="429"/>
      <c r="AQ92" s="295">
        <f>10304.0816326531/4</f>
        <v>2576.0204081632751</v>
      </c>
      <c r="AR92" s="373">
        <f>U52</f>
        <v>697.55966633917774</v>
      </c>
      <c r="AS92" s="374">
        <f>AQ92/AR92</f>
        <v>3.6929033206325386</v>
      </c>
      <c r="AT92" s="378">
        <v>2.5</v>
      </c>
      <c r="AU92" s="332">
        <f>AT92*AR92</f>
        <v>1743.8991658479445</v>
      </c>
      <c r="AV92" s="333">
        <v>120</v>
      </c>
      <c r="AW92" s="376">
        <f>AV92/60</f>
        <v>2</v>
      </c>
      <c r="AX92" s="377">
        <f>AW92+AU92/60</f>
        <v>31.064986097465741</v>
      </c>
    </row>
    <row r="93" spans="9:50" x14ac:dyDescent="0.2">
      <c r="R93" s="37"/>
      <c r="S93" s="37"/>
      <c r="T93" s="335"/>
      <c r="Z93" s="22"/>
      <c r="AA93" s="9"/>
      <c r="AB93" s="2"/>
      <c r="AC93" s="336"/>
      <c r="AD93" s="23"/>
      <c r="AE93" s="23"/>
      <c r="AF93" s="284"/>
      <c r="AG93" s="285"/>
      <c r="AH93" s="33"/>
      <c r="AI93" s="37"/>
      <c r="AJ93" s="37"/>
      <c r="AK93" s="335"/>
      <c r="AQ93" s="22"/>
      <c r="AR93" s="9"/>
      <c r="AS93" s="2"/>
      <c r="AT93" s="336"/>
      <c r="AU93" s="23"/>
      <c r="AV93" s="23"/>
      <c r="AW93" s="284"/>
      <c r="AX93" s="285"/>
    </row>
    <row r="94" spans="9:50" x14ac:dyDescent="0.2">
      <c r="R94" s="37"/>
      <c r="S94" s="37"/>
      <c r="T94" s="335"/>
      <c r="Z94" s="22"/>
      <c r="AA94" s="9"/>
      <c r="AB94" s="2"/>
      <c r="AC94" s="336"/>
      <c r="AD94" s="23"/>
      <c r="AE94" s="23"/>
      <c r="AF94" s="284"/>
      <c r="AG94" s="285"/>
      <c r="AH94" s="33"/>
      <c r="AI94" s="37"/>
      <c r="AJ94" s="37"/>
      <c r="AK94" s="335"/>
      <c r="AQ94" s="22"/>
      <c r="AR94" s="9"/>
      <c r="AS94" s="2"/>
      <c r="AT94" s="336"/>
      <c r="AU94" s="23"/>
      <c r="AV94" s="23"/>
      <c r="AW94" s="284"/>
      <c r="AX94" s="285"/>
    </row>
    <row r="95" spans="9:50" x14ac:dyDescent="0.2">
      <c r="AC95" t="s">
        <v>874</v>
      </c>
      <c r="AD95" s="23">
        <f>SUM(AD91:AD94)</f>
        <v>1126.5972983486579</v>
      </c>
      <c r="AH95" s="33"/>
      <c r="AT95" t="s">
        <v>874</v>
      </c>
      <c r="AU95" s="23">
        <f>SUM(AU91:AU94)</f>
        <v>4630.2460519002652</v>
      </c>
    </row>
    <row r="96" spans="9:50" x14ac:dyDescent="0.2">
      <c r="AC96" t="s">
        <v>875</v>
      </c>
      <c r="AD96" s="283">
        <f>AD95/60</f>
        <v>18.776621639144299</v>
      </c>
      <c r="AE96" s="3"/>
      <c r="AF96" s="284">
        <f>SUM(AF91:AF94)</f>
        <v>3</v>
      </c>
      <c r="AG96" s="285">
        <f>AG91+AG92+AG93+AG94</f>
        <v>21.776621639144299</v>
      </c>
      <c r="AH96" s="33"/>
      <c r="AT96" t="s">
        <v>875</v>
      </c>
      <c r="AU96" s="283">
        <f>AU95/60</f>
        <v>77.170767531671089</v>
      </c>
      <c r="AV96" s="3"/>
      <c r="AW96" s="284">
        <f>SUM(AW91:AW94)</f>
        <v>4</v>
      </c>
      <c r="AX96" s="285">
        <f>AX91+AX92+AX93+AX94</f>
        <v>81.170767531671089</v>
      </c>
    </row>
    <row r="97" spans="26:49" x14ac:dyDescent="0.2">
      <c r="AC97" t="s">
        <v>876</v>
      </c>
      <c r="AD97">
        <f>14.33333*$L$35*$M$35</f>
        <v>13.625263497999999</v>
      </c>
      <c r="AT97" t="s">
        <v>876</v>
      </c>
      <c r="AU97">
        <f>14.33333*$L$35*$M$35</f>
        <v>13.625263497999999</v>
      </c>
    </row>
    <row r="98" spans="26:49" x14ac:dyDescent="0.2">
      <c r="AH98" s="23"/>
    </row>
    <row r="99" spans="26:49" x14ac:dyDescent="0.2">
      <c r="Z99" t="s">
        <v>881</v>
      </c>
      <c r="AE99">
        <f>AG96/AD97</f>
        <v>1.5982532478979805</v>
      </c>
      <c r="AF99" t="s">
        <v>882</v>
      </c>
      <c r="AH99" s="23"/>
      <c r="AQ99" t="s">
        <v>881</v>
      </c>
      <c r="AV99">
        <f>AX96/AU97</f>
        <v>5.9573723138334786</v>
      </c>
      <c r="AW99" t="s">
        <v>882</v>
      </c>
    </row>
    <row r="100" spans="26:49" ht="16.5" customHeight="1" x14ac:dyDescent="0.2">
      <c r="Z100" t="s">
        <v>883</v>
      </c>
      <c r="AE100">
        <f>22/AE99</f>
        <v>13.765027556761956</v>
      </c>
      <c r="AF100" t="s">
        <v>884</v>
      </c>
      <c r="AH100" s="23"/>
      <c r="AQ100" t="s">
        <v>883</v>
      </c>
      <c r="AV100">
        <f>22/AV99</f>
        <v>3.6929033206325381</v>
      </c>
      <c r="AW100" t="s">
        <v>884</v>
      </c>
    </row>
    <row r="101" spans="26:49" x14ac:dyDescent="0.2">
      <c r="Z101" t="s">
        <v>885</v>
      </c>
      <c r="AE101">
        <f>AB91</f>
        <v>13.765027556761954</v>
      </c>
      <c r="AF101" t="s">
        <v>886</v>
      </c>
      <c r="AH101" s="23"/>
      <c r="AQ101" t="s">
        <v>885</v>
      </c>
      <c r="AV101">
        <f>AS91</f>
        <v>3.6929033206325386</v>
      </c>
      <c r="AW101" t="s">
        <v>886</v>
      </c>
    </row>
    <row r="102" spans="26:49" ht="16.5" customHeight="1" x14ac:dyDescent="0.2">
      <c r="Z102" s="130" t="s">
        <v>887</v>
      </c>
      <c r="AE102">
        <f>ROUND((AE100-AE101)*AE99,5)</f>
        <v>0</v>
      </c>
      <c r="AF102" t="s">
        <v>882</v>
      </c>
      <c r="AH102" s="23"/>
      <c r="AQ102" s="130" t="s">
        <v>887</v>
      </c>
      <c r="AV102">
        <f>ROUND((AV100-AV101)*AV99,5)</f>
        <v>0</v>
      </c>
      <c r="AW102" t="s">
        <v>882</v>
      </c>
    </row>
    <row r="103" spans="26:49" x14ac:dyDescent="0.2">
      <c r="Z103" s="130" t="s">
        <v>888</v>
      </c>
      <c r="AE103">
        <v>0</v>
      </c>
      <c r="AF103" t="s">
        <v>889</v>
      </c>
      <c r="AH103" s="23"/>
      <c r="AQ103" s="130" t="s">
        <v>888</v>
      </c>
      <c r="AV103">
        <v>0</v>
      </c>
      <c r="AW103" t="s">
        <v>889</v>
      </c>
    </row>
    <row r="104" spans="26:49" x14ac:dyDescent="0.2">
      <c r="Z104" s="130" t="s">
        <v>890</v>
      </c>
      <c r="AE104">
        <f>ROUNDUP(MAX(AA91/6,AA92/4,AA93/6,AA94/4),0)</f>
        <v>55</v>
      </c>
      <c r="AF104" t="s">
        <v>185</v>
      </c>
      <c r="AH104" s="23"/>
      <c r="AQ104" s="130" t="s">
        <v>890</v>
      </c>
      <c r="AV104">
        <f>ROUNDUP(MAX(AR91/6,AR92/4,AR93/6,AR94/4),0)</f>
        <v>193</v>
      </c>
      <c r="AW104" t="s">
        <v>185</v>
      </c>
    </row>
    <row r="105" spans="26:49" x14ac:dyDescent="0.2">
      <c r="Z105" s="130" t="s">
        <v>891</v>
      </c>
      <c r="AE105">
        <f>ROUNDUP(SUM(AA91/6,AA92/4,AA93/6,AA94/4),0)</f>
        <v>94</v>
      </c>
      <c r="AF105" t="s">
        <v>185</v>
      </c>
      <c r="AH105" s="23"/>
      <c r="AQ105" s="130" t="s">
        <v>891</v>
      </c>
      <c r="AV105">
        <f>ROUNDUP(SUM(AR91/6,AR92/4,AR93/6,AR94/4),0)</f>
        <v>367</v>
      </c>
      <c r="AW105" t="s">
        <v>185</v>
      </c>
    </row>
    <row r="106" spans="26:49" x14ac:dyDescent="0.2">
      <c r="Z106" s="130" t="s">
        <v>892</v>
      </c>
      <c r="AE106">
        <f>AE105*11</f>
        <v>1034</v>
      </c>
      <c r="AF106" t="s">
        <v>185</v>
      </c>
      <c r="AQ106" s="130" t="s">
        <v>892</v>
      </c>
      <c r="AV106">
        <f>AV105*11</f>
        <v>4037</v>
      </c>
      <c r="AW106" t="s">
        <v>185</v>
      </c>
    </row>
  </sheetData>
  <mergeCells count="209">
    <mergeCell ref="P28:P31"/>
    <mergeCell ref="O28:O31"/>
    <mergeCell ref="D21:H21"/>
    <mergeCell ref="R18:R19"/>
    <mergeCell ref="A18:B19"/>
    <mergeCell ref="D12:H12"/>
    <mergeCell ref="D13:H13"/>
    <mergeCell ref="D14:H14"/>
    <mergeCell ref="D11:H11"/>
    <mergeCell ref="K16:K17"/>
    <mergeCell ref="L16:L17"/>
    <mergeCell ref="M16:M17"/>
    <mergeCell ref="A26:B27"/>
    <mergeCell ref="C26:C27"/>
    <mergeCell ref="D26:H27"/>
    <mergeCell ref="I26:J26"/>
    <mergeCell ref="K26:K27"/>
    <mergeCell ref="L26:L27"/>
    <mergeCell ref="R21:R22"/>
    <mergeCell ref="N16:N17"/>
    <mergeCell ref="O16:O17"/>
    <mergeCell ref="P16:P17"/>
    <mergeCell ref="Q16:Q17"/>
    <mergeCell ref="R16:R17"/>
    <mergeCell ref="L37:L38"/>
    <mergeCell ref="M37:M38"/>
    <mergeCell ref="N37:N38"/>
    <mergeCell ref="G35:G36"/>
    <mergeCell ref="H35:K36"/>
    <mergeCell ref="L35:L36"/>
    <mergeCell ref="M35:M36"/>
    <mergeCell ref="N35:N36"/>
    <mergeCell ref="A28:B31"/>
    <mergeCell ref="M28:N31"/>
    <mergeCell ref="D7:H7"/>
    <mergeCell ref="D8:H8"/>
    <mergeCell ref="A6:K6"/>
    <mergeCell ref="D9:H9"/>
    <mergeCell ref="D10:H10"/>
    <mergeCell ref="A7:B10"/>
    <mergeCell ref="A11:B14"/>
    <mergeCell ref="G37:G38"/>
    <mergeCell ref="H37:K38"/>
    <mergeCell ref="D18:H18"/>
    <mergeCell ref="D19:H19"/>
    <mergeCell ref="A21:B22"/>
    <mergeCell ref="D22:H22"/>
    <mergeCell ref="A16:B17"/>
    <mergeCell ref="C16:C17"/>
    <mergeCell ref="D16:H17"/>
    <mergeCell ref="I16:J16"/>
    <mergeCell ref="V1:V5"/>
    <mergeCell ref="A2:C2"/>
    <mergeCell ref="E2:F2"/>
    <mergeCell ref="A4:B5"/>
    <mergeCell ref="C4:C5"/>
    <mergeCell ref="D4:H5"/>
    <mergeCell ref="I4:J4"/>
    <mergeCell ref="K4:K5"/>
    <mergeCell ref="A1:C1"/>
    <mergeCell ref="E1:F1"/>
    <mergeCell ref="L1:L5"/>
    <mergeCell ref="M1:M5"/>
    <mergeCell ref="N1:N5"/>
    <mergeCell ref="O1:O5"/>
    <mergeCell ref="P1:P5"/>
    <mergeCell ref="Q1:Q5"/>
    <mergeCell ref="R1:R5"/>
    <mergeCell ref="S1:S5"/>
    <mergeCell ref="T1:T5"/>
    <mergeCell ref="U1:U5"/>
    <mergeCell ref="A3:C3"/>
    <mergeCell ref="E3:F3"/>
    <mergeCell ref="S28:S31"/>
    <mergeCell ref="T28:T31"/>
    <mergeCell ref="U28:U31"/>
    <mergeCell ref="V28:V31"/>
    <mergeCell ref="R28:R31"/>
    <mergeCell ref="Q28:Q31"/>
    <mergeCell ref="T16:T17"/>
    <mergeCell ref="U16:U17"/>
    <mergeCell ref="V16:V17"/>
    <mergeCell ref="S16:S17"/>
    <mergeCell ref="A51:B52"/>
    <mergeCell ref="D45:H45"/>
    <mergeCell ref="D52:H52"/>
    <mergeCell ref="A44:B45"/>
    <mergeCell ref="D44:H44"/>
    <mergeCell ref="D51:H51"/>
    <mergeCell ref="T26:T27"/>
    <mergeCell ref="U26:U27"/>
    <mergeCell ref="V26:V27"/>
    <mergeCell ref="D28:H28"/>
    <mergeCell ref="D29:H29"/>
    <mergeCell ref="G33:G34"/>
    <mergeCell ref="H33:K34"/>
    <mergeCell ref="L33:L34"/>
    <mergeCell ref="M33:M34"/>
    <mergeCell ref="N33:N34"/>
    <mergeCell ref="M26:N27"/>
    <mergeCell ref="O26:O27"/>
    <mergeCell ref="P26:P27"/>
    <mergeCell ref="Q26:Q27"/>
    <mergeCell ref="R26:R27"/>
    <mergeCell ref="S26:S27"/>
    <mergeCell ref="D31:H31"/>
    <mergeCell ref="D30:H30"/>
    <mergeCell ref="U42:U43"/>
    <mergeCell ref="T44:T45"/>
    <mergeCell ref="O42:O43"/>
    <mergeCell ref="P42:P43"/>
    <mergeCell ref="I42:I43"/>
    <mergeCell ref="J42:J43"/>
    <mergeCell ref="K42:K43"/>
    <mergeCell ref="L42:L43"/>
    <mergeCell ref="M42:M43"/>
    <mergeCell ref="N42:N43"/>
    <mergeCell ref="D73:H73"/>
    <mergeCell ref="I68:I69"/>
    <mergeCell ref="J68:J69"/>
    <mergeCell ref="K68:K69"/>
    <mergeCell ref="L68:L69"/>
    <mergeCell ref="A58:B61"/>
    <mergeCell ref="A40:U41"/>
    <mergeCell ref="T58:T61"/>
    <mergeCell ref="D59:H59"/>
    <mergeCell ref="D58:H58"/>
    <mergeCell ref="D61:H61"/>
    <mergeCell ref="D60:H60"/>
    <mergeCell ref="R49:R50"/>
    <mergeCell ref="S49:S50"/>
    <mergeCell ref="T49:T50"/>
    <mergeCell ref="U49:U50"/>
    <mergeCell ref="T51:T52"/>
    <mergeCell ref="R56:R57"/>
    <mergeCell ref="S56:S57"/>
    <mergeCell ref="T56:T57"/>
    <mergeCell ref="U56:U57"/>
    <mergeCell ref="R42:R43"/>
    <mergeCell ref="S42:S43"/>
    <mergeCell ref="T42:T43"/>
    <mergeCell ref="R70:S73"/>
    <mergeCell ref="U70:Y70"/>
    <mergeCell ref="U71:Y71"/>
    <mergeCell ref="U72:Y72"/>
    <mergeCell ref="U73:Y73"/>
    <mergeCell ref="V11:V14"/>
    <mergeCell ref="M68:M69"/>
    <mergeCell ref="N68:N69"/>
    <mergeCell ref="O68:O69"/>
    <mergeCell ref="P68:P69"/>
    <mergeCell ref="A66:P66"/>
    <mergeCell ref="R66:AG66"/>
    <mergeCell ref="Z68:Z69"/>
    <mergeCell ref="AA68:AA69"/>
    <mergeCell ref="AB68:AB69"/>
    <mergeCell ref="AC68:AC69"/>
    <mergeCell ref="AD68:AD69"/>
    <mergeCell ref="AE68:AE69"/>
    <mergeCell ref="AF68:AF69"/>
    <mergeCell ref="AG68:AG69"/>
    <mergeCell ref="A70:B73"/>
    <mergeCell ref="D70:H70"/>
    <mergeCell ref="D71:H71"/>
    <mergeCell ref="D72:H72"/>
    <mergeCell ref="AQ41:AQ45"/>
    <mergeCell ref="AR41:AR45"/>
    <mergeCell ref="AE44:AF44"/>
    <mergeCell ref="AG44:AG45"/>
    <mergeCell ref="AR48:AR49"/>
    <mergeCell ref="AR46:AR47"/>
    <mergeCell ref="W46:X49"/>
    <mergeCell ref="Z46:AD46"/>
    <mergeCell ref="Z48:AD48"/>
    <mergeCell ref="Z47:AD47"/>
    <mergeCell ref="Z49:AD49"/>
    <mergeCell ref="AH41:AH45"/>
    <mergeCell ref="AI41:AI45"/>
    <mergeCell ref="AJ41:AJ45"/>
    <mergeCell ref="AK41:AK45"/>
    <mergeCell ref="AL41:AL45"/>
    <mergeCell ref="AM41:AM45"/>
    <mergeCell ref="AN41:AN45"/>
    <mergeCell ref="AO41:AO45"/>
    <mergeCell ref="AP41:AP45"/>
    <mergeCell ref="R91:S92"/>
    <mergeCell ref="R87:AG87"/>
    <mergeCell ref="Z89:Z90"/>
    <mergeCell ref="AA89:AA90"/>
    <mergeCell ref="AB89:AB90"/>
    <mergeCell ref="AC89:AC90"/>
    <mergeCell ref="AD89:AD90"/>
    <mergeCell ref="AE89:AE90"/>
    <mergeCell ref="AF89:AF90"/>
    <mergeCell ref="AG89:AG90"/>
    <mergeCell ref="U91:Y91"/>
    <mergeCell ref="U92:Y92"/>
    <mergeCell ref="AL91:AP91"/>
    <mergeCell ref="AL92:AP92"/>
    <mergeCell ref="AI91:AJ92"/>
    <mergeCell ref="AI87:AX87"/>
    <mergeCell ref="AQ89:AQ90"/>
    <mergeCell ref="AR89:AR90"/>
    <mergeCell ref="AS89:AS90"/>
    <mergeCell ref="AT89:AT90"/>
    <mergeCell ref="AU89:AU90"/>
    <mergeCell ref="AV89:AV90"/>
    <mergeCell ref="AW89:AW90"/>
    <mergeCell ref="AX89:AX90"/>
  </mergeCell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378A0-DCDF-49F3-AE9A-7FEA0A5B60FF}">
  <dimension ref="A3:T57"/>
  <sheetViews>
    <sheetView topLeftCell="E1" zoomScale="82" workbookViewId="0">
      <selection activeCell="M55" sqref="M55"/>
    </sheetView>
  </sheetViews>
  <sheetFormatPr baseColWidth="10" defaultColWidth="10.5" defaultRowHeight="16" x14ac:dyDescent="0.2"/>
  <cols>
    <col min="5" max="5" width="11.5" bestFit="1" customWidth="1"/>
    <col min="9" max="9" width="11" bestFit="1" customWidth="1"/>
    <col min="10" max="10" width="11.5" bestFit="1" customWidth="1"/>
    <col min="11" max="14" width="11" bestFit="1" customWidth="1"/>
    <col min="18" max="18" width="11.5" bestFit="1" customWidth="1"/>
    <col min="19" max="19" width="12.5" bestFit="1" customWidth="1"/>
  </cols>
  <sheetData>
    <row r="3" spans="1:18" x14ac:dyDescent="0.2">
      <c r="A3" s="759" t="s">
        <v>895</v>
      </c>
      <c r="B3" s="759"/>
      <c r="C3" s="759"/>
      <c r="D3" s="759"/>
      <c r="E3" s="759"/>
      <c r="F3" s="759"/>
      <c r="G3" s="759"/>
      <c r="H3" s="759"/>
      <c r="I3" s="759"/>
      <c r="J3" s="759"/>
      <c r="K3" s="759"/>
    </row>
    <row r="4" spans="1:18" x14ac:dyDescent="0.2">
      <c r="C4" s="3" t="s">
        <v>896</v>
      </c>
      <c r="D4" s="3" t="s">
        <v>37</v>
      </c>
      <c r="E4" s="3" t="s">
        <v>31</v>
      </c>
      <c r="F4" s="3" t="s">
        <v>66</v>
      </c>
      <c r="G4" s="3" t="s">
        <v>33</v>
      </c>
      <c r="H4" s="3" t="s">
        <v>897</v>
      </c>
      <c r="I4" s="3" t="s">
        <v>898</v>
      </c>
      <c r="J4" s="3" t="s">
        <v>899</v>
      </c>
      <c r="K4" s="3" t="s">
        <v>900</v>
      </c>
      <c r="L4" s="3"/>
      <c r="M4" s="3" t="s">
        <v>901</v>
      </c>
      <c r="R4" s="3" t="s">
        <v>902</v>
      </c>
    </row>
    <row r="5" spans="1:18" x14ac:dyDescent="0.2">
      <c r="A5" t="s">
        <v>115</v>
      </c>
      <c r="C5" s="3">
        <v>25</v>
      </c>
      <c r="D5" s="3">
        <v>25</v>
      </c>
      <c r="E5" s="3">
        <f>80-D5</f>
        <v>55</v>
      </c>
      <c r="F5" s="3">
        <v>40</v>
      </c>
      <c r="G5" s="3">
        <v>0</v>
      </c>
      <c r="H5" s="3" t="s">
        <v>903</v>
      </c>
      <c r="I5" s="115">
        <f>$Q$14</f>
        <v>0.5</v>
      </c>
      <c r="J5" s="762">
        <f>SUM(I5:I10)</f>
        <v>2.5</v>
      </c>
      <c r="K5" s="3">
        <f>60*7.333/2</f>
        <v>219.99</v>
      </c>
      <c r="L5" s="3"/>
      <c r="M5" s="3">
        <f>(J5-1)/(1-4)*(0.75-0.45)+0.75</f>
        <v>0.6</v>
      </c>
      <c r="P5" t="s">
        <v>115</v>
      </c>
      <c r="R5" s="85">
        <v>3.1</v>
      </c>
    </row>
    <row r="6" spans="1:18" x14ac:dyDescent="0.2">
      <c r="C6" s="3"/>
      <c r="D6" s="3"/>
      <c r="E6" s="3"/>
      <c r="F6" s="3"/>
      <c r="G6" s="3"/>
      <c r="H6" s="3"/>
      <c r="I6" s="115"/>
      <c r="J6" s="466"/>
      <c r="K6" s="3"/>
      <c r="L6" s="3"/>
      <c r="M6" s="3"/>
      <c r="P6" s="361" t="s">
        <v>118</v>
      </c>
      <c r="Q6" s="361"/>
      <c r="R6" s="362">
        <v>2</v>
      </c>
    </row>
    <row r="7" spans="1:18" x14ac:dyDescent="0.2">
      <c r="A7" t="s">
        <v>904</v>
      </c>
      <c r="C7" s="3">
        <v>25</v>
      </c>
      <c r="D7" s="3">
        <v>25</v>
      </c>
      <c r="E7" s="3">
        <f t="shared" ref="E7:E10" si="0">80-D7</f>
        <v>55</v>
      </c>
      <c r="F7" s="3">
        <v>40</v>
      </c>
      <c r="G7" s="3">
        <v>0</v>
      </c>
      <c r="H7" s="3" t="s">
        <v>903</v>
      </c>
      <c r="I7" s="115">
        <f>$Q$14</f>
        <v>0.5</v>
      </c>
      <c r="J7" s="466"/>
      <c r="K7" s="3">
        <f t="shared" ref="K7:K10" si="1">60*7.333/2</f>
        <v>219.99</v>
      </c>
      <c r="L7" s="3"/>
      <c r="M7" s="3"/>
      <c r="P7" t="s">
        <v>904</v>
      </c>
      <c r="R7" s="85">
        <v>5.3</v>
      </c>
    </row>
    <row r="8" spans="1:18" x14ac:dyDescent="0.2">
      <c r="A8" t="s">
        <v>117</v>
      </c>
      <c r="C8" s="3">
        <v>25</v>
      </c>
      <c r="D8" s="3">
        <v>25</v>
      </c>
      <c r="E8" s="3">
        <f t="shared" si="0"/>
        <v>55</v>
      </c>
      <c r="F8" s="3">
        <v>40</v>
      </c>
      <c r="G8" s="3">
        <v>0</v>
      </c>
      <c r="H8" s="3" t="s">
        <v>903</v>
      </c>
      <c r="I8" s="115">
        <f>$Q$14</f>
        <v>0.5</v>
      </c>
      <c r="J8" s="466"/>
      <c r="K8" s="3">
        <f t="shared" si="1"/>
        <v>219.99</v>
      </c>
      <c r="L8" s="3"/>
      <c r="M8" s="3"/>
      <c r="P8" t="s">
        <v>117</v>
      </c>
      <c r="R8" s="85">
        <f>3.3*1.7416</f>
        <v>5.7472799999999999</v>
      </c>
    </row>
    <row r="9" spans="1:18" x14ac:dyDescent="0.2">
      <c r="A9" t="s">
        <v>119</v>
      </c>
      <c r="C9" s="3">
        <v>25</v>
      </c>
      <c r="D9" s="3">
        <v>25</v>
      </c>
      <c r="E9" s="3">
        <f t="shared" si="0"/>
        <v>55</v>
      </c>
      <c r="F9" s="3">
        <v>40</v>
      </c>
      <c r="G9" s="3">
        <v>0</v>
      </c>
      <c r="H9" s="3" t="s">
        <v>903</v>
      </c>
      <c r="I9" s="115">
        <f>$Q$14</f>
        <v>0.5</v>
      </c>
      <c r="J9" s="466"/>
      <c r="K9" s="3">
        <f t="shared" si="1"/>
        <v>219.99</v>
      </c>
      <c r="L9" s="3"/>
      <c r="M9" s="3"/>
      <c r="P9" t="s">
        <v>119</v>
      </c>
      <c r="R9" s="85">
        <f>2.1*1.7416</f>
        <v>3.6573600000000002</v>
      </c>
    </row>
    <row r="10" spans="1:18" x14ac:dyDescent="0.2">
      <c r="A10" t="s">
        <v>905</v>
      </c>
      <c r="C10" s="3">
        <v>25</v>
      </c>
      <c r="D10" s="3">
        <v>25</v>
      </c>
      <c r="E10" s="3">
        <f t="shared" si="0"/>
        <v>55</v>
      </c>
      <c r="F10" s="3">
        <v>40</v>
      </c>
      <c r="G10" s="3">
        <v>0</v>
      </c>
      <c r="H10" s="3" t="s">
        <v>903</v>
      </c>
      <c r="I10" s="115">
        <f>$Q$14</f>
        <v>0.5</v>
      </c>
      <c r="J10" s="466"/>
      <c r="K10" s="3">
        <f t="shared" si="1"/>
        <v>219.99</v>
      </c>
      <c r="L10" s="3"/>
      <c r="M10" s="3"/>
      <c r="P10" t="s">
        <v>905</v>
      </c>
      <c r="R10" s="85">
        <f>5.6*1.7416</f>
        <v>9.7529599999999999</v>
      </c>
    </row>
    <row r="12" spans="1:18" x14ac:dyDescent="0.2">
      <c r="A12" s="759" t="s">
        <v>906</v>
      </c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759"/>
      <c r="N12" s="759"/>
    </row>
    <row r="13" spans="1:18" x14ac:dyDescent="0.2">
      <c r="C13" s="3" t="s">
        <v>896</v>
      </c>
      <c r="D13" s="3" t="s">
        <v>907</v>
      </c>
      <c r="E13" s="3" t="s">
        <v>908</v>
      </c>
      <c r="F13" s="3" t="s">
        <v>909</v>
      </c>
      <c r="G13" s="3" t="s">
        <v>910</v>
      </c>
      <c r="H13" s="3" t="s">
        <v>911</v>
      </c>
      <c r="I13" s="3" t="s">
        <v>912</v>
      </c>
      <c r="J13" s="3" t="s">
        <v>913</v>
      </c>
      <c r="K13" s="3" t="s">
        <v>914</v>
      </c>
      <c r="L13" s="3" t="s">
        <v>915</v>
      </c>
      <c r="M13" s="3" t="s">
        <v>916</v>
      </c>
      <c r="N13" s="3" t="s">
        <v>917</v>
      </c>
    </row>
    <row r="14" spans="1:18" x14ac:dyDescent="0.2">
      <c r="A14" t="s">
        <v>115</v>
      </c>
      <c r="C14" s="3">
        <v>25</v>
      </c>
      <c r="D14" s="3">
        <f>(D5-25)/(25-50)*(0.85-0.93)+0.85</f>
        <v>0.85</v>
      </c>
      <c r="E14" s="3">
        <f>(55-50)/(50-70)*(0.91-0.88)+0.91</f>
        <v>0.90250000000000008</v>
      </c>
      <c r="F14" s="3">
        <v>0.63</v>
      </c>
      <c r="G14" s="3">
        <v>1</v>
      </c>
      <c r="H14" s="3">
        <v>0.9</v>
      </c>
      <c r="I14" s="341">
        <f>(0.5-0.2)/(0.2-1)*(0.85-0.75)+0.85</f>
        <v>0.8125</v>
      </c>
      <c r="J14" s="341">
        <f>I14*H14*G14*F14*E14*D14*C14</f>
        <v>8.8351224609375016</v>
      </c>
      <c r="K14" s="341">
        <f>R5/J14</f>
        <v>0.35087232958071041</v>
      </c>
      <c r="L14" s="341">
        <f>M5*H14*G14*F14*E14*D14*$C$14</f>
        <v>6.5243981250000012</v>
      </c>
      <c r="M14" s="341">
        <f>R5/L14</f>
        <v>0.47513961297387863</v>
      </c>
      <c r="N14" s="341">
        <f>K5/SUM($K$5:$K$10)</f>
        <v>0.2</v>
      </c>
      <c r="P14" t="s">
        <v>918</v>
      </c>
      <c r="Q14" s="143">
        <f>1/2</f>
        <v>0.5</v>
      </c>
    </row>
    <row r="15" spans="1:18" x14ac:dyDescent="0.2">
      <c r="C15" s="3"/>
      <c r="D15" s="3"/>
      <c r="E15" s="3"/>
      <c r="F15" s="3"/>
      <c r="G15" s="3"/>
      <c r="H15" s="3"/>
      <c r="I15" s="341"/>
      <c r="J15" s="341"/>
      <c r="K15" s="341"/>
      <c r="L15" s="341"/>
      <c r="M15" s="341"/>
      <c r="N15" s="341"/>
      <c r="P15" t="s">
        <v>919</v>
      </c>
      <c r="Q15" s="143">
        <f>1/2</f>
        <v>0.5</v>
      </c>
    </row>
    <row r="16" spans="1:18" x14ac:dyDescent="0.2">
      <c r="A16" t="s">
        <v>904</v>
      </c>
      <c r="C16" s="3">
        <v>25</v>
      </c>
      <c r="D16" s="3">
        <f t="shared" ref="D16:D19" si="2">(D7-25)/(25-50)*(0.85-0.93)+0.85</f>
        <v>0.85</v>
      </c>
      <c r="E16" s="3">
        <f t="shared" ref="E16:E19" si="3">(55-50)/(50-70)*(0.91-0.88)+0.91</f>
        <v>0.90250000000000008</v>
      </c>
      <c r="F16" s="3">
        <v>0.63</v>
      </c>
      <c r="G16" s="3">
        <v>1</v>
      </c>
      <c r="H16" s="3">
        <v>0.9</v>
      </c>
      <c r="I16" s="341">
        <f t="shared" ref="I16:I19" si="4">(0.5-0.2)/(0.2-1)*(0.85-0.75)+0.85</f>
        <v>0.8125</v>
      </c>
      <c r="J16" s="341">
        <f t="shared" ref="J16:J19" si="5">I16*H16*G16*F16*E16*D16*C16</f>
        <v>8.8351224609375016</v>
      </c>
      <c r="K16" s="341">
        <f t="shared" ref="K16:K19" si="6">R7/J16</f>
        <v>0.59987849896056933</v>
      </c>
      <c r="L16" s="341">
        <f t="shared" ref="L16:L19" si="7">$M$5*H16*G16*F16*E16*D16*C16</f>
        <v>6.5243981250000012</v>
      </c>
      <c r="M16" s="341">
        <f t="shared" ref="M16:M19" si="8">R7/L16</f>
        <v>0.81233546734243767</v>
      </c>
      <c r="N16" s="341">
        <f t="shared" ref="N16:N19" si="9">K7/SUM($K$5:$K$10)</f>
        <v>0.2</v>
      </c>
    </row>
    <row r="17" spans="1:14" x14ac:dyDescent="0.2">
      <c r="A17" t="s">
        <v>117</v>
      </c>
      <c r="C17" s="3">
        <v>25</v>
      </c>
      <c r="D17" s="3">
        <f t="shared" si="2"/>
        <v>0.85</v>
      </c>
      <c r="E17" s="3">
        <f t="shared" si="3"/>
        <v>0.90250000000000008</v>
      </c>
      <c r="F17" s="3">
        <v>0.63</v>
      </c>
      <c r="G17" s="3">
        <v>1</v>
      </c>
      <c r="H17" s="3">
        <v>0.9</v>
      </c>
      <c r="I17" s="341">
        <f t="shared" si="4"/>
        <v>0.8125</v>
      </c>
      <c r="J17" s="341">
        <f t="shared" si="5"/>
        <v>8.8351224609375016</v>
      </c>
      <c r="K17" s="341">
        <f t="shared" si="6"/>
        <v>0.65050371688794362</v>
      </c>
      <c r="L17" s="341">
        <f t="shared" si="7"/>
        <v>6.5243981250000012</v>
      </c>
      <c r="M17" s="341">
        <f t="shared" si="8"/>
        <v>0.8808904499524236</v>
      </c>
      <c r="N17" s="341">
        <f t="shared" si="9"/>
        <v>0.2</v>
      </c>
    </row>
    <row r="18" spans="1:14" x14ac:dyDescent="0.2">
      <c r="A18" t="s">
        <v>119</v>
      </c>
      <c r="C18" s="3">
        <v>25</v>
      </c>
      <c r="D18" s="3">
        <f t="shared" si="2"/>
        <v>0.85</v>
      </c>
      <c r="E18" s="3">
        <f t="shared" si="3"/>
        <v>0.90250000000000008</v>
      </c>
      <c r="F18" s="3">
        <v>0.63</v>
      </c>
      <c r="G18" s="3">
        <v>1</v>
      </c>
      <c r="H18" s="3">
        <v>0.9</v>
      </c>
      <c r="I18" s="341">
        <f t="shared" si="4"/>
        <v>0.8125</v>
      </c>
      <c r="J18" s="341">
        <f t="shared" si="5"/>
        <v>8.8351224609375016</v>
      </c>
      <c r="K18" s="341">
        <f t="shared" si="6"/>
        <v>0.41395691074687319</v>
      </c>
      <c r="L18" s="341">
        <f t="shared" si="7"/>
        <v>6.5243981250000012</v>
      </c>
      <c r="M18" s="341">
        <f t="shared" si="8"/>
        <v>0.56056664996972416</v>
      </c>
      <c r="N18" s="341">
        <f t="shared" si="9"/>
        <v>0.2</v>
      </c>
    </row>
    <row r="19" spans="1:14" x14ac:dyDescent="0.2">
      <c r="A19" t="s">
        <v>905</v>
      </c>
      <c r="C19" s="3">
        <v>25</v>
      </c>
      <c r="D19" s="3">
        <f t="shared" si="2"/>
        <v>0.85</v>
      </c>
      <c r="E19" s="3">
        <f t="shared" si="3"/>
        <v>0.90250000000000008</v>
      </c>
      <c r="F19" s="3">
        <v>0.63</v>
      </c>
      <c r="G19" s="3">
        <v>1</v>
      </c>
      <c r="H19" s="3">
        <v>0.9</v>
      </c>
      <c r="I19" s="341">
        <f t="shared" si="4"/>
        <v>0.8125</v>
      </c>
      <c r="J19" s="341">
        <f t="shared" si="5"/>
        <v>8.8351224609375016</v>
      </c>
      <c r="K19" s="341">
        <f t="shared" si="6"/>
        <v>1.1038850953249952</v>
      </c>
      <c r="L19" s="341">
        <f t="shared" si="7"/>
        <v>6.5243981250000012</v>
      </c>
      <c r="M19" s="341">
        <f t="shared" si="8"/>
        <v>1.4948443999192642</v>
      </c>
      <c r="N19" s="341">
        <f t="shared" si="9"/>
        <v>0.2</v>
      </c>
    </row>
    <row r="20" spans="1:14" x14ac:dyDescent="0.2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f>SUM(N14:N19)</f>
        <v>1</v>
      </c>
    </row>
    <row r="22" spans="1:14" x14ac:dyDescent="0.2">
      <c r="C22" s="3" t="s">
        <v>916</v>
      </c>
      <c r="D22" s="3" t="s">
        <v>917</v>
      </c>
      <c r="E22" s="3" t="s">
        <v>920</v>
      </c>
      <c r="F22" s="3" t="s">
        <v>921</v>
      </c>
    </row>
    <row r="23" spans="1:14" x14ac:dyDescent="0.2">
      <c r="A23" t="s">
        <v>905</v>
      </c>
      <c r="C23" s="84">
        <v>1.4948443999192642</v>
      </c>
      <c r="D23" s="341">
        <f>N14</f>
        <v>0.2</v>
      </c>
      <c r="E23" s="341" t="s">
        <v>470</v>
      </c>
      <c r="F23" s="760">
        <f>K19+(C23-K19)*SUM(E24:E27)</f>
        <v>1.2466292401374686</v>
      </c>
    </row>
    <row r="24" spans="1:14" x14ac:dyDescent="0.2">
      <c r="A24" t="s">
        <v>117</v>
      </c>
      <c r="C24" s="84">
        <v>0.8808904499524236</v>
      </c>
      <c r="D24" s="341">
        <f>N16</f>
        <v>0.2</v>
      </c>
      <c r="E24" s="341">
        <f>C24*D24/$C$23</f>
        <v>0.11785714285714287</v>
      </c>
      <c r="F24" s="760"/>
      <c r="I24" s="84"/>
    </row>
    <row r="25" spans="1:14" x14ac:dyDescent="0.2">
      <c r="A25" t="s">
        <v>904</v>
      </c>
      <c r="C25" s="84">
        <v>0.81233546734243767</v>
      </c>
      <c r="D25" s="341">
        <f>N17</f>
        <v>0.2</v>
      </c>
      <c r="E25" s="341">
        <f>C25*D25/$C$23</f>
        <v>0.10868495308091083</v>
      </c>
      <c r="F25" s="760"/>
      <c r="I25" s="84"/>
    </row>
    <row r="26" spans="1:14" x14ac:dyDescent="0.2">
      <c r="A26" t="s">
        <v>119</v>
      </c>
      <c r="C26" s="84">
        <v>0.56056664996972416</v>
      </c>
      <c r="D26" s="341">
        <f>N18</f>
        <v>0.2</v>
      </c>
      <c r="E26" s="341">
        <f>C26*D26/$C$23</f>
        <v>7.5000000000000011E-2</v>
      </c>
      <c r="F26" s="760"/>
      <c r="I26" s="84"/>
    </row>
    <row r="27" spans="1:14" x14ac:dyDescent="0.2">
      <c r="A27" t="s">
        <v>115</v>
      </c>
      <c r="C27" s="84">
        <v>0.47513961297387863</v>
      </c>
      <c r="D27" s="341">
        <f>N19</f>
        <v>0.2</v>
      </c>
      <c r="E27" s="341">
        <f>C27*D27/$C$23</f>
        <v>6.3570444254872377E-2</v>
      </c>
      <c r="F27" s="760"/>
      <c r="I27" s="84"/>
    </row>
    <row r="28" spans="1:14" x14ac:dyDescent="0.2">
      <c r="D28" s="341"/>
      <c r="E28" s="341"/>
      <c r="F28" s="341"/>
      <c r="G28" s="363"/>
      <c r="I28" s="84"/>
    </row>
    <row r="37" spans="3:20" x14ac:dyDescent="0.2">
      <c r="C37" s="477" t="s">
        <v>922</v>
      </c>
      <c r="D37" s="477"/>
      <c r="E37" s="477"/>
      <c r="F37" s="477"/>
      <c r="G37" s="477"/>
      <c r="H37" s="477"/>
      <c r="I37" s="477"/>
      <c r="J37" s="477"/>
      <c r="K37" s="477"/>
      <c r="L37" s="477"/>
    </row>
    <row r="38" spans="3:20" x14ac:dyDescent="0.2">
      <c r="D38" s="3" t="s">
        <v>896</v>
      </c>
      <c r="E38" s="3" t="s">
        <v>37</v>
      </c>
      <c r="F38" s="3" t="s">
        <v>31</v>
      </c>
      <c r="G38" s="3" t="s">
        <v>66</v>
      </c>
      <c r="H38" s="3" t="s">
        <v>33</v>
      </c>
      <c r="I38" s="3" t="s">
        <v>897</v>
      </c>
      <c r="J38" s="3" t="s">
        <v>898</v>
      </c>
      <c r="K38" s="3" t="s">
        <v>899</v>
      </c>
      <c r="L38" s="3" t="s">
        <v>900</v>
      </c>
      <c r="O38" s="3" t="s">
        <v>923</v>
      </c>
      <c r="P38">
        <v>4</v>
      </c>
      <c r="R38" t="s">
        <v>924</v>
      </c>
      <c r="S38" s="189" t="s">
        <v>925</v>
      </c>
      <c r="T38">
        <v>3</v>
      </c>
    </row>
    <row r="39" spans="3:20" x14ac:dyDescent="0.2">
      <c r="C39" t="s">
        <v>926</v>
      </c>
      <c r="D39">
        <v>25</v>
      </c>
      <c r="E39">
        <v>85</v>
      </c>
      <c r="F39">
        <f>E39-41</f>
        <v>44</v>
      </c>
      <c r="G39">
        <v>45</v>
      </c>
      <c r="H39">
        <v>0</v>
      </c>
      <c r="I39">
        <v>1</v>
      </c>
      <c r="J39" s="60">
        <f>64/($S$46*3)</f>
        <v>1.8181818181869833</v>
      </c>
      <c r="K39" s="761">
        <f>SUM(J39:J42)</f>
        <v>7.2727272727479333</v>
      </c>
      <c r="L39">
        <f>$S$46/4</f>
        <v>2.9333333333249998</v>
      </c>
      <c r="O39" t="s">
        <v>901</v>
      </c>
      <c r="P39">
        <f>(7.27-6)/(6-9)*(0.27-0.15)+0.27</f>
        <v>0.21920000000000003</v>
      </c>
      <c r="S39" s="189" t="s">
        <v>927</v>
      </c>
      <c r="T39">
        <v>0.5</v>
      </c>
    </row>
    <row r="40" spans="3:20" x14ac:dyDescent="0.2">
      <c r="C40" t="s">
        <v>928</v>
      </c>
      <c r="D40">
        <v>25</v>
      </c>
      <c r="E40">
        <v>85</v>
      </c>
      <c r="F40">
        <f>E40-(41+32)</f>
        <v>12</v>
      </c>
      <c r="G40">
        <v>45</v>
      </c>
      <c r="H40">
        <v>0</v>
      </c>
      <c r="I40">
        <v>1</v>
      </c>
      <c r="J40" s="60">
        <f t="shared" ref="J40:J42" si="10">64/($S$46*3)</f>
        <v>1.8181818181869833</v>
      </c>
      <c r="K40" s="466"/>
      <c r="L40">
        <f t="shared" ref="L40:L42" si="11">$S$46/4</f>
        <v>2.9333333333249998</v>
      </c>
      <c r="S40" s="189" t="s">
        <v>929</v>
      </c>
      <c r="T40">
        <v>0.85</v>
      </c>
    </row>
    <row r="41" spans="3:20" x14ac:dyDescent="0.2">
      <c r="C41" t="s">
        <v>930</v>
      </c>
      <c r="D41">
        <v>25</v>
      </c>
      <c r="E41">
        <v>85</v>
      </c>
      <c r="F41">
        <f>ABS(E41-(41+32*2))</f>
        <v>20</v>
      </c>
      <c r="G41">
        <v>45</v>
      </c>
      <c r="H41">
        <v>0</v>
      </c>
      <c r="I41">
        <v>1</v>
      </c>
      <c r="J41" s="60">
        <f t="shared" si="10"/>
        <v>1.8181818181869833</v>
      </c>
      <c r="K41" s="466"/>
      <c r="L41">
        <f t="shared" si="11"/>
        <v>2.9333333333249998</v>
      </c>
      <c r="S41" s="189" t="s">
        <v>931</v>
      </c>
      <c r="T41">
        <v>0.75</v>
      </c>
    </row>
    <row r="42" spans="3:20" x14ac:dyDescent="0.2">
      <c r="C42" t="s">
        <v>932</v>
      </c>
      <c r="D42">
        <v>25</v>
      </c>
      <c r="E42">
        <v>85</v>
      </c>
      <c r="F42">
        <f>ABS(E42-(41+32*3))</f>
        <v>52</v>
      </c>
      <c r="G42">
        <v>45</v>
      </c>
      <c r="H42">
        <v>0</v>
      </c>
      <c r="I42">
        <v>1</v>
      </c>
      <c r="J42" s="60">
        <f t="shared" si="10"/>
        <v>1.8181818181869833</v>
      </c>
      <c r="K42" s="466"/>
      <c r="L42">
        <f t="shared" si="11"/>
        <v>2.9333333333249998</v>
      </c>
      <c r="S42" s="189" t="s">
        <v>933</v>
      </c>
      <c r="T42">
        <v>0</v>
      </c>
    </row>
    <row r="43" spans="3:20" x14ac:dyDescent="0.2">
      <c r="S43" s="189" t="s">
        <v>934</v>
      </c>
      <c r="T43">
        <f>SUM(T38:T42)</f>
        <v>5.0999999999999996</v>
      </c>
    </row>
    <row r="44" spans="3:20" x14ac:dyDescent="0.2">
      <c r="C44" s="759" t="s">
        <v>935</v>
      </c>
      <c r="D44" s="759"/>
      <c r="E44" s="759"/>
      <c r="F44" s="759"/>
      <c r="G44" s="759"/>
      <c r="H44" s="759"/>
      <c r="I44" s="759"/>
      <c r="J44" s="759"/>
      <c r="K44" s="759"/>
      <c r="L44" s="759"/>
      <c r="M44" s="759"/>
      <c r="N44" s="759"/>
      <c r="O44" s="759"/>
    </row>
    <row r="45" spans="3:20" x14ac:dyDescent="0.2">
      <c r="D45" s="3" t="s">
        <v>896</v>
      </c>
      <c r="E45" s="3" t="s">
        <v>907</v>
      </c>
      <c r="F45" s="3" t="s">
        <v>908</v>
      </c>
      <c r="G45" s="3" t="s">
        <v>909</v>
      </c>
      <c r="H45" s="3" t="s">
        <v>910</v>
      </c>
      <c r="I45" s="3" t="s">
        <v>911</v>
      </c>
      <c r="J45" s="3" t="s">
        <v>912</v>
      </c>
      <c r="K45" s="3" t="s">
        <v>913</v>
      </c>
      <c r="L45" s="3" t="s">
        <v>914</v>
      </c>
      <c r="M45" s="3" t="s">
        <v>915</v>
      </c>
      <c r="N45" s="3" t="s">
        <v>916</v>
      </c>
      <c r="O45" s="3" t="s">
        <v>917</v>
      </c>
    </row>
    <row r="46" spans="3:20" x14ac:dyDescent="0.2">
      <c r="C46" t="s">
        <v>926</v>
      </c>
      <c r="D46">
        <v>25</v>
      </c>
      <c r="E46">
        <f>(E39-75)/(75-100)*(1-0.93)+1</f>
        <v>0.97199999999999998</v>
      </c>
      <c r="F46" s="84">
        <f>(F39-40)/(40-50)*(0.93-0.91)+0.93</f>
        <v>0.92200000000000004</v>
      </c>
      <c r="G46">
        <f>(0.63+0.5)/2</f>
        <v>0.56499999999999995</v>
      </c>
      <c r="H46">
        <v>1</v>
      </c>
      <c r="I46">
        <v>1</v>
      </c>
      <c r="J46" s="84">
        <f>(J39-1)/(1-4)*(0.75-0.45)+0.75</f>
        <v>0.66818181818130162</v>
      </c>
      <c r="K46" s="84">
        <f>PRODUCT(D46:J46)</f>
        <v>8.4582456954480065</v>
      </c>
      <c r="L46" s="84">
        <f>$T$43/K46</f>
        <v>0.60296191239096764</v>
      </c>
      <c r="M46" s="84">
        <f>PRODUCT(D46:I46,$P$39)</f>
        <v>2.7747649008000006</v>
      </c>
      <c r="N46" s="84">
        <f>$T$43/M46</f>
        <v>1.8379935534464933</v>
      </c>
      <c r="O46">
        <f>L39/SUM($L$39:$L$42)</f>
        <v>0.25</v>
      </c>
      <c r="R46" t="s">
        <v>936</v>
      </c>
      <c r="S46">
        <v>11.733333333299999</v>
      </c>
    </row>
    <row r="47" spans="3:20" x14ac:dyDescent="0.2">
      <c r="C47" t="s">
        <v>928</v>
      </c>
      <c r="D47">
        <v>25</v>
      </c>
      <c r="E47">
        <f t="shared" ref="E47:E49" si="12">(E40-75)/(75-100)*(1-0.93)+1</f>
        <v>0.97199999999999998</v>
      </c>
      <c r="F47">
        <v>1</v>
      </c>
      <c r="G47">
        <f t="shared" ref="G47:G49" si="13">(0.63+0.5)/2</f>
        <v>0.56499999999999995</v>
      </c>
      <c r="H47">
        <v>1</v>
      </c>
      <c r="I47">
        <v>1</v>
      </c>
      <c r="J47" s="84">
        <f t="shared" ref="J47:J49" si="14">(J40-1)/(1-4)*(0.75-0.45)+0.75</f>
        <v>0.66818181818130162</v>
      </c>
      <c r="K47" s="84">
        <f t="shared" ref="K47:K49" si="15">PRODUCT(D47:J47)</f>
        <v>9.1738022727201809</v>
      </c>
      <c r="L47" s="84">
        <f t="shared" ref="L47:L49" si="16">$T$43/K47</f>
        <v>0.55593088322447215</v>
      </c>
      <c r="M47" s="84">
        <f t="shared" ref="M47:M49" si="17">PRODUCT(D47:I47,$P$39)</f>
        <v>3.0095064000000002</v>
      </c>
      <c r="N47" s="84">
        <f t="shared" ref="N47:N49" si="18">$T$43/M47</f>
        <v>1.6946300562776671</v>
      </c>
      <c r="O47">
        <f t="shared" ref="O47:O49" si="19">L40/SUM($L$39:$L$42)</f>
        <v>0.25</v>
      </c>
    </row>
    <row r="48" spans="3:20" x14ac:dyDescent="0.2">
      <c r="C48" t="s">
        <v>930</v>
      </c>
      <c r="D48">
        <v>25</v>
      </c>
      <c r="E48">
        <f t="shared" si="12"/>
        <v>0.97199999999999998</v>
      </c>
      <c r="F48">
        <v>1</v>
      </c>
      <c r="G48">
        <f t="shared" si="13"/>
        <v>0.56499999999999995</v>
      </c>
      <c r="H48">
        <v>1</v>
      </c>
      <c r="I48">
        <v>1</v>
      </c>
      <c r="J48" s="84">
        <f t="shared" si="14"/>
        <v>0.66818181818130162</v>
      </c>
      <c r="K48" s="84">
        <f t="shared" si="15"/>
        <v>9.1738022727201809</v>
      </c>
      <c r="L48" s="84">
        <f t="shared" si="16"/>
        <v>0.55593088322447215</v>
      </c>
      <c r="M48" s="84">
        <f t="shared" si="17"/>
        <v>3.0095064000000002</v>
      </c>
      <c r="N48" s="84">
        <f t="shared" si="18"/>
        <v>1.6946300562776671</v>
      </c>
      <c r="O48">
        <f t="shared" si="19"/>
        <v>0.25</v>
      </c>
    </row>
    <row r="49" spans="3:15" x14ac:dyDescent="0.2">
      <c r="C49" t="s">
        <v>932</v>
      </c>
      <c r="D49">
        <v>25</v>
      </c>
      <c r="E49">
        <f t="shared" si="12"/>
        <v>0.97199999999999998</v>
      </c>
      <c r="F49" s="84">
        <f>(F42-50)/(50-70)*(0.91-0.88)+0.91</f>
        <v>0.90700000000000003</v>
      </c>
      <c r="G49">
        <f t="shared" si="13"/>
        <v>0.56499999999999995</v>
      </c>
      <c r="H49">
        <v>1</v>
      </c>
      <c r="I49">
        <v>1</v>
      </c>
      <c r="J49" s="84">
        <f t="shared" si="14"/>
        <v>0.66818181818130162</v>
      </c>
      <c r="K49" s="84">
        <f t="shared" si="15"/>
        <v>8.3206386613572043</v>
      </c>
      <c r="L49" s="84">
        <f t="shared" si="16"/>
        <v>0.61293371910085126</v>
      </c>
      <c r="M49" s="84">
        <f t="shared" si="17"/>
        <v>2.7296223048000003</v>
      </c>
      <c r="N49" s="84">
        <f t="shared" si="18"/>
        <v>1.8683903597328191</v>
      </c>
      <c r="O49">
        <f t="shared" si="19"/>
        <v>0.25</v>
      </c>
    </row>
    <row r="52" spans="3:15" x14ac:dyDescent="0.2">
      <c r="D52" s="3" t="s">
        <v>916</v>
      </c>
      <c r="E52" s="3" t="s">
        <v>917</v>
      </c>
      <c r="F52" s="3" t="s">
        <v>920</v>
      </c>
      <c r="G52" s="3" t="s">
        <v>921</v>
      </c>
    </row>
    <row r="53" spans="3:15" x14ac:dyDescent="0.2">
      <c r="C53" t="s">
        <v>932</v>
      </c>
      <c r="D53">
        <v>1.8683903597328191</v>
      </c>
      <c r="E53" s="341">
        <f>O46</f>
        <v>0.25</v>
      </c>
      <c r="F53" s="341" t="s">
        <v>470</v>
      </c>
      <c r="G53" s="760">
        <f>L49+(D53-L49)*SUM(F54:F56)</f>
        <v>1.4910412158913302</v>
      </c>
      <c r="M53" s="159"/>
    </row>
    <row r="54" spans="3:15" x14ac:dyDescent="0.2">
      <c r="C54" t="s">
        <v>926</v>
      </c>
      <c r="D54">
        <v>1.8379935534464933</v>
      </c>
      <c r="E54" s="341">
        <f>O47</f>
        <v>0.25</v>
      </c>
      <c r="F54" s="341">
        <f>D54*E54/$D$53</f>
        <v>0.24593275488069413</v>
      </c>
      <c r="G54" s="760"/>
    </row>
    <row r="55" spans="3:15" x14ac:dyDescent="0.2">
      <c r="C55" t="s">
        <v>928</v>
      </c>
      <c r="D55">
        <v>1.6946300562776671</v>
      </c>
      <c r="E55" s="341">
        <f>O48</f>
        <v>0.25</v>
      </c>
      <c r="F55" s="341">
        <f>D55*E55/$D$53</f>
        <v>0.22675000000000001</v>
      </c>
      <c r="G55" s="760"/>
    </row>
    <row r="56" spans="3:15" x14ac:dyDescent="0.2">
      <c r="C56" t="s">
        <v>930</v>
      </c>
      <c r="D56">
        <v>1.6946300562776671</v>
      </c>
      <c r="E56" s="341">
        <f>O49</f>
        <v>0.25</v>
      </c>
      <c r="F56" s="341">
        <f>D56*E56/$D$53</f>
        <v>0.22675000000000001</v>
      </c>
      <c r="G56" s="760"/>
    </row>
    <row r="57" spans="3:15" x14ac:dyDescent="0.2">
      <c r="E57" s="84"/>
      <c r="F57" s="341"/>
      <c r="G57" s="341"/>
      <c r="H57" s="364"/>
    </row>
  </sheetData>
  <sortState xmlns:xlrd2="http://schemas.microsoft.com/office/spreadsheetml/2017/richdata2" ref="J53:J56">
    <sortCondition descending="1" ref="J53:J56"/>
  </sortState>
  <mergeCells count="8">
    <mergeCell ref="A3:K3"/>
    <mergeCell ref="F23:F27"/>
    <mergeCell ref="G53:G56"/>
    <mergeCell ref="C44:O44"/>
    <mergeCell ref="C37:L37"/>
    <mergeCell ref="K39:K42"/>
    <mergeCell ref="J5:J10"/>
    <mergeCell ref="A12:N12"/>
  </mergeCells>
  <phoneticPr fontId="23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mag_completo</vt:lpstr>
      <vt:lpstr>dimens_mag_MP</vt:lpstr>
      <vt:lpstr>dimens_mag_buffer</vt:lpstr>
      <vt:lpstr>dimensionamento magazzino PF</vt:lpstr>
      <vt:lpstr>dimensione_magazzinoPF</vt:lpstr>
      <vt:lpstr>carr_elev</vt:lpstr>
      <vt:lpstr>tab_consegne</vt:lpstr>
      <vt:lpstr>Picking</vt:lpstr>
      <vt:lpstr>Trasporti interni</vt:lpstr>
      <vt:lpstr>Value stream MAP</vt:lpstr>
      <vt:lpstr># carrelli + dipendenti</vt:lpstr>
      <vt:lpstr>Stazione di ricarica</vt:lpstr>
      <vt:lpstr>parcheggi-area camion</vt:lpstr>
      <vt:lpstr>Altro</vt:lpstr>
      <vt:lpstr>aria compressa sald</vt:lpstr>
      <vt:lpstr>Aria compressa Ass</vt:lpstr>
      <vt:lpstr>Ottimizzazioni</vt:lpstr>
      <vt:lpstr>Niosh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PALANDRI DANIELE</dc:creator>
  <cp:keywords/>
  <dc:description/>
  <cp:lastModifiedBy>PARADISO FRANCESCO PIO</cp:lastModifiedBy>
  <cp:revision/>
  <dcterms:created xsi:type="dcterms:W3CDTF">2025-03-28T11:33:16Z</dcterms:created>
  <dcterms:modified xsi:type="dcterms:W3CDTF">2025-06-09T09:06:12Z</dcterms:modified>
  <cp:category/>
  <cp:contentStatus/>
</cp:coreProperties>
</file>