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2.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tables/table22.xml" ContentType="application/vnd.openxmlformats-officedocument.spreadsheetml.table+xml"/>
  <Override PartName="/xl/tables/table23.xml" ContentType="application/vnd.openxmlformats-officedocument.spreadsheetml.table+xml"/>
  <Override PartName="/xl/drawings/drawing3.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DieseArbeitsmappe"/>
  <mc:AlternateContent xmlns:mc="http://schemas.openxmlformats.org/markup-compatibility/2006">
    <mc:Choice Requires="x15">
      <x15ac:absPath xmlns:x15ac="http://schemas.microsoft.com/office/spreadsheetml/2010/11/ac" url="https://braleenergygmbh.sharepoint.com/sites/TechnikIT/Freigegebene Dokumente/General/300_Application/370_ES Datenpool Export/"/>
    </mc:Choice>
  </mc:AlternateContent>
  <xr:revisionPtr revIDLastSave="51176" documentId="11_AD4DB114E441178AC67DF491F6D7E380693EDF1A" xr6:coauthVersionLast="47" xr6:coauthVersionMax="47" xr10:uidLastSave="{B27F34DC-CA5C-4945-B778-1C0BEB55F2CB}"/>
  <bookViews>
    <workbookView xWindow="-28920" yWindow="-210" windowWidth="29040" windowHeight="15720" xr2:uid="{00000000-000D-0000-FFFF-FFFF00000000}"/>
  </bookViews>
  <sheets>
    <sheet name="Allgemein" sheetId="34" r:id="rId1"/>
    <sheet name="Datenbank-Preise" sheetId="42" state="hidden" r:id="rId2"/>
    <sheet name="Datenaustausch" sheetId="35" state="hidden" r:id="rId3"/>
    <sheet name="Fassade" sheetId="26" r:id="rId4"/>
    <sheet name="Fenster" sheetId="44" r:id="rId5"/>
    <sheet name="PV" sheetId="21" r:id="rId6"/>
    <sheet name="Dach" sheetId="25" r:id="rId7"/>
    <sheet name="weiteres Dach" sheetId="43" r:id="rId8"/>
    <sheet name="Boden u. Keller" sheetId="19" r:id="rId9"/>
    <sheet name="Elektro" sheetId="20" r:id="rId10"/>
    <sheet name="Wärmepumpe" sheetId="22" r:id="rId11"/>
    <sheet name="Heizflächen" sheetId="36" r:id="rId12"/>
    <sheet name="Datenbank" sheetId="33" state="hidden" r:id="rId13"/>
    <sheet name="Sonstiges" sheetId="38" r:id="rId14"/>
  </sheets>
  <definedNames>
    <definedName name="Bild">Allgemein!$L$2</definedName>
    <definedName name="DAIKIN" localSheetId="4">Heizungsauswahl[DAIKIN]</definedName>
    <definedName name="DAIKIN" localSheetId="7">Heizungsauswahl[DAIKIN]</definedName>
    <definedName name="DAIKIN">Heizungsauswahl[DAIKIN]</definedName>
    <definedName name="Heizungshersteller" localSheetId="4">Heizungsauswahl[Hersteller]</definedName>
    <definedName name="Heizungshersteller" localSheetId="7">Heizungsauswahl[Hersteller]</definedName>
    <definedName name="Heizungshersteller">Heizungsauswahl[Hersteller]</definedName>
    <definedName name="LG" localSheetId="4">Heizungsauswahl[LG]</definedName>
    <definedName name="LG" localSheetId="7">Heizungsauswahl[LG]</definedName>
    <definedName name="LG">Heizungsauswahl[LG]</definedName>
    <definedName name="r_Adresse">Datenaustausch!$D$5:$D$8</definedName>
    <definedName name="r_Angaben">Datenaustausch!$C$10:$E$15</definedName>
    <definedName name="r_Ausgaben">Datenaustausch!$BV$13:$BW$17</definedName>
    <definedName name="r_BEGEM">Datenaustausch!$BI$30:$BM$38</definedName>
    <definedName name="r_BEGWG">Datenaustausch!$BI$41:$BM$43</definedName>
    <definedName name="r_CO2Flugnach">Datenaustausch!$K$26</definedName>
    <definedName name="r_Co2Flugvor">Datenaustausch!$K$25</definedName>
    <definedName name="r_CO2Nach">Datenaustausch!$E$26</definedName>
    <definedName name="r_CO2Vor">Datenaustausch!$E$25</definedName>
    <definedName name="r_CO2Weltnach">Datenaustausch!$J$26</definedName>
    <definedName name="r_CO2Weltvor">Datenaustausch!$J$25</definedName>
    <definedName name="r_Dach">Datenaustausch!$BR$23:$BS$23</definedName>
    <definedName name="r_Effizienshaus">Datenaustausch!$J$32</definedName>
    <definedName name="r_EffizienzhausVAR1">Datenaustausch!$AJ$57</definedName>
    <definedName name="r_EffizienzhausVAR2">Datenaustausch!$AJ$79</definedName>
    <definedName name="r_EffizienzhausVAR3">Datenaustausch!$AJ$98</definedName>
    <definedName name="r_Einnahmen">Datenaustausch!$BR$13:$BS$17</definedName>
    <definedName name="r_EinsparungenEMPF">Datenaustausch!$AQ$13:$AR$14</definedName>
    <definedName name="r_EinsparungenVar1">Datenaustausch!$AC$13:$AD$14</definedName>
    <definedName name="r_EinsparungenVar2">Datenaustausch!$AG$13:$AH$14</definedName>
    <definedName name="r_EinsparungenVar3">Datenaustausch!$AL$13:$AM$14</definedName>
    <definedName name="r_EinsparungTabelleEMPF">Datenaustausch!$AQ$31:$AR$31</definedName>
    <definedName name="r_EinsparungTabelleVAR1">Datenaustausch!$AC$31:$AD$31</definedName>
    <definedName name="r_EinsparungTabelleVAR2">Datenaustausch!$AG$31:$AH$31</definedName>
    <definedName name="r_EinsparungTabelleVAR3">Datenaustausch!$AL$31:$AM$31</definedName>
    <definedName name="r_EndenergiebedarfText">Datenaustausch!$BV$6:$BX$8</definedName>
    <definedName name="r_Energieeffizienzklasse">Datenaustausch!$AS$85</definedName>
    <definedName name="r_EnergielabelVar1">Datenaustausch!$AG$57</definedName>
    <definedName name="r_EnergielabelVar2">Datenaustausch!$AG$79</definedName>
    <definedName name="r_EnergielabelVar3">Datenaustausch!$AG$98</definedName>
    <definedName name="r_Ersparniss">Datenaustausch!$J$31</definedName>
    <definedName name="r_Fassade">Datenaustausch!$BR$24:$BS$24</definedName>
    <definedName name="r_Fenster">Datenaustausch!$BR$25:$BS$25</definedName>
    <definedName name="r_HeizundStromenergie">Datenaustausch!$C$17:$E$22</definedName>
    <definedName name="r_HeizundStromkosten">Datenaustausch!$G$17:$I$22</definedName>
    <definedName name="r_Heizung">Datenaustausch!$BR$29:$BS$29</definedName>
    <definedName name="r_Keller">Datenaustausch!$BR$27:$BS$27</definedName>
    <definedName name="r_KostenbilanzEMPF">Datenaustausch!$AQ$46:$AR$46</definedName>
    <definedName name="r_KostenbilanzUMSETZ">Datenaustausch!$AQ$33:$AR$33</definedName>
    <definedName name="r_KostenbilanzVAR1">Datenaustausch!$AC$33:$AD$33</definedName>
    <definedName name="r_KostenbilanzVAR2">Datenaustausch!$AG$33:$AH$33</definedName>
    <definedName name="r_KostenbilanzVAR3">Datenaustausch!$AL$33:$AM$33</definedName>
    <definedName name="r_KostenEMPF">Datenaustausch!$AQ$17:$AR$20</definedName>
    <definedName name="r_KostenTabelleEMPF">Datenaustausch!$AQ$32:$AR$32</definedName>
    <definedName name="r_KostenTabelleVAR1">Datenaustausch!$AC$32:$AD$32</definedName>
    <definedName name="r_KostenTabelleVAR2">Datenaustausch!$AG$32:$AH$32</definedName>
    <definedName name="r_KostenTabelleVAR3">Datenaustausch!$AL$32:$AM$32</definedName>
    <definedName name="r_KostenVAR1">Datenaustausch!$AC$17:$AD$20</definedName>
    <definedName name="r_KostenVAR2">Datenaustausch!$AG$17:$AH$20</definedName>
    <definedName name="r_KostenVAR3">Datenaustausch!$AL$17:$AM$20</definedName>
    <definedName name="r_Kostenvor">Datenaustausch!$J$33</definedName>
    <definedName name="r_Maßnahmen">Datenaustausch!$BH$9:$BJ$17</definedName>
    <definedName name="r_MaßnahmenKosten">Datenaustausch!$BH$9:$BK$19</definedName>
    <definedName name="r_MaßnahmenVar1">Datenaustausch!$AB$51:$AC$65</definedName>
    <definedName name="r_MaßnahmenVar2">Datenaustausch!$AB$73:$AC$87</definedName>
    <definedName name="r_MaßnahmenVar3">Datenaustausch!$AB$94:$AC$108</definedName>
    <definedName name="r_Primärenergie">"Grafik 7,Diagramm 9"</definedName>
    <definedName name="r_Primärenergiebedarf">Datenaustausch!$BR$6:$BT$8</definedName>
    <definedName name="r_PV">Datenaustausch!$BR$30:$BS$30</definedName>
    <definedName name="r_Sonstiges">Datenaustausch!$BR$31:$BS$31</definedName>
    <definedName name="r_Sowiesokosten">Datenaustausch!$V$15:$Y$21</definedName>
    <definedName name="r_SparenUMS">Datenaustausch!$AR$15</definedName>
    <definedName name="r_SparenVar1">Datenaustausch!$AH$57</definedName>
    <definedName name="r_SparenVar2">Datenaustausch!$AH$79</definedName>
    <definedName name="r_SparenVar3">Datenaustausch!$AH$98</definedName>
    <definedName name="r_SummeFörderung">Datenaustausch!$BI$45:$BJ$45</definedName>
    <definedName name="r_SummeGH">Datenaustausch!$BR$28:$BS$28</definedName>
    <definedName name="r_tatKostenEinzelnEMPF">Datenaustausch!$AR$25</definedName>
    <definedName name="r_tatKostenEinzelnVAR1">Datenaustausch!$AD$25</definedName>
    <definedName name="r_tatKostenEinzelnVAR2">Datenaustausch!$AH$25</definedName>
    <definedName name="r_tatKostenEinzelnVAR3">Datenaustausch!$AM$25</definedName>
    <definedName name="r_tatKostenEMPF">Datenaustausch!$AQ$22:$AR$24</definedName>
    <definedName name="r_tatKostenVAR1">Datenaustausch!$AC$22:$AD$24</definedName>
    <definedName name="r_tatKostenVAR2">Datenaustausch!$AG$22:$AH$24</definedName>
    <definedName name="r_tatKostenVAR3">Datenaustausch!$AL$22:$AM$24</definedName>
    <definedName name="r_tatKostenVAREMPF">Datenaustausch!$AQ$22:$AR$24</definedName>
    <definedName name="r_uGAbschluss">Datenaustausch!$BR$26:$BS$26</definedName>
    <definedName name="r_VarianteEmpfehlung">Allgemein!$C$91</definedName>
    <definedName name="r_WBZ1">Datenaustausch!$AJ$78</definedName>
    <definedName name="r_WBZ2">Datenaustausch!$AJ$97</definedName>
    <definedName name="r_WBZUmsetzung">Allgemein!$C$130</definedName>
    <definedName name="Samsung" localSheetId="4">Heizungsauswahl[Samsung]</definedName>
    <definedName name="Samsung" localSheetId="7">Heizungsauswahl[Samsung]</definedName>
    <definedName name="Samsung">Heizungsauswahl[Samsung]</definedName>
    <definedName name="solver_eng" localSheetId="0" hidden="1">1</definedName>
    <definedName name="solver_neg" localSheetId="0" hidden="1">1</definedName>
    <definedName name="solver_num" localSheetId="0" hidden="1">0</definedName>
    <definedName name="solver_opt" localSheetId="0" hidden="1">Allgemein!$C$14</definedName>
    <definedName name="solver_typ" localSheetId="0" hidden="1">1</definedName>
    <definedName name="solver_val" localSheetId="0" hidden="1">0</definedName>
    <definedName name="solver_ver" localSheetId="0" hidden="1">3</definedName>
    <definedName name="Vaillant" localSheetId="4">Heizungsauswahl[Vaillant]</definedName>
    <definedName name="Vaillant" localSheetId="7">Heizungsauswahl[Vaillant]</definedName>
    <definedName name="Vaillant">Heizungsauswahl[Vaillant]</definedName>
    <definedName name="Viessmann" localSheetId="4">Heizungsauswahl[Viessman]</definedName>
    <definedName name="Viessmann" localSheetId="7">Heizungsauswahl[Viessman]</definedName>
    <definedName name="Viessmann">Heizungsauswahl[Viessman]</definedName>
    <definedName name="WP" localSheetId="4">EH_21[WP]</definedName>
    <definedName name="WP" localSheetId="7">EH_21[WP]</definedName>
    <definedName name="WP">EH_21[WP]</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5" i="34" l="1"/>
  <c r="G49" i="34"/>
  <c r="FL7" i="33" a="1"/>
  <c r="FL7" i="33" s="1"/>
  <c r="FN57" i="33" l="1"/>
  <c r="O74" i="36" l="1" a="1"/>
  <c r="O74" i="36" s="1"/>
  <c r="O81" i="36" a="1"/>
  <c r="O81" i="36" s="1"/>
  <c r="O95" i="36" a="1"/>
  <c r="O95" i="36" s="1"/>
  <c r="O110" i="36" a="1"/>
  <c r="O110" i="36" s="1"/>
  <c r="O67" i="36" a="1"/>
  <c r="O67" i="36" s="1"/>
  <c r="O103" i="36" a="1"/>
  <c r="O103" i="36" s="1"/>
  <c r="O68" i="36" a="1"/>
  <c r="O68" i="36" s="1"/>
  <c r="O75" i="36" a="1"/>
  <c r="O75" i="36" s="1"/>
  <c r="O82" i="36" a="1"/>
  <c r="O82" i="36" s="1"/>
  <c r="O89" i="36" a="1"/>
  <c r="O89" i="36" s="1"/>
  <c r="O96" i="36" a="1"/>
  <c r="O96" i="36" s="1"/>
  <c r="O104" i="36" a="1"/>
  <c r="O104" i="36" s="1"/>
  <c r="O111" i="36" a="1"/>
  <c r="O111" i="36" s="1"/>
  <c r="O105" i="36" a="1"/>
  <c r="O105" i="36" s="1"/>
  <c r="O112" i="36" a="1"/>
  <c r="O112" i="36" s="1"/>
  <c r="O91" i="36" a="1"/>
  <c r="O91" i="36" s="1"/>
  <c r="O70" i="36" a="1"/>
  <c r="O70" i="36" s="1"/>
  <c r="O84" i="36" a="1"/>
  <c r="O84" i="36" s="1"/>
  <c r="O92" i="36" a="1"/>
  <c r="O92" i="36" s="1"/>
  <c r="O106" i="36" a="1"/>
  <c r="O106" i="36" s="1"/>
  <c r="O85" i="36" a="1"/>
  <c r="O85" i="36" s="1"/>
  <c r="O71" i="36" a="1"/>
  <c r="O71" i="36" s="1"/>
  <c r="O86" i="36" a="1"/>
  <c r="O86" i="36" s="1"/>
  <c r="O93" i="36" a="1"/>
  <c r="O93" i="36" s="1"/>
  <c r="O107" i="36" a="1"/>
  <c r="O107" i="36" s="1"/>
  <c r="O79" i="36" a="1"/>
  <c r="O79" i="36" s="1"/>
  <c r="O80" i="36" a="1"/>
  <c r="O80" i="36" s="1"/>
  <c r="O87" i="36" a="1"/>
  <c r="O87" i="36" s="1"/>
  <c r="O101" i="36" a="1"/>
  <c r="O101" i="36" s="1"/>
  <c r="O97" i="36" a="1"/>
  <c r="O97" i="36" s="1"/>
  <c r="O69" i="36" a="1"/>
  <c r="O69" i="36" s="1"/>
  <c r="O76" i="36" a="1"/>
  <c r="O76" i="36" s="1"/>
  <c r="O83" i="36" a="1"/>
  <c r="O83" i="36" s="1"/>
  <c r="O90" i="36" a="1"/>
  <c r="O90" i="36" s="1"/>
  <c r="O98" i="36" a="1"/>
  <c r="O98" i="36" s="1"/>
  <c r="O113" i="36" a="1"/>
  <c r="O113" i="36" s="1"/>
  <c r="O77" i="36" a="1"/>
  <c r="O77" i="36" s="1"/>
  <c r="O99" i="36" a="1"/>
  <c r="O99" i="36" s="1"/>
  <c r="O114" i="36" a="1"/>
  <c r="O114" i="36" s="1"/>
  <c r="O78" i="36" a="1"/>
  <c r="O78" i="36" s="1"/>
  <c r="O100" i="36" a="1"/>
  <c r="O100" i="36" s="1"/>
  <c r="O72" i="36" a="1"/>
  <c r="O72" i="36" s="1"/>
  <c r="O94" i="36" a="1"/>
  <c r="O94" i="36" s="1"/>
  <c r="O108" i="36" a="1"/>
  <c r="O108" i="36" s="1"/>
  <c r="O73" i="36" a="1"/>
  <c r="O73" i="36" s="1"/>
  <c r="O109" i="36" a="1"/>
  <c r="O109" i="36" s="1"/>
  <c r="O88" i="36" a="1"/>
  <c r="O88" i="36" s="1"/>
  <c r="O102" i="36" a="1"/>
  <c r="O102" i="36" s="1"/>
  <c r="H49" i="34" l="1"/>
  <c r="J49" i="34"/>
  <c r="H65" i="34"/>
  <c r="J65" i="34"/>
  <c r="J81" i="34"/>
  <c r="H81" i="34"/>
  <c r="I81" i="34"/>
  <c r="I65" i="34"/>
  <c r="I49" i="34"/>
  <c r="E20" i="21" l="1"/>
  <c r="E21" i="21"/>
  <c r="G16" i="19"/>
  <c r="J48" i="34"/>
  <c r="E19" i="35"/>
  <c r="ET54" i="33" a="1"/>
  <c r="ET54" i="33" s="1"/>
  <c r="ES54" i="33" a="1"/>
  <c r="ES54" i="33" s="1"/>
  <c r="ET50" i="33" a="1"/>
  <c r="ET50" i="33" s="1"/>
  <c r="ES50" i="33" a="1"/>
  <c r="ES50" i="33" s="1"/>
  <c r="EM49" i="33"/>
  <c r="EN49" i="33"/>
  <c r="EO49" i="33"/>
  <c r="EP49" i="33"/>
  <c r="EQ49" i="33"/>
  <c r="EU49" i="33"/>
  <c r="EW49" i="33" s="1"/>
  <c r="EV49" i="33"/>
  <c r="EX49" i="33"/>
  <c r="ET49" i="33" s="1" a="1"/>
  <c r="ET49" i="33" s="1"/>
  <c r="EY49" i="33"/>
  <c r="FC49" i="33"/>
  <c r="EM50" i="33"/>
  <c r="EN50" i="33"/>
  <c r="EO50" i="33"/>
  <c r="EP50" i="33"/>
  <c r="EQ50" i="33"/>
  <c r="EU50" i="33"/>
  <c r="EW50" i="33" s="1"/>
  <c r="EV50" i="33"/>
  <c r="EX50" i="33"/>
  <c r="ER50" i="33" s="1"/>
  <c r="EY50" i="33"/>
  <c r="FC50" i="33"/>
  <c r="EM51" i="33"/>
  <c r="EN51" i="33"/>
  <c r="EO51" i="33"/>
  <c r="EP51" i="33"/>
  <c r="EQ51" i="33"/>
  <c r="EU51" i="33"/>
  <c r="EV51" i="33"/>
  <c r="EX51" i="33"/>
  <c r="ER51" i="33" s="1"/>
  <c r="EY51" i="33"/>
  <c r="FC51" i="33"/>
  <c r="EM52" i="33"/>
  <c r="EN52" i="33"/>
  <c r="EO52" i="33"/>
  <c r="EP52" i="33"/>
  <c r="EQ52" i="33"/>
  <c r="EU52" i="33"/>
  <c r="EW52" i="33" s="1"/>
  <c r="EV52" i="33"/>
  <c r="EX52" i="33"/>
  <c r="ER52" i="33" s="1"/>
  <c r="FC52" i="33"/>
  <c r="EM53" i="33"/>
  <c r="EN53" i="33"/>
  <c r="EO53" i="33"/>
  <c r="EP53" i="33"/>
  <c r="EQ53" i="33"/>
  <c r="EU53" i="33"/>
  <c r="EV53" i="33"/>
  <c r="EW53" i="33"/>
  <c r="EX53" i="33"/>
  <c r="ET53" i="33" s="1" a="1"/>
  <c r="ET53" i="33" s="1"/>
  <c r="EY53" i="33"/>
  <c r="FC53" i="33"/>
  <c r="EM54" i="33"/>
  <c r="EN54" i="33"/>
  <c r="EO54" i="33"/>
  <c r="EP54" i="33"/>
  <c r="EQ54" i="33"/>
  <c r="ER54" i="33"/>
  <c r="EU54" i="33"/>
  <c r="EV54" i="33"/>
  <c r="EW54" i="33"/>
  <c r="EX54" i="33"/>
  <c r="EY54" i="33"/>
  <c r="FC54" i="33"/>
  <c r="EM55" i="33"/>
  <c r="EN55" i="33"/>
  <c r="EO55" i="33"/>
  <c r="EP55" i="33"/>
  <c r="EQ55" i="33"/>
  <c r="ER55" i="33"/>
  <c r="EU55" i="33"/>
  <c r="EV55" i="33"/>
  <c r="EX55" i="33"/>
  <c r="ET55" i="33" s="1" a="1"/>
  <c r="ET55" i="33" s="1"/>
  <c r="EY55" i="33"/>
  <c r="FC55" i="33"/>
  <c r="EM56" i="33"/>
  <c r="EN56" i="33"/>
  <c r="EO56" i="33"/>
  <c r="EP56" i="33"/>
  <c r="EQ56" i="33"/>
  <c r="EU56" i="33"/>
  <c r="EV56" i="33"/>
  <c r="EW56" i="33"/>
  <c r="EX56" i="33"/>
  <c r="EY56" i="33" s="1"/>
  <c r="FC56" i="33"/>
  <c r="EM57" i="33"/>
  <c r="EN57" i="33"/>
  <c r="EO57" i="33"/>
  <c r="EP57" i="33"/>
  <c r="EQ57" i="33"/>
  <c r="EU57" i="33"/>
  <c r="EV57" i="33"/>
  <c r="EW57" i="33"/>
  <c r="EX57" i="33"/>
  <c r="ET57" i="33" s="1" a="1"/>
  <c r="ET57" i="33" s="1"/>
  <c r="FC57" i="33"/>
  <c r="ET40" i="33" a="1"/>
  <c r="ET40" i="33" s="1"/>
  <c r="ET36" i="33" a="1"/>
  <c r="ET36" i="33" s="1"/>
  <c r="ET34" i="33" a="1"/>
  <c r="ET34" i="33" s="1"/>
  <c r="ES33" i="33" a="1"/>
  <c r="ES33" i="33" s="1"/>
  <c r="EM33" i="33"/>
  <c r="EN33" i="33"/>
  <c r="EO33" i="33"/>
  <c r="EP33" i="33"/>
  <c r="EQ33" i="33"/>
  <c r="ER33" i="33"/>
  <c r="EU33" i="33"/>
  <c r="EV33" i="33"/>
  <c r="EX33" i="33"/>
  <c r="ET33" i="33" s="1" a="1"/>
  <c r="ET33" i="33" s="1"/>
  <c r="EY33" i="33"/>
  <c r="FC33" i="33"/>
  <c r="EM34" i="33"/>
  <c r="EN34" i="33"/>
  <c r="EO34" i="33"/>
  <c r="EP34" i="33"/>
  <c r="EQ34" i="33"/>
  <c r="EU34" i="33"/>
  <c r="EV34" i="33"/>
  <c r="EW34" i="33"/>
  <c r="EX34" i="33"/>
  <c r="ER34" i="33" s="1"/>
  <c r="EY34" i="33"/>
  <c r="FC34" i="33"/>
  <c r="EM35" i="33"/>
  <c r="EN35" i="33"/>
  <c r="EO35" i="33"/>
  <c r="EP35" i="33"/>
  <c r="EQ35" i="33"/>
  <c r="EU35" i="33"/>
  <c r="EV35" i="33"/>
  <c r="EW35" i="33"/>
  <c r="EX35" i="33"/>
  <c r="ER35" i="33" s="1"/>
  <c r="EY35" i="33"/>
  <c r="FC35" i="33"/>
  <c r="EM36" i="33"/>
  <c r="EN36" i="33"/>
  <c r="EO36" i="33"/>
  <c r="EP36" i="33"/>
  <c r="EQ36" i="33"/>
  <c r="ER36" i="33"/>
  <c r="EU36" i="33"/>
  <c r="EV36" i="33"/>
  <c r="EX36" i="33"/>
  <c r="ES36" i="33" s="1" a="1"/>
  <c r="ES36" i="33" s="1"/>
  <c r="EY36" i="33"/>
  <c r="FC36" i="33"/>
  <c r="EM37" i="33"/>
  <c r="EN37" i="33"/>
  <c r="EO37" i="33"/>
  <c r="EP37" i="33"/>
  <c r="EQ37" i="33"/>
  <c r="ER37" i="33"/>
  <c r="EU37" i="33"/>
  <c r="EV37" i="33"/>
  <c r="EW37" i="33"/>
  <c r="EX37" i="33"/>
  <c r="EY37" i="33" s="1"/>
  <c r="FC37" i="33"/>
  <c r="EM38" i="33"/>
  <c r="EN38" i="33"/>
  <c r="EO38" i="33"/>
  <c r="EP38" i="33"/>
  <c r="EQ38" i="33"/>
  <c r="EU38" i="33"/>
  <c r="EW38" i="33" s="1"/>
  <c r="EV38" i="33"/>
  <c r="EX38" i="33"/>
  <c r="ET38" i="33" s="1" a="1"/>
  <c r="ET38" i="33" s="1"/>
  <c r="EY38" i="33"/>
  <c r="FC38" i="33"/>
  <c r="EM39" i="33"/>
  <c r="EN39" i="33"/>
  <c r="EO39" i="33"/>
  <c r="EP39" i="33"/>
  <c r="EQ39" i="33"/>
  <c r="EU39" i="33"/>
  <c r="EV39" i="33"/>
  <c r="EX39" i="33"/>
  <c r="ET39" i="33" s="1" a="1"/>
  <c r="ET39" i="33" s="1"/>
  <c r="EY39" i="33"/>
  <c r="FC39" i="33"/>
  <c r="EM40" i="33"/>
  <c r="EN40" i="33"/>
  <c r="EO40" i="33"/>
  <c r="EP40" i="33"/>
  <c r="EQ40" i="33"/>
  <c r="ER40" i="33"/>
  <c r="EU40" i="33"/>
  <c r="EV40" i="33"/>
  <c r="EX40" i="33"/>
  <c r="ES40" i="33" s="1" a="1"/>
  <c r="ES40" i="33" s="1"/>
  <c r="EY40" i="33"/>
  <c r="FC40" i="33"/>
  <c r="EM41" i="33"/>
  <c r="EN41" i="33"/>
  <c r="EO41" i="33"/>
  <c r="EP41" i="33"/>
  <c r="EQ41" i="33"/>
  <c r="ER41" i="33"/>
  <c r="EU41" i="33"/>
  <c r="EW41" i="33" s="1"/>
  <c r="EV41" i="33"/>
  <c r="EX41" i="33"/>
  <c r="ET41" i="33" s="1" a="1"/>
  <c r="ET41" i="33" s="1"/>
  <c r="EY41" i="33"/>
  <c r="FC41" i="33"/>
  <c r="EM42" i="33"/>
  <c r="EN42" i="33"/>
  <c r="EO42" i="33"/>
  <c r="EP42" i="33"/>
  <c r="EQ42" i="33"/>
  <c r="EU42" i="33"/>
  <c r="EV42" i="33"/>
  <c r="EW42" i="33"/>
  <c r="EX42" i="33"/>
  <c r="ER42" i="33" s="1"/>
  <c r="EY42" i="33"/>
  <c r="FC42" i="33"/>
  <c r="EM43" i="33"/>
  <c r="EN43" i="33"/>
  <c r="EO43" i="33"/>
  <c r="EP43" i="33"/>
  <c r="EQ43" i="33"/>
  <c r="EU43" i="33"/>
  <c r="EV43" i="33"/>
  <c r="EW43" i="33"/>
  <c r="EX43" i="33"/>
  <c r="ER43" i="33" s="1"/>
  <c r="EY43" i="33"/>
  <c r="FC43" i="33"/>
  <c r="EM44" i="33"/>
  <c r="EN44" i="33"/>
  <c r="EO44" i="33"/>
  <c r="EP44" i="33"/>
  <c r="EQ44" i="33"/>
  <c r="ER44" i="33"/>
  <c r="EU44" i="33"/>
  <c r="EV44" i="33"/>
  <c r="EX44" i="33"/>
  <c r="ET44" i="33" s="1" a="1"/>
  <c r="ET44" i="33" s="1"/>
  <c r="EY44" i="33"/>
  <c r="FC44" i="33"/>
  <c r="EM45" i="33"/>
  <c r="EN45" i="33"/>
  <c r="EO45" i="33"/>
  <c r="EP45" i="33"/>
  <c r="EQ45" i="33"/>
  <c r="ER45" i="33"/>
  <c r="EU45" i="33"/>
  <c r="EV45" i="33"/>
  <c r="EW45" i="33"/>
  <c r="EX45" i="33"/>
  <c r="EY45" i="33" s="1"/>
  <c r="FC45" i="33"/>
  <c r="EM46" i="33"/>
  <c r="EN46" i="33"/>
  <c r="EO46" i="33"/>
  <c r="EP46" i="33"/>
  <c r="EQ46" i="33"/>
  <c r="EU46" i="33"/>
  <c r="EV46" i="33"/>
  <c r="EW46" i="33"/>
  <c r="EX46" i="33"/>
  <c r="ET46" i="33" s="1" a="1"/>
  <c r="ET46" i="33" s="1"/>
  <c r="EY46" i="33"/>
  <c r="FC46" i="33"/>
  <c r="EM47" i="33"/>
  <c r="EN47" i="33"/>
  <c r="EO47" i="33"/>
  <c r="EP47" i="33"/>
  <c r="EQ47" i="33"/>
  <c r="EU47" i="33"/>
  <c r="EV47" i="33"/>
  <c r="EX47" i="33"/>
  <c r="ET47" i="33" s="1" a="1"/>
  <c r="ET47" i="33" s="1"/>
  <c r="EY47" i="33"/>
  <c r="FC47" i="33"/>
  <c r="EM48" i="33"/>
  <c r="EN48" i="33"/>
  <c r="EO48" i="33"/>
  <c r="EP48" i="33"/>
  <c r="EQ48" i="33"/>
  <c r="ER48" i="33"/>
  <c r="EU48" i="33"/>
  <c r="EW48" i="33" s="1"/>
  <c r="EV48" i="33"/>
  <c r="EX48" i="33"/>
  <c r="ET48" i="33" s="1" a="1"/>
  <c r="ET48" i="33" s="1"/>
  <c r="EY48" i="33"/>
  <c r="FC48" i="33"/>
  <c r="EF57" i="33" a="1"/>
  <c r="EF57" i="33" s="1"/>
  <c r="EF56" i="33" a="1"/>
  <c r="EF56" i="33" s="1"/>
  <c r="EF55" i="33" a="1"/>
  <c r="EF55" i="33" s="1"/>
  <c r="EF54" i="33" a="1"/>
  <c r="EF54" i="33" s="1"/>
  <c r="EF53" i="33" a="1"/>
  <c r="EF53" i="33" s="1"/>
  <c r="DQ53" i="33"/>
  <c r="DR53" i="33"/>
  <c r="DS53" i="33"/>
  <c r="DT53" i="33"/>
  <c r="DU53" i="33"/>
  <c r="DV53" i="33"/>
  <c r="DW53" i="33"/>
  <c r="DX53" i="33"/>
  <c r="DY53" i="33"/>
  <c r="EA53" i="33" s="1"/>
  <c r="DZ53" i="33"/>
  <c r="EB53" i="33"/>
  <c r="EC53" i="33"/>
  <c r="ED53" i="33" s="1"/>
  <c r="EG53" i="33"/>
  <c r="DQ54" i="33"/>
  <c r="DR54" i="33"/>
  <c r="DS54" i="33"/>
  <c r="DT54" i="33"/>
  <c r="DU54" i="33"/>
  <c r="DV54" i="33"/>
  <c r="DX54" i="33"/>
  <c r="EA54" i="33" s="1"/>
  <c r="DY54" i="33"/>
  <c r="DZ54" i="33"/>
  <c r="EB54" i="33"/>
  <c r="EC54" i="33"/>
  <c r="ED54" i="33"/>
  <c r="EG54" i="33"/>
  <c r="DQ55" i="33"/>
  <c r="DR55" i="33"/>
  <c r="DS55" i="33"/>
  <c r="DT55" i="33"/>
  <c r="DU55" i="33"/>
  <c r="DV55" i="33"/>
  <c r="DW55" i="33"/>
  <c r="DX55" i="33"/>
  <c r="EA55" i="33" s="1"/>
  <c r="DY55" i="33"/>
  <c r="DZ55" i="33"/>
  <c r="EB55" i="33"/>
  <c r="EC55" i="33"/>
  <c r="ED55" i="33" s="1"/>
  <c r="EG55" i="33"/>
  <c r="DQ56" i="33"/>
  <c r="DR56" i="33"/>
  <c r="DS56" i="33"/>
  <c r="DT56" i="33"/>
  <c r="DU56" i="33"/>
  <c r="DV56" i="33"/>
  <c r="DW56" i="33" s="1"/>
  <c r="DX56" i="33"/>
  <c r="EA56" i="33" s="1"/>
  <c r="DY56" i="33"/>
  <c r="DZ56" i="33"/>
  <c r="EB56" i="33"/>
  <c r="EC56" i="33"/>
  <c r="ED56" i="33" s="1"/>
  <c r="EG56" i="33"/>
  <c r="DQ57" i="33"/>
  <c r="DR57" i="33"/>
  <c r="DS57" i="33"/>
  <c r="DT57" i="33"/>
  <c r="DU57" i="33"/>
  <c r="DV57" i="33"/>
  <c r="DX57" i="33"/>
  <c r="DY57" i="33"/>
  <c r="DZ57" i="33"/>
  <c r="EA57" i="33"/>
  <c r="EB57" i="33"/>
  <c r="EC57" i="33"/>
  <c r="ED57" i="33"/>
  <c r="EG57" i="33"/>
  <c r="EF52" i="33" a="1"/>
  <c r="EF52" i="33" s="1"/>
  <c r="EF51" i="33" a="1"/>
  <c r="EF51" i="33" s="1"/>
  <c r="EF50" i="33" a="1"/>
  <c r="EF50" i="33" s="1"/>
  <c r="EF49" i="33" a="1"/>
  <c r="EF49" i="33" s="1"/>
  <c r="EF48" i="33" a="1"/>
  <c r="EF48" i="33" s="1"/>
  <c r="DQ48" i="33"/>
  <c r="DR48" i="33"/>
  <c r="DS48" i="33"/>
  <c r="DT48" i="33"/>
  <c r="DU48" i="33"/>
  <c r="DW48" i="33" s="1"/>
  <c r="DV48" i="33"/>
  <c r="DX48" i="33"/>
  <c r="DY48" i="33"/>
  <c r="DZ48" i="33"/>
  <c r="EA48" i="33"/>
  <c r="EB48" i="33"/>
  <c r="EC48" i="33"/>
  <c r="ED48" i="33" s="1"/>
  <c r="EG48" i="33"/>
  <c r="DQ49" i="33"/>
  <c r="DR49" i="33"/>
  <c r="DS49" i="33"/>
  <c r="DT49" i="33"/>
  <c r="DU49" i="33"/>
  <c r="DV49" i="33"/>
  <c r="DX49" i="33"/>
  <c r="DY49" i="33"/>
  <c r="EA49" i="33" s="1"/>
  <c r="DZ49" i="33"/>
  <c r="EB49" i="33"/>
  <c r="EC49" i="33"/>
  <c r="ED49" i="33"/>
  <c r="EG49" i="33"/>
  <c r="DQ50" i="33"/>
  <c r="DR50" i="33"/>
  <c r="DS50" i="33"/>
  <c r="DT50" i="33"/>
  <c r="DU50" i="33"/>
  <c r="DV50" i="33"/>
  <c r="DX50" i="33"/>
  <c r="DY50" i="33"/>
  <c r="DZ50" i="33"/>
  <c r="EA50" i="33"/>
  <c r="EB50" i="33"/>
  <c r="EC50" i="33"/>
  <c r="ED50" i="33" s="1"/>
  <c r="EG50" i="33"/>
  <c r="DQ51" i="33"/>
  <c r="DR51" i="33"/>
  <c r="DS51" i="33"/>
  <c r="DT51" i="33"/>
  <c r="DU51" i="33"/>
  <c r="DV51" i="33"/>
  <c r="DW51" i="33" s="1"/>
  <c r="DX51" i="33"/>
  <c r="EA51" i="33" s="1"/>
  <c r="DY51" i="33"/>
  <c r="DZ51" i="33"/>
  <c r="EB51" i="33"/>
  <c r="EC51" i="33"/>
  <c r="ED51" i="33" s="1"/>
  <c r="EG51" i="33"/>
  <c r="DQ52" i="33"/>
  <c r="DR52" i="33"/>
  <c r="DS52" i="33"/>
  <c r="DT52" i="33"/>
  <c r="DU52" i="33"/>
  <c r="DV52" i="33"/>
  <c r="DW52" i="33"/>
  <c r="DX52" i="33"/>
  <c r="DY52" i="33"/>
  <c r="DZ52" i="33"/>
  <c r="EA52" i="33"/>
  <c r="EB52" i="33"/>
  <c r="EC52" i="33"/>
  <c r="ED52" i="33" s="1"/>
  <c r="EG52" i="33"/>
  <c r="EF47" i="33" a="1"/>
  <c r="EF47" i="33" s="1"/>
  <c r="EF46" i="33" a="1"/>
  <c r="EF46" i="33" s="1"/>
  <c r="EF45" i="33" a="1"/>
  <c r="EF45" i="33" s="1"/>
  <c r="EF44" i="33" a="1"/>
  <c r="EF44" i="33" s="1"/>
  <c r="EF43" i="33" a="1"/>
  <c r="EF43" i="33" s="1"/>
  <c r="EF42" i="33" a="1"/>
  <c r="EF42" i="33" s="1"/>
  <c r="EF41" i="33" a="1"/>
  <c r="EF41" i="33" s="1"/>
  <c r="EF40" i="33" a="1"/>
  <c r="EF40" i="33" s="1"/>
  <c r="EF39" i="33" a="1"/>
  <c r="EF39" i="33" s="1"/>
  <c r="EF38" i="33" a="1"/>
  <c r="EF38" i="33" s="1"/>
  <c r="EF37" i="33" a="1"/>
  <c r="EF37" i="33" s="1"/>
  <c r="EF36" i="33" a="1"/>
  <c r="EF36" i="33" s="1"/>
  <c r="EF35" i="33" a="1"/>
  <c r="EF35" i="33" s="1"/>
  <c r="EF34" i="33" a="1"/>
  <c r="EF34" i="33" s="1"/>
  <c r="EF33" i="33" a="1"/>
  <c r="EF33" i="33" s="1"/>
  <c r="DQ33" i="33"/>
  <c r="DR33" i="33"/>
  <c r="DS33" i="33"/>
  <c r="DT33" i="33"/>
  <c r="DU33" i="33"/>
  <c r="DV33" i="33"/>
  <c r="DW33" i="33"/>
  <c r="EE33" i="33" s="1"/>
  <c r="DX33" i="33"/>
  <c r="DY33" i="33"/>
  <c r="DZ33" i="33"/>
  <c r="EA33" i="33"/>
  <c r="EB33" i="33"/>
  <c r="EC33" i="33"/>
  <c r="ED33" i="33" s="1"/>
  <c r="EG33" i="33"/>
  <c r="DQ34" i="33"/>
  <c r="DR34" i="33"/>
  <c r="DS34" i="33"/>
  <c r="DT34" i="33"/>
  <c r="DU34" i="33"/>
  <c r="DV34" i="33"/>
  <c r="DX34" i="33"/>
  <c r="EA34" i="33" s="1"/>
  <c r="DY34" i="33"/>
  <c r="DZ34" i="33"/>
  <c r="EB34" i="33"/>
  <c r="EC34" i="33"/>
  <c r="ED34" i="33"/>
  <c r="EG34" i="33"/>
  <c r="DQ35" i="33"/>
  <c r="DR35" i="33"/>
  <c r="DS35" i="33"/>
  <c r="DT35" i="33"/>
  <c r="DU35" i="33"/>
  <c r="DV35" i="33"/>
  <c r="DW35" i="33"/>
  <c r="DX35" i="33"/>
  <c r="DY35" i="33"/>
  <c r="DZ35" i="33"/>
  <c r="EA35" i="33"/>
  <c r="EB35" i="33"/>
  <c r="EC35" i="33"/>
  <c r="ED35" i="33" s="1"/>
  <c r="EG35" i="33"/>
  <c r="DQ36" i="33"/>
  <c r="DR36" i="33"/>
  <c r="DS36" i="33"/>
  <c r="DT36" i="33"/>
  <c r="DU36" i="33"/>
  <c r="DV36" i="33"/>
  <c r="DX36" i="33"/>
  <c r="EA36" i="33" s="1"/>
  <c r="DY36" i="33"/>
  <c r="DZ36" i="33"/>
  <c r="EB36" i="33"/>
  <c r="EC36" i="33"/>
  <c r="ED36" i="33"/>
  <c r="EG36" i="33"/>
  <c r="DQ37" i="33"/>
  <c r="DR37" i="33"/>
  <c r="DS37" i="33"/>
  <c r="DT37" i="33"/>
  <c r="DU37" i="33"/>
  <c r="DV37" i="33"/>
  <c r="DW37" i="33"/>
  <c r="DX37" i="33"/>
  <c r="DY37" i="33"/>
  <c r="DZ37" i="33"/>
  <c r="EA37" i="33"/>
  <c r="EB37" i="33"/>
  <c r="EC37" i="33"/>
  <c r="ED37" i="33"/>
  <c r="EG37" i="33"/>
  <c r="DQ38" i="33"/>
  <c r="DR38" i="33"/>
  <c r="DS38" i="33"/>
  <c r="DT38" i="33"/>
  <c r="DU38" i="33"/>
  <c r="DV38" i="33"/>
  <c r="DW38" i="33" s="1"/>
  <c r="DX38" i="33"/>
  <c r="EA38" i="33" s="1"/>
  <c r="DY38" i="33"/>
  <c r="DZ38" i="33"/>
  <c r="EB38" i="33"/>
  <c r="EC38" i="33"/>
  <c r="ED38" i="33"/>
  <c r="EG38" i="33"/>
  <c r="DQ39" i="33"/>
  <c r="DR39" i="33"/>
  <c r="DS39" i="33"/>
  <c r="DT39" i="33"/>
  <c r="DU39" i="33"/>
  <c r="DW39" i="33" s="1"/>
  <c r="DV39" i="33"/>
  <c r="DX39" i="33"/>
  <c r="DY39" i="33"/>
  <c r="EA39" i="33" s="1"/>
  <c r="DZ39" i="33"/>
  <c r="EB39" i="33"/>
  <c r="EC39" i="33"/>
  <c r="ED39" i="33" s="1"/>
  <c r="EG39" i="33"/>
  <c r="DQ40" i="33"/>
  <c r="DR40" i="33"/>
  <c r="DS40" i="33"/>
  <c r="DT40" i="33"/>
  <c r="DU40" i="33"/>
  <c r="DV40" i="33"/>
  <c r="DX40" i="33"/>
  <c r="EA40" i="33" s="1"/>
  <c r="DY40" i="33"/>
  <c r="DZ40" i="33"/>
  <c r="EB40" i="33"/>
  <c r="EC40" i="33"/>
  <c r="ED40" i="33"/>
  <c r="EG40" i="33"/>
  <c r="DQ41" i="33"/>
  <c r="DR41" i="33"/>
  <c r="DS41" i="33"/>
  <c r="DT41" i="33"/>
  <c r="DU41" i="33"/>
  <c r="DV41" i="33"/>
  <c r="DW41" i="33"/>
  <c r="DX41" i="33"/>
  <c r="DY41" i="33"/>
  <c r="DZ41" i="33"/>
  <c r="EA41" i="33"/>
  <c r="EB41" i="33"/>
  <c r="EC41" i="33"/>
  <c r="ED41" i="33" s="1"/>
  <c r="EG41" i="33"/>
  <c r="DQ42" i="33"/>
  <c r="DR42" i="33"/>
  <c r="DS42" i="33"/>
  <c r="DT42" i="33"/>
  <c r="DU42" i="33"/>
  <c r="DW42" i="33" s="1"/>
  <c r="DV42" i="33"/>
  <c r="DX42" i="33"/>
  <c r="EA42" i="33" s="1"/>
  <c r="DY42" i="33"/>
  <c r="DZ42" i="33"/>
  <c r="EB42" i="33"/>
  <c r="EC42" i="33"/>
  <c r="ED42" i="33"/>
  <c r="EG42" i="33"/>
  <c r="DQ43" i="33"/>
  <c r="DR43" i="33"/>
  <c r="DS43" i="33"/>
  <c r="DT43" i="33"/>
  <c r="DU43" i="33"/>
  <c r="DV43" i="33"/>
  <c r="DX43" i="33"/>
  <c r="DY43" i="33"/>
  <c r="DZ43" i="33"/>
  <c r="EA43" i="33"/>
  <c r="EB43" i="33"/>
  <c r="EC43" i="33"/>
  <c r="ED43" i="33" s="1"/>
  <c r="EG43" i="33"/>
  <c r="DQ44" i="33"/>
  <c r="DR44" i="33"/>
  <c r="DS44" i="33"/>
  <c r="DT44" i="33"/>
  <c r="DU44" i="33"/>
  <c r="DV44" i="33"/>
  <c r="DX44" i="33"/>
  <c r="EA44" i="33" s="1"/>
  <c r="DY44" i="33"/>
  <c r="DZ44" i="33"/>
  <c r="EB44" i="33"/>
  <c r="EC44" i="33"/>
  <c r="ED44" i="33"/>
  <c r="EG44" i="33"/>
  <c r="DQ45" i="33"/>
  <c r="DR45" i="33"/>
  <c r="DS45" i="33"/>
  <c r="DT45" i="33"/>
  <c r="DU45" i="33"/>
  <c r="DV45" i="33"/>
  <c r="DW45" i="33"/>
  <c r="DX45" i="33"/>
  <c r="DY45" i="33"/>
  <c r="DZ45" i="33"/>
  <c r="EA45" i="33"/>
  <c r="EB45" i="33"/>
  <c r="EC45" i="33"/>
  <c r="ED45" i="33" s="1"/>
  <c r="EG45" i="33"/>
  <c r="DQ46" i="33"/>
  <c r="DR46" i="33"/>
  <c r="DS46" i="33"/>
  <c r="DT46" i="33"/>
  <c r="DU46" i="33"/>
  <c r="DV46" i="33"/>
  <c r="DX46" i="33"/>
  <c r="EA46" i="33" s="1"/>
  <c r="DY46" i="33"/>
  <c r="DZ46" i="33"/>
  <c r="EB46" i="33"/>
  <c r="EC46" i="33"/>
  <c r="ED46" i="33"/>
  <c r="EG46" i="33"/>
  <c r="DQ47" i="33"/>
  <c r="DR47" i="33"/>
  <c r="DS47" i="33"/>
  <c r="DT47" i="33"/>
  <c r="DU47" i="33"/>
  <c r="DV47" i="33"/>
  <c r="DW47" i="33"/>
  <c r="EE47" i="33" s="1"/>
  <c r="DX47" i="33"/>
  <c r="DY47" i="33"/>
  <c r="DZ47" i="33"/>
  <c r="EA47" i="33"/>
  <c r="EB47" i="33"/>
  <c r="EC47" i="33"/>
  <c r="ED47" i="33" s="1"/>
  <c r="EG47" i="33"/>
  <c r="B90" i="36"/>
  <c r="C90" i="36"/>
  <c r="D90" i="36"/>
  <c r="M90" i="36"/>
  <c r="N90" i="36"/>
  <c r="B91" i="36"/>
  <c r="C91" i="36"/>
  <c r="D91" i="36"/>
  <c r="M91" i="36"/>
  <c r="N91" i="36"/>
  <c r="B92" i="36"/>
  <c r="C92" i="36"/>
  <c r="D92" i="36"/>
  <c r="M92" i="36"/>
  <c r="N92" i="36"/>
  <c r="B93" i="36"/>
  <c r="C93" i="36"/>
  <c r="D93" i="36"/>
  <c r="M93" i="36"/>
  <c r="N93" i="36"/>
  <c r="B94" i="36"/>
  <c r="C94" i="36"/>
  <c r="D94" i="36"/>
  <c r="M94" i="36"/>
  <c r="N94" i="36"/>
  <c r="B95" i="36"/>
  <c r="C95" i="36"/>
  <c r="D95" i="36"/>
  <c r="M95" i="36"/>
  <c r="N95" i="36"/>
  <c r="B96" i="36"/>
  <c r="C96" i="36"/>
  <c r="D96" i="36"/>
  <c r="M96" i="36"/>
  <c r="N96" i="36"/>
  <c r="B97" i="36"/>
  <c r="C97" i="36"/>
  <c r="D97" i="36"/>
  <c r="M97" i="36"/>
  <c r="N97" i="36"/>
  <c r="B98" i="36"/>
  <c r="C98" i="36"/>
  <c r="D98" i="36"/>
  <c r="M98" i="36"/>
  <c r="N98" i="36"/>
  <c r="B99" i="36"/>
  <c r="C99" i="36"/>
  <c r="D99" i="36"/>
  <c r="M99" i="36"/>
  <c r="N99" i="36"/>
  <c r="B100" i="36"/>
  <c r="C100" i="36"/>
  <c r="D100" i="36"/>
  <c r="M100" i="36"/>
  <c r="N100" i="36"/>
  <c r="B101" i="36"/>
  <c r="C101" i="36"/>
  <c r="D101" i="36"/>
  <c r="M101" i="36"/>
  <c r="N101" i="36"/>
  <c r="B102" i="36"/>
  <c r="C102" i="36"/>
  <c r="D102" i="36"/>
  <c r="M102" i="36"/>
  <c r="N102" i="36"/>
  <c r="B103" i="36"/>
  <c r="C103" i="36"/>
  <c r="D103" i="36"/>
  <c r="M103" i="36"/>
  <c r="N103" i="36"/>
  <c r="B104" i="36"/>
  <c r="C104" i="36"/>
  <c r="D104" i="36"/>
  <c r="M104" i="36"/>
  <c r="N104" i="36"/>
  <c r="B105" i="36"/>
  <c r="C105" i="36"/>
  <c r="D105" i="36"/>
  <c r="M105" i="36"/>
  <c r="N105" i="36"/>
  <c r="B106" i="36"/>
  <c r="C106" i="36"/>
  <c r="D106" i="36"/>
  <c r="M106" i="36"/>
  <c r="N106" i="36"/>
  <c r="B107" i="36"/>
  <c r="C107" i="36"/>
  <c r="D107" i="36"/>
  <c r="M107" i="36"/>
  <c r="N107" i="36"/>
  <c r="B108" i="36"/>
  <c r="C108" i="36"/>
  <c r="D108" i="36"/>
  <c r="M108" i="36"/>
  <c r="N108" i="36"/>
  <c r="B109" i="36"/>
  <c r="C109" i="36"/>
  <c r="D109" i="36"/>
  <c r="M109" i="36"/>
  <c r="N109" i="36"/>
  <c r="B110" i="36"/>
  <c r="C110" i="36"/>
  <c r="D110" i="36"/>
  <c r="M110" i="36"/>
  <c r="N110" i="36"/>
  <c r="B111" i="36"/>
  <c r="C111" i="36"/>
  <c r="D111" i="36"/>
  <c r="M111" i="36"/>
  <c r="N111" i="36"/>
  <c r="B112" i="36"/>
  <c r="C112" i="36"/>
  <c r="D112" i="36"/>
  <c r="M112" i="36"/>
  <c r="N112" i="36"/>
  <c r="B113" i="36"/>
  <c r="C113" i="36"/>
  <c r="D113" i="36"/>
  <c r="M113" i="36"/>
  <c r="N113" i="36"/>
  <c r="B114" i="36"/>
  <c r="C114" i="36"/>
  <c r="D114" i="36"/>
  <c r="M114" i="36"/>
  <c r="N114" i="36"/>
  <c r="AC108" i="35"/>
  <c r="AC106" i="35"/>
  <c r="AC104" i="35"/>
  <c r="AC102" i="35"/>
  <c r="AC100" i="35"/>
  <c r="AC98" i="35"/>
  <c r="AC96" i="35"/>
  <c r="AC87" i="35"/>
  <c r="AC85" i="35"/>
  <c r="AC83" i="35"/>
  <c r="AC81" i="35"/>
  <c r="AC79" i="35"/>
  <c r="AC77" i="35"/>
  <c r="AC75" i="35"/>
  <c r="AC63" i="35"/>
  <c r="AC61" i="35"/>
  <c r="AC57" i="35"/>
  <c r="AC59" i="35"/>
  <c r="AC55" i="35"/>
  <c r="AC53" i="35"/>
  <c r="J103" i="34"/>
  <c r="E117" i="34" s="1"/>
  <c r="BK17" i="35" s="1"/>
  <c r="EW44" i="33" l="1"/>
  <c r="EW33" i="33"/>
  <c r="DW50" i="33"/>
  <c r="EE50" i="33" s="1"/>
  <c r="EH50" i="33" s="1"/>
  <c r="DW54" i="33"/>
  <c r="EE54" i="33" s="1"/>
  <c r="EH54" i="33" s="1"/>
  <c r="DW49" i="33"/>
  <c r="EE49" i="33" s="1"/>
  <c r="EW36" i="33"/>
  <c r="DW44" i="33"/>
  <c r="DW43" i="33"/>
  <c r="DW34" i="33"/>
  <c r="EE34" i="33" s="1"/>
  <c r="EH34" i="33" s="1"/>
  <c r="EW47" i="33"/>
  <c r="EE48" i="33"/>
  <c r="EH48" i="33" s="1"/>
  <c r="EH49" i="33"/>
  <c r="EW39" i="33"/>
  <c r="EW51" i="33"/>
  <c r="EW55" i="33"/>
  <c r="DW46" i="33"/>
  <c r="EE46" i="33" s="1"/>
  <c r="EH46" i="33" s="1"/>
  <c r="DW57" i="33"/>
  <c r="DW36" i="33"/>
  <c r="DW40" i="33"/>
  <c r="EE40" i="33" s="1"/>
  <c r="EH40" i="33" s="1"/>
  <c r="EW40" i="33"/>
  <c r="FA40" i="33" s="1"/>
  <c r="FB40" i="33" s="1"/>
  <c r="EY57" i="33"/>
  <c r="EE57" i="33"/>
  <c r="EH57" i="33" s="1"/>
  <c r="FA50" i="33"/>
  <c r="FB50" i="33" s="1"/>
  <c r="FA54" i="33"/>
  <c r="FB54" i="33" s="1"/>
  <c r="ER56" i="33"/>
  <c r="ES51" i="33" a="1"/>
  <c r="ES51" i="33" s="1"/>
  <c r="ES55" i="33" a="1"/>
  <c r="ES55" i="33" s="1"/>
  <c r="FA55" i="33" s="1"/>
  <c r="FB55" i="33" s="1"/>
  <c r="ER57" i="33"/>
  <c r="ER49" i="33"/>
  <c r="EY52" i="33"/>
  <c r="ET51" i="33" a="1"/>
  <c r="ET51" i="33" s="1"/>
  <c r="ES52" i="33" a="1"/>
  <c r="ES52" i="33" s="1"/>
  <c r="ES56" i="33" a="1"/>
  <c r="ES56" i="33" s="1"/>
  <c r="ET52" i="33" a="1"/>
  <c r="ET52" i="33" s="1"/>
  <c r="ET56" i="33" a="1"/>
  <c r="ET56" i="33" s="1"/>
  <c r="ES49" i="33" a="1"/>
  <c r="ES49" i="33" s="1"/>
  <c r="ES53" i="33" a="1"/>
  <c r="ES53" i="33" s="1"/>
  <c r="ES57" i="33" a="1"/>
  <c r="ES57" i="33" s="1"/>
  <c r="ER53" i="33"/>
  <c r="FA33" i="33"/>
  <c r="FB33" i="33" s="1"/>
  <c r="FA36" i="33"/>
  <c r="FB36" i="33" s="1"/>
  <c r="ES37" i="33" a="1"/>
  <c r="ES37" i="33" s="1"/>
  <c r="FA37" i="33" s="1"/>
  <c r="FB37" i="33" s="1"/>
  <c r="ES41" i="33" a="1"/>
  <c r="ES41" i="33" s="1"/>
  <c r="FA41" i="33" s="1"/>
  <c r="FB41" i="33" s="1"/>
  <c r="ES45" i="33" a="1"/>
  <c r="ES45" i="33" s="1"/>
  <c r="ET37" i="33" a="1"/>
  <c r="ET37" i="33" s="1"/>
  <c r="ET45" i="33" a="1"/>
  <c r="ET45" i="33" s="1"/>
  <c r="ER46" i="33"/>
  <c r="ER38" i="33"/>
  <c r="ES34" i="33" a="1"/>
  <c r="ES34" i="33" s="1"/>
  <c r="FA34" i="33" s="1"/>
  <c r="FB34" i="33" s="1"/>
  <c r="ES38" i="33" a="1"/>
  <c r="ES38" i="33" s="1"/>
  <c r="FA38" i="33" s="1"/>
  <c r="FB38" i="33" s="1"/>
  <c r="ES42" i="33" a="1"/>
  <c r="ES42" i="33" s="1"/>
  <c r="ES46" i="33" a="1"/>
  <c r="ES46" i="33" s="1"/>
  <c r="ER47" i="33"/>
  <c r="ER39" i="33"/>
  <c r="ET42" i="33" a="1"/>
  <c r="ET42" i="33" s="1"/>
  <c r="ES35" i="33" a="1"/>
  <c r="ES35" i="33" s="1"/>
  <c r="ES39" i="33" a="1"/>
  <c r="ES39" i="33" s="1"/>
  <c r="ES43" i="33" a="1"/>
  <c r="ES43" i="33" s="1"/>
  <c r="ES47" i="33" a="1"/>
  <c r="ES47" i="33" s="1"/>
  <c r="ET35" i="33" a="1"/>
  <c r="ET35" i="33" s="1"/>
  <c r="ET43" i="33" a="1"/>
  <c r="ET43" i="33" s="1"/>
  <c r="ES44" i="33" a="1"/>
  <c r="ES44" i="33" s="1"/>
  <c r="FA44" i="33" s="1"/>
  <c r="FB44" i="33" s="1"/>
  <c r="ES48" i="33" a="1"/>
  <c r="ES48" i="33" s="1"/>
  <c r="FA48" i="33" s="1"/>
  <c r="FB48" i="33" s="1"/>
  <c r="EE53" i="33"/>
  <c r="EE55" i="33"/>
  <c r="EH55" i="33" s="1"/>
  <c r="EE56" i="33"/>
  <c r="EH56" i="33" s="1"/>
  <c r="EH53" i="33"/>
  <c r="EE45" i="33"/>
  <c r="EH45" i="33" s="1"/>
  <c r="EE52" i="33"/>
  <c r="EH52" i="33"/>
  <c r="EE51" i="33"/>
  <c r="EH51" i="33" s="1"/>
  <c r="EE36" i="33"/>
  <c r="EE42" i="33"/>
  <c r="EH42" i="33" s="1"/>
  <c r="EE37" i="33"/>
  <c r="EH37" i="33" s="1"/>
  <c r="EE35" i="33"/>
  <c r="EH35" i="33" s="1"/>
  <c r="EE43" i="33"/>
  <c r="EH43" i="33" s="1"/>
  <c r="EH33" i="33"/>
  <c r="EH47" i="33"/>
  <c r="EE41" i="33"/>
  <c r="EH41" i="33" s="1"/>
  <c r="EE39" i="33"/>
  <c r="EH39" i="33" s="1"/>
  <c r="EE38" i="33"/>
  <c r="EH38" i="33" s="1"/>
  <c r="EE44" i="33"/>
  <c r="EH44" i="33" s="1"/>
  <c r="EH36" i="33"/>
  <c r="B280" i="42"/>
  <c r="E280" i="42"/>
  <c r="E26" i="44"/>
  <c r="E27" i="44"/>
  <c r="E28" i="44"/>
  <c r="E29" i="44"/>
  <c r="E30" i="44"/>
  <c r="E31" i="44"/>
  <c r="E32" i="44"/>
  <c r="E33" i="44"/>
  <c r="E34" i="44"/>
  <c r="E35" i="44"/>
  <c r="E36" i="44"/>
  <c r="E37" i="44"/>
  <c r="E38" i="44"/>
  <c r="E39" i="44"/>
  <c r="E40" i="44"/>
  <c r="E41" i="44"/>
  <c r="E42" i="44"/>
  <c r="E43" i="44"/>
  <c r="E44" i="44"/>
  <c r="E45" i="44"/>
  <c r="E46" i="44"/>
  <c r="E47" i="44"/>
  <c r="E48" i="44"/>
  <c r="E49" i="44"/>
  <c r="E50" i="44"/>
  <c r="E51" i="44"/>
  <c r="E52" i="44"/>
  <c r="E53" i="44"/>
  <c r="E54" i="44"/>
  <c r="E55" i="44"/>
  <c r="E56" i="44"/>
  <c r="E57" i="44"/>
  <c r="E58" i="44"/>
  <c r="E59" i="44"/>
  <c r="E60" i="44"/>
  <c r="E61" i="44"/>
  <c r="E62" i="44"/>
  <c r="E63" i="44"/>
  <c r="E64" i="44"/>
  <c r="E65" i="44"/>
  <c r="E66" i="44"/>
  <c r="E67" i="44"/>
  <c r="E68" i="44"/>
  <c r="E69" i="44"/>
  <c r="E70" i="44"/>
  <c r="E71" i="44"/>
  <c r="E72" i="44"/>
  <c r="E73" i="44"/>
  <c r="E74" i="44"/>
  <c r="E25" i="44"/>
  <c r="FA51" i="33" l="1"/>
  <c r="FB51" i="33" s="1"/>
  <c r="FA49" i="33"/>
  <c r="FB49" i="33" s="1"/>
  <c r="FA43" i="33"/>
  <c r="FB43" i="33" s="1"/>
  <c r="FA42" i="33"/>
  <c r="FB42" i="33" s="1"/>
  <c r="FA56" i="33"/>
  <c r="FB56" i="33" s="1"/>
  <c r="FA53" i="33"/>
  <c r="FB53" i="33" s="1"/>
  <c r="FA57" i="33"/>
  <c r="FB57" i="33" s="1"/>
  <c r="FA52" i="33"/>
  <c r="FB52" i="33" s="1"/>
  <c r="FA45" i="33"/>
  <c r="FB45" i="33" s="1"/>
  <c r="FA46" i="33"/>
  <c r="FB46" i="33" s="1"/>
  <c r="FA35" i="33"/>
  <c r="FB35" i="33" s="1"/>
  <c r="FA47" i="33"/>
  <c r="FB47" i="33" s="1"/>
  <c r="FA39" i="33"/>
  <c r="FB39" i="33" s="1"/>
  <c r="D6" i="34" l="1"/>
  <c r="E11" i="43" l="1"/>
  <c r="E11" i="25"/>
  <c r="M12" i="44" a="1"/>
  <c r="M12" i="44" s="1"/>
  <c r="D52" i="34"/>
  <c r="AC65" i="35" s="1"/>
  <c r="AJ97" i="35"/>
  <c r="AJ78" i="35"/>
  <c r="D12" i="22"/>
  <c r="GG15" i="33"/>
  <c r="GJ15" i="33"/>
  <c r="GA14" i="33"/>
  <c r="GG14" i="33"/>
  <c r="GM14" i="33"/>
  <c r="FX14" i="33"/>
  <c r="R38" i="44" l="1"/>
  <c r="R39" i="44"/>
  <c r="GM15" i="33"/>
  <c r="FX15" i="33"/>
  <c r="GA15" i="33"/>
  <c r="GD14" i="33"/>
  <c r="GD15" i="33"/>
  <c r="I280" i="42" l="1"/>
  <c r="E102" i="34" s="1"/>
  <c r="I281" i="42" s="1"/>
  <c r="H280" i="42"/>
  <c r="E101" i="34" s="1"/>
  <c r="G280" i="42"/>
  <c r="E100" i="34" s="1"/>
  <c r="F280" i="42"/>
  <c r="E98" i="34" s="1"/>
  <c r="E97" i="34"/>
  <c r="C280" i="42"/>
  <c r="E95" i="34" s="1"/>
  <c r="D280" i="42"/>
  <c r="E96" i="34" s="1"/>
  <c r="D273" i="42"/>
  <c r="D96" i="34" s="1"/>
  <c r="D274" i="42" s="1"/>
  <c r="H273" i="42"/>
  <c r="D101" i="34" s="1"/>
  <c r="H274" i="42" s="1"/>
  <c r="G273" i="42"/>
  <c r="D100" i="34" s="1"/>
  <c r="F273" i="42"/>
  <c r="D98" i="34" s="1"/>
  <c r="F274" i="42" s="1"/>
  <c r="E273" i="42"/>
  <c r="D97" i="34" s="1"/>
  <c r="E274" i="42" s="1"/>
  <c r="C273" i="42"/>
  <c r="D95" i="34" s="1"/>
  <c r="C274" i="42" s="1"/>
  <c r="B273" i="42"/>
  <c r="D94" i="34" s="1"/>
  <c r="B274" i="42" s="1"/>
  <c r="I266" i="42"/>
  <c r="C102" i="34" s="1"/>
  <c r="H266" i="42"/>
  <c r="C101" i="34" s="1"/>
  <c r="G266" i="42"/>
  <c r="C100" i="34" s="1"/>
  <c r="G267" i="42" s="1"/>
  <c r="F266" i="42"/>
  <c r="C98" i="34" s="1"/>
  <c r="E266" i="42"/>
  <c r="C97" i="34" s="1"/>
  <c r="D266" i="42"/>
  <c r="C96" i="34" s="1"/>
  <c r="D267" i="42" s="1"/>
  <c r="C266" i="42"/>
  <c r="B266" i="42"/>
  <c r="J235" i="42"/>
  <c r="K235" i="42" s="1"/>
  <c r="K237" i="42" s="1"/>
  <c r="H235" i="42"/>
  <c r="I235" i="42" s="1"/>
  <c r="I237" i="42" s="1"/>
  <c r="F235" i="42"/>
  <c r="G235" i="42" s="1"/>
  <c r="AC110" i="42"/>
  <c r="AD110" i="42" s="1"/>
  <c r="AC109" i="42"/>
  <c r="AA110" i="42"/>
  <c r="AB110" i="42" s="1"/>
  <c r="AA109" i="42"/>
  <c r="Y110" i="42"/>
  <c r="Z110" i="42" s="1"/>
  <c r="Y109" i="42"/>
  <c r="R112" i="42"/>
  <c r="P112" i="42"/>
  <c r="N112" i="42"/>
  <c r="J80" i="34"/>
  <c r="J64" i="34"/>
  <c r="M115" i="34"/>
  <c r="M113" i="34"/>
  <c r="M111" i="34"/>
  <c r="M110" i="34"/>
  <c r="M112" i="34"/>
  <c r="M114" i="34"/>
  <c r="C49" i="34"/>
  <c r="H129" i="34"/>
  <c r="H123" i="34"/>
  <c r="C130" i="34"/>
  <c r="C129" i="34"/>
  <c r="C128" i="34"/>
  <c r="C127" i="34"/>
  <c r="C126" i="34"/>
  <c r="J32" i="35" s="1"/>
  <c r="C125" i="34"/>
  <c r="C124" i="34"/>
  <c r="C123" i="34"/>
  <c r="C122" i="34"/>
  <c r="M108" i="34"/>
  <c r="L110" i="34"/>
  <c r="L111" i="34"/>
  <c r="L112" i="34"/>
  <c r="L113" i="34"/>
  <c r="L114" i="34"/>
  <c r="L115" i="34"/>
  <c r="L108" i="34"/>
  <c r="K110" i="34"/>
  <c r="K111" i="34"/>
  <c r="K112" i="34"/>
  <c r="K113" i="34"/>
  <c r="K114" i="34"/>
  <c r="K115" i="34"/>
  <c r="K108" i="34"/>
  <c r="H114" i="34"/>
  <c r="H112" i="34"/>
  <c r="BL36" i="35" s="1"/>
  <c r="H111" i="34"/>
  <c r="H110" i="34"/>
  <c r="H109" i="34"/>
  <c r="H108" i="34"/>
  <c r="G114" i="34"/>
  <c r="G112" i="34"/>
  <c r="G111" i="34"/>
  <c r="G110" i="34"/>
  <c r="G109" i="34"/>
  <c r="G108" i="34"/>
  <c r="F114" i="34"/>
  <c r="F112" i="34"/>
  <c r="F111" i="34"/>
  <c r="F110" i="34"/>
  <c r="F109" i="34"/>
  <c r="F108" i="34"/>
  <c r="N53" i="34"/>
  <c r="C81" i="34"/>
  <c r="C65" i="34"/>
  <c r="Y58" i="35"/>
  <c r="Y44" i="35"/>
  <c r="Y32" i="35"/>
  <c r="I29" i="19"/>
  <c r="H29" i="19"/>
  <c r="G29" i="19"/>
  <c r="I26" i="19"/>
  <c r="H26" i="19"/>
  <c r="G26" i="19"/>
  <c r="I23" i="19"/>
  <c r="H23" i="19"/>
  <c r="G23" i="19"/>
  <c r="I20" i="19"/>
  <c r="H20" i="19"/>
  <c r="G20" i="19"/>
  <c r="I114" i="34" l="1"/>
  <c r="BK36" i="35"/>
  <c r="I112" i="34"/>
  <c r="G274" i="42"/>
  <c r="BJ14" i="35"/>
  <c r="BS29" i="35" s="1"/>
  <c r="BJ13" i="35"/>
  <c r="BS26" i="35"/>
  <c r="BS27" i="35"/>
  <c r="H267" i="42"/>
  <c r="D281" i="42"/>
  <c r="BJ12" i="35"/>
  <c r="BS25" i="35" s="1"/>
  <c r="C281" i="42"/>
  <c r="E281" i="42"/>
  <c r="G281" i="42"/>
  <c r="H281" i="42"/>
  <c r="BJ15" i="35"/>
  <c r="BS30" i="35" s="1"/>
  <c r="I267" i="42"/>
  <c r="AR63" i="35"/>
  <c r="E94" i="34"/>
  <c r="C95" i="34"/>
  <c r="C267" i="42" s="1"/>
  <c r="E267" i="42"/>
  <c r="F267" i="42"/>
  <c r="C94" i="34"/>
  <c r="Y72" i="35"/>
  <c r="M117" i="34"/>
  <c r="I111" i="34"/>
  <c r="I108" i="34"/>
  <c r="I110" i="34"/>
  <c r="I109" i="34"/>
  <c r="BM36" i="35"/>
  <c r="L117" i="34"/>
  <c r="D84" i="34"/>
  <c r="D68" i="34"/>
  <c r="I273" i="42"/>
  <c r="D102" i="34" s="1"/>
  <c r="I274" i="42" s="1"/>
  <c r="I99" i="34"/>
  <c r="B82" i="42"/>
  <c r="B80" i="42"/>
  <c r="B81" i="42"/>
  <c r="Q142" i="42"/>
  <c r="Y19" i="35"/>
  <c r="AJ98" i="35"/>
  <c r="AJ79" i="35"/>
  <c r="AJ57" i="35"/>
  <c r="I113" i="34" l="1"/>
  <c r="BJ10" i="35"/>
  <c r="BS23" i="35" s="1"/>
  <c r="BJ11" i="35"/>
  <c r="BS24" i="35" s="1"/>
  <c r="BJ16" i="35"/>
  <c r="BS31" i="35" s="1"/>
  <c r="B281" i="42"/>
  <c r="B267" i="42"/>
  <c r="E14" i="19"/>
  <c r="I30" i="34" s="1"/>
  <c r="X44" i="35" s="1"/>
  <c r="G27" i="19"/>
  <c r="M81" i="42" s="1"/>
  <c r="N81" i="42" s="1"/>
  <c r="G21" i="19"/>
  <c r="M79" i="42" s="1"/>
  <c r="N79" i="42" s="1"/>
  <c r="H21" i="19"/>
  <c r="O79" i="42" s="1"/>
  <c r="P79" i="42" s="1"/>
  <c r="I21" i="19"/>
  <c r="Q79" i="42" s="1"/>
  <c r="R79" i="42" s="1"/>
  <c r="G237" i="42"/>
  <c r="G52" i="34" s="1"/>
  <c r="G84" i="34"/>
  <c r="H8" i="38" s="1"/>
  <c r="G68" i="34"/>
  <c r="K11" i="38"/>
  <c r="J11" i="38"/>
  <c r="I11" i="38"/>
  <c r="B239" i="42"/>
  <c r="B238" i="42"/>
  <c r="B237" i="42"/>
  <c r="K143" i="42"/>
  <c r="H142" i="42"/>
  <c r="E143" i="42"/>
  <c r="B143" i="42"/>
  <c r="B135" i="42"/>
  <c r="B134" i="42"/>
  <c r="B133" i="42"/>
  <c r="B122" i="42"/>
  <c r="B121" i="42"/>
  <c r="B120" i="42"/>
  <c r="B62" i="42"/>
  <c r="B61" i="42"/>
  <c r="B60" i="42"/>
  <c r="I24" i="19" s="1"/>
  <c r="Q78" i="42" s="1"/>
  <c r="R78" i="42" s="1"/>
  <c r="B44" i="42"/>
  <c r="B43" i="42"/>
  <c r="B42" i="42"/>
  <c r="B31" i="42"/>
  <c r="B30" i="42"/>
  <c r="B29" i="42"/>
  <c r="B18" i="42"/>
  <c r="B17" i="42"/>
  <c r="B16" i="42"/>
  <c r="V520" i="26"/>
  <c r="P476" i="26"/>
  <c r="P475" i="26"/>
  <c r="P474" i="26"/>
  <c r="P473" i="26"/>
  <c r="P472" i="26"/>
  <c r="P471" i="26"/>
  <c r="P470" i="26"/>
  <c r="P469" i="26"/>
  <c r="P468" i="26"/>
  <c r="P467" i="26"/>
  <c r="P463" i="26"/>
  <c r="P462" i="26"/>
  <c r="P461" i="26"/>
  <c r="P460" i="26"/>
  <c r="P459" i="26"/>
  <c r="P458" i="26"/>
  <c r="P457" i="26"/>
  <c r="P456" i="26"/>
  <c r="P455" i="26"/>
  <c r="P454" i="26"/>
  <c r="P450" i="26"/>
  <c r="P449" i="26"/>
  <c r="P448" i="26"/>
  <c r="P447" i="26"/>
  <c r="P446" i="26"/>
  <c r="P445" i="26"/>
  <c r="P444" i="26"/>
  <c r="P443" i="26"/>
  <c r="P442" i="26"/>
  <c r="P441" i="26"/>
  <c r="P437" i="26"/>
  <c r="P436" i="26"/>
  <c r="P435" i="26"/>
  <c r="P434" i="26"/>
  <c r="P433" i="26"/>
  <c r="P432" i="26"/>
  <c r="P431" i="26"/>
  <c r="P430" i="26"/>
  <c r="P429" i="26"/>
  <c r="P428" i="26"/>
  <c r="P424" i="26"/>
  <c r="P423" i="26"/>
  <c r="P422" i="26"/>
  <c r="P421" i="26"/>
  <c r="P420" i="26"/>
  <c r="P419" i="26"/>
  <c r="P418" i="26"/>
  <c r="P417" i="26"/>
  <c r="P416" i="26"/>
  <c r="P415" i="26"/>
  <c r="P411" i="26"/>
  <c r="P410" i="26"/>
  <c r="P409" i="26"/>
  <c r="P408" i="26"/>
  <c r="P407" i="26"/>
  <c r="P406" i="26"/>
  <c r="P405" i="26"/>
  <c r="P404" i="26"/>
  <c r="P403" i="26"/>
  <c r="P402" i="26"/>
  <c r="P398" i="26"/>
  <c r="P397" i="26"/>
  <c r="P396" i="26"/>
  <c r="P395" i="26"/>
  <c r="P394" i="26"/>
  <c r="P393" i="26"/>
  <c r="P392" i="26"/>
  <c r="P391" i="26"/>
  <c r="P390" i="26"/>
  <c r="P389" i="26"/>
  <c r="P385" i="26"/>
  <c r="P384" i="26"/>
  <c r="P383" i="26"/>
  <c r="P382" i="26"/>
  <c r="P381" i="26"/>
  <c r="P380" i="26"/>
  <c r="P379" i="26"/>
  <c r="P378" i="26"/>
  <c r="P377" i="26"/>
  <c r="P376" i="26"/>
  <c r="P372" i="26"/>
  <c r="P371" i="26"/>
  <c r="P370" i="26"/>
  <c r="P369" i="26"/>
  <c r="P368" i="26"/>
  <c r="P367" i="26"/>
  <c r="P366" i="26"/>
  <c r="P365" i="26"/>
  <c r="P364" i="26"/>
  <c r="P363" i="26"/>
  <c r="P359" i="26"/>
  <c r="P358" i="26"/>
  <c r="P357" i="26"/>
  <c r="P356" i="26"/>
  <c r="P355" i="26"/>
  <c r="P354" i="26"/>
  <c r="P353" i="26"/>
  <c r="P352" i="26"/>
  <c r="P351" i="26"/>
  <c r="P350" i="26"/>
  <c r="P346" i="26"/>
  <c r="P345" i="26"/>
  <c r="P344" i="26"/>
  <c r="P343" i="26"/>
  <c r="P342" i="26"/>
  <c r="P341" i="26"/>
  <c r="P340" i="26"/>
  <c r="P339" i="26"/>
  <c r="P338" i="26"/>
  <c r="P337" i="26"/>
  <c r="P333" i="26"/>
  <c r="P332" i="26"/>
  <c r="P331" i="26"/>
  <c r="P330" i="26"/>
  <c r="P329" i="26"/>
  <c r="P328" i="26"/>
  <c r="P327" i="26"/>
  <c r="P326" i="26"/>
  <c r="P325" i="26"/>
  <c r="P324" i="26"/>
  <c r="P320" i="26"/>
  <c r="P319" i="26"/>
  <c r="P318" i="26"/>
  <c r="P317" i="26"/>
  <c r="P316" i="26"/>
  <c r="P315" i="26"/>
  <c r="P314" i="26"/>
  <c r="P313" i="26"/>
  <c r="P312" i="26"/>
  <c r="P311" i="26"/>
  <c r="P307" i="26"/>
  <c r="P306" i="26"/>
  <c r="P305" i="26"/>
  <c r="P304" i="26"/>
  <c r="P303" i="26"/>
  <c r="P302" i="26"/>
  <c r="P301" i="26"/>
  <c r="P300" i="26"/>
  <c r="P299" i="26"/>
  <c r="P298" i="26"/>
  <c r="P294" i="26"/>
  <c r="P293" i="26"/>
  <c r="P292" i="26"/>
  <c r="P291" i="26"/>
  <c r="P290" i="26"/>
  <c r="P289" i="26"/>
  <c r="P288" i="26"/>
  <c r="P287" i="26"/>
  <c r="P286" i="26"/>
  <c r="P285" i="26"/>
  <c r="P281" i="26"/>
  <c r="P280" i="26"/>
  <c r="P279" i="26"/>
  <c r="P278" i="26"/>
  <c r="P277" i="26"/>
  <c r="P276" i="26"/>
  <c r="P275" i="26"/>
  <c r="P274" i="26"/>
  <c r="P273" i="26"/>
  <c r="P272" i="26"/>
  <c r="P268" i="26"/>
  <c r="P267" i="26"/>
  <c r="P266" i="26"/>
  <c r="P265" i="26"/>
  <c r="P264" i="26"/>
  <c r="P263" i="26"/>
  <c r="P262" i="26"/>
  <c r="P261" i="26"/>
  <c r="P260" i="26"/>
  <c r="P259" i="26"/>
  <c r="P255" i="26"/>
  <c r="P254" i="26"/>
  <c r="P253" i="26"/>
  <c r="P252" i="26"/>
  <c r="P251" i="26"/>
  <c r="P250" i="26"/>
  <c r="P249" i="26"/>
  <c r="P248" i="26"/>
  <c r="P247" i="26"/>
  <c r="P246" i="26"/>
  <c r="P242" i="26"/>
  <c r="P241" i="26"/>
  <c r="P240" i="26"/>
  <c r="P239" i="26"/>
  <c r="P238" i="26"/>
  <c r="P237" i="26"/>
  <c r="P236" i="26"/>
  <c r="P235" i="26"/>
  <c r="P234" i="26"/>
  <c r="P233" i="26"/>
  <c r="P229" i="26"/>
  <c r="P228" i="26"/>
  <c r="P227" i="26"/>
  <c r="P226" i="26"/>
  <c r="P225" i="26"/>
  <c r="P224" i="26"/>
  <c r="P223" i="26"/>
  <c r="P222" i="26"/>
  <c r="P221" i="26"/>
  <c r="P220" i="26"/>
  <c r="P216" i="26"/>
  <c r="P215" i="26"/>
  <c r="P214" i="26"/>
  <c r="P213" i="26"/>
  <c r="P212" i="26"/>
  <c r="P211" i="26"/>
  <c r="P210" i="26"/>
  <c r="P209" i="26"/>
  <c r="P208" i="26"/>
  <c r="P207" i="26"/>
  <c r="P203" i="26"/>
  <c r="P202" i="26"/>
  <c r="P201" i="26"/>
  <c r="P200" i="26"/>
  <c r="P199" i="26"/>
  <c r="P198" i="26"/>
  <c r="P197" i="26"/>
  <c r="P196" i="26"/>
  <c r="P195" i="26"/>
  <c r="P194" i="26"/>
  <c r="P190" i="26"/>
  <c r="P189" i="26"/>
  <c r="P188" i="26"/>
  <c r="P187" i="26"/>
  <c r="P186" i="26"/>
  <c r="P185" i="26"/>
  <c r="P184" i="26"/>
  <c r="P183" i="26"/>
  <c r="P182" i="26"/>
  <c r="P181" i="26"/>
  <c r="P177" i="26"/>
  <c r="P176" i="26"/>
  <c r="P175" i="26"/>
  <c r="P174" i="26"/>
  <c r="P173" i="26"/>
  <c r="P172" i="26"/>
  <c r="P171" i="26"/>
  <c r="P170" i="26"/>
  <c r="P169" i="26"/>
  <c r="P168" i="26"/>
  <c r="P164" i="26"/>
  <c r="P163" i="26"/>
  <c r="P162" i="26"/>
  <c r="P161" i="26"/>
  <c r="P160" i="26"/>
  <c r="P159" i="26"/>
  <c r="P158" i="26"/>
  <c r="P157" i="26"/>
  <c r="P156" i="26"/>
  <c r="P155" i="26"/>
  <c r="P151" i="26"/>
  <c r="P150" i="26"/>
  <c r="P149" i="26"/>
  <c r="P148" i="26"/>
  <c r="P147" i="26"/>
  <c r="P146" i="26"/>
  <c r="P145" i="26"/>
  <c r="P144" i="26"/>
  <c r="P143" i="26"/>
  <c r="P142" i="26"/>
  <c r="P138" i="26"/>
  <c r="P137" i="26"/>
  <c r="P136" i="26"/>
  <c r="P135" i="26"/>
  <c r="P134" i="26"/>
  <c r="P133" i="26"/>
  <c r="P132" i="26"/>
  <c r="P131" i="26"/>
  <c r="P130" i="26"/>
  <c r="P129" i="26"/>
  <c r="P125" i="26"/>
  <c r="P124" i="26"/>
  <c r="P123" i="26"/>
  <c r="P122" i="26"/>
  <c r="P121" i="26"/>
  <c r="P120" i="26"/>
  <c r="P119" i="26"/>
  <c r="P118" i="26"/>
  <c r="P117" i="26"/>
  <c r="P116" i="26"/>
  <c r="P112" i="26"/>
  <c r="P111" i="26"/>
  <c r="P110" i="26"/>
  <c r="P109" i="26"/>
  <c r="P108" i="26"/>
  <c r="P107" i="26"/>
  <c r="P106" i="26"/>
  <c r="P105" i="26"/>
  <c r="P104" i="26"/>
  <c r="P103" i="26"/>
  <c r="P99" i="26"/>
  <c r="P98" i="26"/>
  <c r="P97" i="26"/>
  <c r="P96" i="26"/>
  <c r="P95" i="26"/>
  <c r="P94" i="26"/>
  <c r="P93" i="26"/>
  <c r="P92" i="26"/>
  <c r="P91" i="26"/>
  <c r="P90" i="26"/>
  <c r="P86" i="26"/>
  <c r="P85" i="26"/>
  <c r="P84" i="26"/>
  <c r="P83" i="26"/>
  <c r="P82" i="26"/>
  <c r="P81" i="26"/>
  <c r="P80" i="26"/>
  <c r="P79" i="26"/>
  <c r="P78" i="26"/>
  <c r="P77" i="26"/>
  <c r="P73" i="26"/>
  <c r="P72" i="26"/>
  <c r="P71" i="26"/>
  <c r="P70" i="26"/>
  <c r="P69" i="26"/>
  <c r="P68" i="26"/>
  <c r="P67" i="26"/>
  <c r="P66" i="26"/>
  <c r="P65" i="26"/>
  <c r="P64" i="26"/>
  <c r="P60" i="26"/>
  <c r="P59" i="26"/>
  <c r="P58" i="26"/>
  <c r="P57" i="26"/>
  <c r="P56" i="26"/>
  <c r="P55" i="26"/>
  <c r="P54" i="26"/>
  <c r="P53" i="26"/>
  <c r="P52" i="26"/>
  <c r="P51" i="26"/>
  <c r="P47" i="26"/>
  <c r="P46" i="26"/>
  <c r="P45" i="26"/>
  <c r="P44" i="26"/>
  <c r="P43" i="26"/>
  <c r="P42" i="26"/>
  <c r="P41" i="26"/>
  <c r="P40" i="26"/>
  <c r="P39" i="26"/>
  <c r="P38" i="26"/>
  <c r="P34" i="26"/>
  <c r="P33" i="26"/>
  <c r="P32" i="26"/>
  <c r="P31" i="26"/>
  <c r="P30" i="26"/>
  <c r="P29" i="26"/>
  <c r="P28" i="26"/>
  <c r="P27" i="26"/>
  <c r="P26" i="26"/>
  <c r="P25" i="26"/>
  <c r="P21" i="26"/>
  <c r="P20" i="26"/>
  <c r="P19" i="26"/>
  <c r="P18" i="26"/>
  <c r="P17" i="26"/>
  <c r="P16" i="26"/>
  <c r="P15" i="26"/>
  <c r="P14" i="26"/>
  <c r="P13" i="26"/>
  <c r="P12" i="26"/>
  <c r="P515" i="26"/>
  <c r="P514" i="26"/>
  <c r="P513" i="26"/>
  <c r="P512" i="26"/>
  <c r="P511" i="26"/>
  <c r="P510" i="26"/>
  <c r="P509" i="26"/>
  <c r="P508" i="26"/>
  <c r="P507" i="26"/>
  <c r="P506" i="26"/>
  <c r="P502" i="26"/>
  <c r="P501" i="26"/>
  <c r="P500" i="26"/>
  <c r="P499" i="26"/>
  <c r="P498" i="26"/>
  <c r="P497" i="26"/>
  <c r="P496" i="26"/>
  <c r="P495" i="26"/>
  <c r="P494" i="26"/>
  <c r="P493" i="26"/>
  <c r="P484" i="26"/>
  <c r="P485" i="26"/>
  <c r="P486" i="26"/>
  <c r="P487" i="26"/>
  <c r="P488" i="26"/>
  <c r="P489" i="26"/>
  <c r="O476" i="26"/>
  <c r="O475" i="26"/>
  <c r="O474" i="26"/>
  <c r="O473" i="26"/>
  <c r="O472" i="26"/>
  <c r="O471" i="26"/>
  <c r="O470" i="26"/>
  <c r="O469" i="26"/>
  <c r="O468" i="26"/>
  <c r="O467" i="26"/>
  <c r="O463" i="26"/>
  <c r="O462" i="26"/>
  <c r="O461" i="26"/>
  <c r="O460" i="26"/>
  <c r="O459" i="26"/>
  <c r="O458" i="26"/>
  <c r="O457" i="26"/>
  <c r="O456" i="26"/>
  <c r="O455" i="26"/>
  <c r="O454" i="26"/>
  <c r="O450" i="26"/>
  <c r="O449" i="26"/>
  <c r="O448" i="26"/>
  <c r="O447" i="26"/>
  <c r="O446" i="26"/>
  <c r="O445" i="26"/>
  <c r="O444" i="26"/>
  <c r="O443" i="26"/>
  <c r="O442" i="26"/>
  <c r="O441" i="26"/>
  <c r="O437" i="26"/>
  <c r="O436" i="26"/>
  <c r="O435" i="26"/>
  <c r="O434" i="26"/>
  <c r="O433" i="26"/>
  <c r="O432" i="26"/>
  <c r="O431" i="26"/>
  <c r="O430" i="26"/>
  <c r="O429" i="26"/>
  <c r="O428" i="26"/>
  <c r="O424" i="26"/>
  <c r="O423" i="26"/>
  <c r="O422" i="26"/>
  <c r="O421" i="26"/>
  <c r="O420" i="26"/>
  <c r="O419" i="26"/>
  <c r="O418" i="26"/>
  <c r="O417" i="26"/>
  <c r="O416" i="26"/>
  <c r="O415" i="26"/>
  <c r="O411" i="26"/>
  <c r="O410" i="26"/>
  <c r="O409" i="26"/>
  <c r="O408" i="26"/>
  <c r="O407" i="26"/>
  <c r="O406" i="26"/>
  <c r="O405" i="26"/>
  <c r="O404" i="26"/>
  <c r="O403" i="26"/>
  <c r="O402" i="26"/>
  <c r="O398" i="26"/>
  <c r="O397" i="26"/>
  <c r="O396" i="26"/>
  <c r="O395" i="26"/>
  <c r="O394" i="26"/>
  <c r="O393" i="26"/>
  <c r="O392" i="26"/>
  <c r="O391" i="26"/>
  <c r="O390" i="26"/>
  <c r="O389" i="26"/>
  <c r="O385" i="26"/>
  <c r="O384" i="26"/>
  <c r="O383" i="26"/>
  <c r="O382" i="26"/>
  <c r="O381" i="26"/>
  <c r="O380" i="26"/>
  <c r="O379" i="26"/>
  <c r="O378" i="26"/>
  <c r="O377" i="26"/>
  <c r="O376" i="26"/>
  <c r="O372" i="26"/>
  <c r="O371" i="26"/>
  <c r="O370" i="26"/>
  <c r="O369" i="26"/>
  <c r="O368" i="26"/>
  <c r="O367" i="26"/>
  <c r="O366" i="26"/>
  <c r="O365" i="26"/>
  <c r="O364" i="26"/>
  <c r="O363" i="26"/>
  <c r="O359" i="26"/>
  <c r="O358" i="26"/>
  <c r="O357" i="26"/>
  <c r="O356" i="26"/>
  <c r="O355" i="26"/>
  <c r="O354" i="26"/>
  <c r="O353" i="26"/>
  <c r="O352" i="26"/>
  <c r="O351" i="26"/>
  <c r="O350" i="26"/>
  <c r="O346" i="26"/>
  <c r="O345" i="26"/>
  <c r="O344" i="26"/>
  <c r="O343" i="26"/>
  <c r="O342" i="26"/>
  <c r="O341" i="26"/>
  <c r="O340" i="26"/>
  <c r="O339" i="26"/>
  <c r="O338" i="26"/>
  <c r="O337" i="26"/>
  <c r="O333" i="26"/>
  <c r="O332" i="26"/>
  <c r="O331" i="26"/>
  <c r="O330" i="26"/>
  <c r="O329" i="26"/>
  <c r="O328" i="26"/>
  <c r="O327" i="26"/>
  <c r="O326" i="26"/>
  <c r="O325" i="26"/>
  <c r="O324" i="26"/>
  <c r="O320" i="26"/>
  <c r="O319" i="26"/>
  <c r="O318" i="26"/>
  <c r="O317" i="26"/>
  <c r="O316" i="26"/>
  <c r="O315" i="26"/>
  <c r="O314" i="26"/>
  <c r="O313" i="26"/>
  <c r="O312" i="26"/>
  <c r="O311" i="26"/>
  <c r="O307" i="26"/>
  <c r="O306" i="26"/>
  <c r="O305" i="26"/>
  <c r="O304" i="26"/>
  <c r="O303" i="26"/>
  <c r="O302" i="26"/>
  <c r="O301" i="26"/>
  <c r="O300" i="26"/>
  <c r="O299" i="26"/>
  <c r="O298" i="26"/>
  <c r="O294" i="26"/>
  <c r="O293" i="26"/>
  <c r="O292" i="26"/>
  <c r="O291" i="26"/>
  <c r="O290" i="26"/>
  <c r="O289" i="26"/>
  <c r="O288" i="26"/>
  <c r="O287" i="26"/>
  <c r="O286" i="26"/>
  <c r="O285" i="26"/>
  <c r="O281" i="26"/>
  <c r="O280" i="26"/>
  <c r="O279" i="26"/>
  <c r="O278" i="26"/>
  <c r="O277" i="26"/>
  <c r="O276" i="26"/>
  <c r="O275" i="26"/>
  <c r="O274" i="26"/>
  <c r="O273" i="26"/>
  <c r="O272" i="26"/>
  <c r="O268" i="26"/>
  <c r="O267" i="26"/>
  <c r="O266" i="26"/>
  <c r="O265" i="26"/>
  <c r="O264" i="26"/>
  <c r="O263" i="26"/>
  <c r="O262" i="26"/>
  <c r="O261" i="26"/>
  <c r="O260" i="26"/>
  <c r="O259" i="26"/>
  <c r="O255" i="26"/>
  <c r="O254" i="26"/>
  <c r="O253" i="26"/>
  <c r="O252" i="26"/>
  <c r="O251" i="26"/>
  <c r="O250" i="26"/>
  <c r="O249" i="26"/>
  <c r="O248" i="26"/>
  <c r="O247" i="26"/>
  <c r="O246" i="26"/>
  <c r="O242" i="26"/>
  <c r="O241" i="26"/>
  <c r="O240" i="26"/>
  <c r="O239" i="26"/>
  <c r="O238" i="26"/>
  <c r="O237" i="26"/>
  <c r="O236" i="26"/>
  <c r="O235" i="26"/>
  <c r="O234" i="26"/>
  <c r="O233" i="26"/>
  <c r="O229" i="26"/>
  <c r="O228" i="26"/>
  <c r="O227" i="26"/>
  <c r="O226" i="26"/>
  <c r="O225" i="26"/>
  <c r="O224" i="26"/>
  <c r="O223" i="26"/>
  <c r="O222" i="26"/>
  <c r="O221" i="26"/>
  <c r="O220" i="26"/>
  <c r="O216" i="26"/>
  <c r="O215" i="26"/>
  <c r="O214" i="26"/>
  <c r="O213" i="26"/>
  <c r="O212" i="26"/>
  <c r="O211" i="26"/>
  <c r="O210" i="26"/>
  <c r="O209" i="26"/>
  <c r="O208" i="26"/>
  <c r="O207" i="26"/>
  <c r="O203" i="26"/>
  <c r="O202" i="26"/>
  <c r="O201" i="26"/>
  <c r="O200" i="26"/>
  <c r="O199" i="26"/>
  <c r="O198" i="26"/>
  <c r="O197" i="26"/>
  <c r="O196" i="26"/>
  <c r="O195" i="26"/>
  <c r="O194" i="26"/>
  <c r="O190" i="26"/>
  <c r="O189" i="26"/>
  <c r="O188" i="26"/>
  <c r="O187" i="26"/>
  <c r="O186" i="26"/>
  <c r="O185" i="26"/>
  <c r="O184" i="26"/>
  <c r="O183" i="26"/>
  <c r="O182" i="26"/>
  <c r="O181" i="26"/>
  <c r="O177" i="26"/>
  <c r="O176" i="26"/>
  <c r="O175" i="26"/>
  <c r="O174" i="26"/>
  <c r="O173" i="26"/>
  <c r="O172" i="26"/>
  <c r="O171" i="26"/>
  <c r="O170" i="26"/>
  <c r="O169" i="26"/>
  <c r="O168" i="26"/>
  <c r="O164" i="26"/>
  <c r="O163" i="26"/>
  <c r="O162" i="26"/>
  <c r="O161" i="26"/>
  <c r="O160" i="26"/>
  <c r="O159" i="26"/>
  <c r="O158" i="26"/>
  <c r="O157" i="26"/>
  <c r="O156" i="26"/>
  <c r="O155" i="26"/>
  <c r="O151" i="26"/>
  <c r="O150" i="26"/>
  <c r="O149" i="26"/>
  <c r="O148" i="26"/>
  <c r="O147" i="26"/>
  <c r="O146" i="26"/>
  <c r="O145" i="26"/>
  <c r="O144" i="26"/>
  <c r="O143" i="26"/>
  <c r="O142" i="26"/>
  <c r="O138" i="26"/>
  <c r="O137" i="26"/>
  <c r="O136" i="26"/>
  <c r="O135" i="26"/>
  <c r="O134" i="26"/>
  <c r="O133" i="26"/>
  <c r="O132" i="26"/>
  <c r="O131" i="26"/>
  <c r="O130" i="26"/>
  <c r="O129" i="26"/>
  <c r="O125" i="26"/>
  <c r="O124" i="26"/>
  <c r="O123" i="26"/>
  <c r="O122" i="26"/>
  <c r="O121" i="26"/>
  <c r="O120" i="26"/>
  <c r="O119" i="26"/>
  <c r="O118" i="26"/>
  <c r="O117" i="26"/>
  <c r="O116" i="26"/>
  <c r="O112" i="26"/>
  <c r="O111" i="26"/>
  <c r="O110" i="26"/>
  <c r="O109" i="26"/>
  <c r="O108" i="26"/>
  <c r="O107" i="26"/>
  <c r="O106" i="26"/>
  <c r="O105" i="26"/>
  <c r="O104" i="26"/>
  <c r="O103" i="26"/>
  <c r="O99" i="26"/>
  <c r="O98" i="26"/>
  <c r="O97" i="26"/>
  <c r="O96" i="26"/>
  <c r="O95" i="26"/>
  <c r="O94" i="26"/>
  <c r="O93" i="26"/>
  <c r="O92" i="26"/>
  <c r="O91" i="26"/>
  <c r="O90" i="26"/>
  <c r="O86" i="26"/>
  <c r="O85" i="26"/>
  <c r="O84" i="26"/>
  <c r="O83" i="26"/>
  <c r="O82" i="26"/>
  <c r="O81" i="26"/>
  <c r="O80" i="26"/>
  <c r="O79" i="26"/>
  <c r="O78" i="26"/>
  <c r="O77" i="26"/>
  <c r="O73" i="26"/>
  <c r="O72" i="26"/>
  <c r="O71" i="26"/>
  <c r="O70" i="26"/>
  <c r="O69" i="26"/>
  <c r="O68" i="26"/>
  <c r="O67" i="26"/>
  <c r="O66" i="26"/>
  <c r="O65" i="26"/>
  <c r="O64" i="26"/>
  <c r="O60" i="26"/>
  <c r="O59" i="26"/>
  <c r="O58" i="26"/>
  <c r="O57" i="26"/>
  <c r="O56" i="26"/>
  <c r="O55" i="26"/>
  <c r="O54" i="26"/>
  <c r="O53" i="26"/>
  <c r="O52" i="26"/>
  <c r="O51" i="26"/>
  <c r="O47" i="26"/>
  <c r="O46" i="26"/>
  <c r="O45" i="26"/>
  <c r="O44" i="26"/>
  <c r="O43" i="26"/>
  <c r="O42" i="26"/>
  <c r="O41" i="26"/>
  <c r="O40" i="26"/>
  <c r="O39" i="26"/>
  <c r="O38" i="26"/>
  <c r="O34" i="26"/>
  <c r="O33" i="26"/>
  <c r="O32" i="26"/>
  <c r="O31" i="26"/>
  <c r="O30" i="26"/>
  <c r="O29" i="26"/>
  <c r="O28" i="26"/>
  <c r="O27" i="26"/>
  <c r="O26" i="26"/>
  <c r="O25" i="26"/>
  <c r="O21" i="26"/>
  <c r="O20" i="26"/>
  <c r="O19" i="26"/>
  <c r="O18" i="26"/>
  <c r="O17" i="26"/>
  <c r="O16" i="26"/>
  <c r="O15" i="26"/>
  <c r="O14" i="26"/>
  <c r="O13" i="26"/>
  <c r="O12" i="26"/>
  <c r="O515" i="26"/>
  <c r="O514" i="26"/>
  <c r="O513" i="26"/>
  <c r="O512" i="26"/>
  <c r="O511" i="26"/>
  <c r="O510" i="26"/>
  <c r="O509" i="26"/>
  <c r="O508" i="26"/>
  <c r="O507" i="26"/>
  <c r="O506" i="26"/>
  <c r="O502" i="26"/>
  <c r="O501" i="26"/>
  <c r="O500" i="26"/>
  <c r="O499" i="26"/>
  <c r="O498" i="26"/>
  <c r="O497" i="26"/>
  <c r="O496" i="26"/>
  <c r="O495" i="26"/>
  <c r="O494" i="26"/>
  <c r="O493" i="26"/>
  <c r="O484" i="26"/>
  <c r="O485" i="26"/>
  <c r="O486" i="26"/>
  <c r="O487" i="26"/>
  <c r="O488" i="26"/>
  <c r="O489" i="26"/>
  <c r="N476" i="26"/>
  <c r="N475" i="26"/>
  <c r="N474" i="26"/>
  <c r="N473" i="26"/>
  <c r="N472" i="26"/>
  <c r="N471" i="26"/>
  <c r="N470" i="26"/>
  <c r="N469" i="26"/>
  <c r="N468" i="26"/>
  <c r="N467" i="26"/>
  <c r="N463" i="26"/>
  <c r="N462" i="26"/>
  <c r="N461" i="26"/>
  <c r="N460" i="26"/>
  <c r="N459" i="26"/>
  <c r="N458" i="26"/>
  <c r="N457" i="26"/>
  <c r="N456" i="26"/>
  <c r="N455" i="26"/>
  <c r="N454" i="26"/>
  <c r="N450" i="26"/>
  <c r="N449" i="26"/>
  <c r="N448" i="26"/>
  <c r="N447" i="26"/>
  <c r="N446" i="26"/>
  <c r="N445" i="26"/>
  <c r="N444" i="26"/>
  <c r="N443" i="26"/>
  <c r="N442" i="26"/>
  <c r="N441" i="26"/>
  <c r="N437" i="26"/>
  <c r="N436" i="26"/>
  <c r="N435" i="26"/>
  <c r="N434" i="26"/>
  <c r="N433" i="26"/>
  <c r="N432" i="26"/>
  <c r="N431" i="26"/>
  <c r="N430" i="26"/>
  <c r="N429" i="26"/>
  <c r="N428" i="26"/>
  <c r="N424" i="26"/>
  <c r="N423" i="26"/>
  <c r="N422" i="26"/>
  <c r="N421" i="26"/>
  <c r="N420" i="26"/>
  <c r="N419" i="26"/>
  <c r="N418" i="26"/>
  <c r="N417" i="26"/>
  <c r="N416" i="26"/>
  <c r="N415" i="26"/>
  <c r="N411" i="26"/>
  <c r="N410" i="26"/>
  <c r="N409" i="26"/>
  <c r="N408" i="26"/>
  <c r="N407" i="26"/>
  <c r="N406" i="26"/>
  <c r="N405" i="26"/>
  <c r="N404" i="26"/>
  <c r="N403" i="26"/>
  <c r="N402" i="26"/>
  <c r="N398" i="26"/>
  <c r="N397" i="26"/>
  <c r="N396" i="26"/>
  <c r="N395" i="26"/>
  <c r="N394" i="26"/>
  <c r="N393" i="26"/>
  <c r="N392" i="26"/>
  <c r="N391" i="26"/>
  <c r="N390" i="26"/>
  <c r="N389" i="26"/>
  <c r="N385" i="26"/>
  <c r="N384" i="26"/>
  <c r="N383" i="26"/>
  <c r="N382" i="26"/>
  <c r="N381" i="26"/>
  <c r="N380" i="26"/>
  <c r="N379" i="26"/>
  <c r="N378" i="26"/>
  <c r="N377" i="26"/>
  <c r="N376" i="26"/>
  <c r="N372" i="26"/>
  <c r="N371" i="26"/>
  <c r="N370" i="26"/>
  <c r="N369" i="26"/>
  <c r="N368" i="26"/>
  <c r="N367" i="26"/>
  <c r="N366" i="26"/>
  <c r="N365" i="26"/>
  <c r="N364" i="26"/>
  <c r="N363" i="26"/>
  <c r="N359" i="26"/>
  <c r="N358" i="26"/>
  <c r="N357" i="26"/>
  <c r="N356" i="26"/>
  <c r="N355" i="26"/>
  <c r="N354" i="26"/>
  <c r="N353" i="26"/>
  <c r="N352" i="26"/>
  <c r="N351" i="26"/>
  <c r="N350" i="26"/>
  <c r="N346" i="26"/>
  <c r="N345" i="26"/>
  <c r="N344" i="26"/>
  <c r="N343" i="26"/>
  <c r="N342" i="26"/>
  <c r="N341" i="26"/>
  <c r="N340" i="26"/>
  <c r="N339" i="26"/>
  <c r="N338" i="26"/>
  <c r="N337" i="26"/>
  <c r="N333" i="26"/>
  <c r="N332" i="26"/>
  <c r="N331" i="26"/>
  <c r="N330" i="26"/>
  <c r="N329" i="26"/>
  <c r="N328" i="26"/>
  <c r="N327" i="26"/>
  <c r="N326" i="26"/>
  <c r="N325" i="26"/>
  <c r="N324" i="26"/>
  <c r="N320" i="26"/>
  <c r="N319" i="26"/>
  <c r="N318" i="26"/>
  <c r="N317" i="26"/>
  <c r="N316" i="26"/>
  <c r="N315" i="26"/>
  <c r="N314" i="26"/>
  <c r="N313" i="26"/>
  <c r="N312" i="26"/>
  <c r="N311" i="26"/>
  <c r="N307" i="26"/>
  <c r="N306" i="26"/>
  <c r="N305" i="26"/>
  <c r="N304" i="26"/>
  <c r="N303" i="26"/>
  <c r="N302" i="26"/>
  <c r="N301" i="26"/>
  <c r="N300" i="26"/>
  <c r="N299" i="26"/>
  <c r="N298" i="26"/>
  <c r="N294" i="26"/>
  <c r="N293" i="26"/>
  <c r="N292" i="26"/>
  <c r="N291" i="26"/>
  <c r="N290" i="26"/>
  <c r="N289" i="26"/>
  <c r="N288" i="26"/>
  <c r="N287" i="26"/>
  <c r="N286" i="26"/>
  <c r="N285" i="26"/>
  <c r="N281" i="26"/>
  <c r="N280" i="26"/>
  <c r="N279" i="26"/>
  <c r="N278" i="26"/>
  <c r="N277" i="26"/>
  <c r="N276" i="26"/>
  <c r="N275" i="26"/>
  <c r="N274" i="26"/>
  <c r="N273" i="26"/>
  <c r="N272" i="26"/>
  <c r="N268" i="26"/>
  <c r="N267" i="26"/>
  <c r="N266" i="26"/>
  <c r="N265" i="26"/>
  <c r="N264" i="26"/>
  <c r="N263" i="26"/>
  <c r="N262" i="26"/>
  <c r="N261" i="26"/>
  <c r="N260" i="26"/>
  <c r="N259" i="26"/>
  <c r="N255" i="26"/>
  <c r="N254" i="26"/>
  <c r="N253" i="26"/>
  <c r="N252" i="26"/>
  <c r="N251" i="26"/>
  <c r="N250" i="26"/>
  <c r="N249" i="26"/>
  <c r="N248" i="26"/>
  <c r="N247" i="26"/>
  <c r="N246" i="26"/>
  <c r="N242" i="26"/>
  <c r="N241" i="26"/>
  <c r="N240" i="26"/>
  <c r="N239" i="26"/>
  <c r="N238" i="26"/>
  <c r="N237" i="26"/>
  <c r="N236" i="26"/>
  <c r="N235" i="26"/>
  <c r="N234" i="26"/>
  <c r="N233" i="26"/>
  <c r="N229" i="26"/>
  <c r="N228" i="26"/>
  <c r="N227" i="26"/>
  <c r="N226" i="26"/>
  <c r="N225" i="26"/>
  <c r="N224" i="26"/>
  <c r="N223" i="26"/>
  <c r="N222" i="26"/>
  <c r="N221" i="26"/>
  <c r="N220" i="26"/>
  <c r="N216" i="26"/>
  <c r="N215" i="26"/>
  <c r="N214" i="26"/>
  <c r="N213" i="26"/>
  <c r="N212" i="26"/>
  <c r="N211" i="26"/>
  <c r="N210" i="26"/>
  <c r="N209" i="26"/>
  <c r="N208" i="26"/>
  <c r="N207" i="26"/>
  <c r="N203" i="26"/>
  <c r="N202" i="26"/>
  <c r="N201" i="26"/>
  <c r="N200" i="26"/>
  <c r="N199" i="26"/>
  <c r="N198" i="26"/>
  <c r="N197" i="26"/>
  <c r="N196" i="26"/>
  <c r="N195" i="26"/>
  <c r="N194" i="26"/>
  <c r="N190" i="26"/>
  <c r="N189" i="26"/>
  <c r="N188" i="26"/>
  <c r="N187" i="26"/>
  <c r="N186" i="26"/>
  <c r="N185" i="26"/>
  <c r="N184" i="26"/>
  <c r="N183" i="26"/>
  <c r="N182" i="26"/>
  <c r="N181" i="26"/>
  <c r="N177" i="26"/>
  <c r="N176" i="26"/>
  <c r="N175" i="26"/>
  <c r="N174" i="26"/>
  <c r="N173" i="26"/>
  <c r="N172" i="26"/>
  <c r="N171" i="26"/>
  <c r="N170" i="26"/>
  <c r="N169" i="26"/>
  <c r="N168" i="26"/>
  <c r="N164" i="26"/>
  <c r="N163" i="26"/>
  <c r="N162" i="26"/>
  <c r="N161" i="26"/>
  <c r="N160" i="26"/>
  <c r="N159" i="26"/>
  <c r="N158" i="26"/>
  <c r="N157" i="26"/>
  <c r="N156" i="26"/>
  <c r="N155" i="26"/>
  <c r="N151" i="26"/>
  <c r="N150" i="26"/>
  <c r="N149" i="26"/>
  <c r="N148" i="26"/>
  <c r="N147" i="26"/>
  <c r="N146" i="26"/>
  <c r="N145" i="26"/>
  <c r="N144" i="26"/>
  <c r="N143" i="26"/>
  <c r="N142" i="26"/>
  <c r="N138" i="26"/>
  <c r="N137" i="26"/>
  <c r="N136" i="26"/>
  <c r="N135" i="26"/>
  <c r="N134" i="26"/>
  <c r="N133" i="26"/>
  <c r="N132" i="26"/>
  <c r="N131" i="26"/>
  <c r="N130" i="26"/>
  <c r="N129" i="26"/>
  <c r="N125" i="26"/>
  <c r="N124" i="26"/>
  <c r="N123" i="26"/>
  <c r="N122" i="26"/>
  <c r="N121" i="26"/>
  <c r="N120" i="26"/>
  <c r="N119" i="26"/>
  <c r="N118" i="26"/>
  <c r="N117" i="26"/>
  <c r="N116" i="26"/>
  <c r="N112" i="26"/>
  <c r="N111" i="26"/>
  <c r="N110" i="26"/>
  <c r="N109" i="26"/>
  <c r="N108" i="26"/>
  <c r="N107" i="26"/>
  <c r="N106" i="26"/>
  <c r="N105" i="26"/>
  <c r="N104" i="26"/>
  <c r="N103" i="26"/>
  <c r="N99" i="26"/>
  <c r="N98" i="26"/>
  <c r="N97" i="26"/>
  <c r="N96" i="26"/>
  <c r="N95" i="26"/>
  <c r="N94" i="26"/>
  <c r="N93" i="26"/>
  <c r="N92" i="26"/>
  <c r="N91" i="26"/>
  <c r="N90" i="26"/>
  <c r="N86" i="26"/>
  <c r="N85" i="26"/>
  <c r="N84" i="26"/>
  <c r="N83" i="26"/>
  <c r="N82" i="26"/>
  <c r="N81" i="26"/>
  <c r="N80" i="26"/>
  <c r="N79" i="26"/>
  <c r="N78" i="26"/>
  <c r="N77" i="26"/>
  <c r="N73" i="26"/>
  <c r="N72" i="26"/>
  <c r="N71" i="26"/>
  <c r="N70" i="26"/>
  <c r="N69" i="26"/>
  <c r="N68" i="26"/>
  <c r="N67" i="26"/>
  <c r="N66" i="26"/>
  <c r="N65" i="26"/>
  <c r="N64" i="26"/>
  <c r="N60" i="26"/>
  <c r="N59" i="26"/>
  <c r="N58" i="26"/>
  <c r="N57" i="26"/>
  <c r="N56" i="26"/>
  <c r="N55" i="26"/>
  <c r="N54" i="26"/>
  <c r="N53" i="26"/>
  <c r="N52" i="26"/>
  <c r="N51" i="26"/>
  <c r="N47" i="26"/>
  <c r="N46" i="26"/>
  <c r="N45" i="26"/>
  <c r="N44" i="26"/>
  <c r="N43" i="26"/>
  <c r="N42" i="26"/>
  <c r="N41" i="26"/>
  <c r="N40" i="26"/>
  <c r="N39" i="26"/>
  <c r="N38" i="26"/>
  <c r="N34" i="26"/>
  <c r="N33" i="26"/>
  <c r="N32" i="26"/>
  <c r="N31" i="26"/>
  <c r="N30" i="26"/>
  <c r="N29" i="26"/>
  <c r="N28" i="26"/>
  <c r="N27" i="26"/>
  <c r="N26" i="26"/>
  <c r="N25" i="26"/>
  <c r="N21" i="26"/>
  <c r="N20" i="26"/>
  <c r="N19" i="26"/>
  <c r="N18" i="26"/>
  <c r="N17" i="26"/>
  <c r="N16" i="26"/>
  <c r="N15" i="26"/>
  <c r="N14" i="26"/>
  <c r="N13" i="26"/>
  <c r="N12" i="26"/>
  <c r="N515" i="26"/>
  <c r="N514" i="26"/>
  <c r="N513" i="26"/>
  <c r="N512" i="26"/>
  <c r="N511" i="26"/>
  <c r="N510" i="26"/>
  <c r="N509" i="26"/>
  <c r="N508" i="26"/>
  <c r="N507" i="26"/>
  <c r="N506" i="26"/>
  <c r="N502" i="26"/>
  <c r="N501" i="26"/>
  <c r="N500" i="26"/>
  <c r="N499" i="26"/>
  <c r="N498" i="26"/>
  <c r="N497" i="26"/>
  <c r="N496" i="26"/>
  <c r="N495" i="26"/>
  <c r="N494" i="26"/>
  <c r="N493" i="26"/>
  <c r="N484" i="26"/>
  <c r="N485" i="26"/>
  <c r="N486" i="26"/>
  <c r="N487" i="26"/>
  <c r="N488" i="26"/>
  <c r="N489" i="26"/>
  <c r="M476" i="26"/>
  <c r="M475" i="26"/>
  <c r="M474" i="26"/>
  <c r="M473" i="26"/>
  <c r="M472" i="26"/>
  <c r="M471" i="26"/>
  <c r="M470" i="26"/>
  <c r="M469" i="26"/>
  <c r="M468" i="26"/>
  <c r="M467" i="26"/>
  <c r="M463" i="26"/>
  <c r="M462" i="26"/>
  <c r="M461" i="26"/>
  <c r="M460" i="26"/>
  <c r="M459" i="26"/>
  <c r="M458" i="26"/>
  <c r="M457" i="26"/>
  <c r="M456" i="26"/>
  <c r="M455" i="26"/>
  <c r="M454" i="26"/>
  <c r="M450" i="26"/>
  <c r="M449" i="26"/>
  <c r="M448" i="26"/>
  <c r="M447" i="26"/>
  <c r="M446" i="26"/>
  <c r="M445" i="26"/>
  <c r="M444" i="26"/>
  <c r="M443" i="26"/>
  <c r="M442" i="26"/>
  <c r="M441" i="26"/>
  <c r="M437" i="26"/>
  <c r="M436" i="26"/>
  <c r="M435" i="26"/>
  <c r="M434" i="26"/>
  <c r="M433" i="26"/>
  <c r="M432" i="26"/>
  <c r="M431" i="26"/>
  <c r="M430" i="26"/>
  <c r="M429" i="26"/>
  <c r="M428" i="26"/>
  <c r="M424" i="26"/>
  <c r="M423" i="26"/>
  <c r="M422" i="26"/>
  <c r="M421" i="26"/>
  <c r="M420" i="26"/>
  <c r="M419" i="26"/>
  <c r="M418" i="26"/>
  <c r="M417" i="26"/>
  <c r="M416" i="26"/>
  <c r="M415" i="26"/>
  <c r="M411" i="26"/>
  <c r="M410" i="26"/>
  <c r="M409" i="26"/>
  <c r="M408" i="26"/>
  <c r="M407" i="26"/>
  <c r="M406" i="26"/>
  <c r="M405" i="26"/>
  <c r="M404" i="26"/>
  <c r="M403" i="26"/>
  <c r="M402" i="26"/>
  <c r="M398" i="26"/>
  <c r="M397" i="26"/>
  <c r="M396" i="26"/>
  <c r="M395" i="26"/>
  <c r="M394" i="26"/>
  <c r="M393" i="26"/>
  <c r="M392" i="26"/>
  <c r="M391" i="26"/>
  <c r="M390" i="26"/>
  <c r="M389" i="26"/>
  <c r="M385" i="26"/>
  <c r="M384" i="26"/>
  <c r="M383" i="26"/>
  <c r="M382" i="26"/>
  <c r="M381" i="26"/>
  <c r="M380" i="26"/>
  <c r="M379" i="26"/>
  <c r="M378" i="26"/>
  <c r="M377" i="26"/>
  <c r="M376" i="26"/>
  <c r="M372" i="26"/>
  <c r="M371" i="26"/>
  <c r="M370" i="26"/>
  <c r="M369" i="26"/>
  <c r="M368" i="26"/>
  <c r="M367" i="26"/>
  <c r="M366" i="26"/>
  <c r="M365" i="26"/>
  <c r="M364" i="26"/>
  <c r="M363" i="26"/>
  <c r="M359" i="26"/>
  <c r="M358" i="26"/>
  <c r="M357" i="26"/>
  <c r="M356" i="26"/>
  <c r="M355" i="26"/>
  <c r="M354" i="26"/>
  <c r="M353" i="26"/>
  <c r="M352" i="26"/>
  <c r="M351" i="26"/>
  <c r="M350" i="26"/>
  <c r="M346" i="26"/>
  <c r="M345" i="26"/>
  <c r="M344" i="26"/>
  <c r="M343" i="26"/>
  <c r="M342" i="26"/>
  <c r="M341" i="26"/>
  <c r="M340" i="26"/>
  <c r="M339" i="26"/>
  <c r="M338" i="26"/>
  <c r="M337" i="26"/>
  <c r="M333" i="26"/>
  <c r="M332" i="26"/>
  <c r="M331" i="26"/>
  <c r="M330" i="26"/>
  <c r="M329" i="26"/>
  <c r="M328" i="26"/>
  <c r="M327" i="26"/>
  <c r="M326" i="26"/>
  <c r="M325" i="26"/>
  <c r="M324" i="26"/>
  <c r="M320" i="26"/>
  <c r="M319" i="26"/>
  <c r="M318" i="26"/>
  <c r="M317" i="26"/>
  <c r="M316" i="26"/>
  <c r="M315" i="26"/>
  <c r="M314" i="26"/>
  <c r="M313" i="26"/>
  <c r="M312" i="26"/>
  <c r="M311" i="26"/>
  <c r="M307" i="26"/>
  <c r="M306" i="26"/>
  <c r="M305" i="26"/>
  <c r="M304" i="26"/>
  <c r="M303" i="26"/>
  <c r="M302" i="26"/>
  <c r="M301" i="26"/>
  <c r="M300" i="26"/>
  <c r="M299" i="26"/>
  <c r="M298" i="26"/>
  <c r="M294" i="26"/>
  <c r="M293" i="26"/>
  <c r="M292" i="26"/>
  <c r="M291" i="26"/>
  <c r="M290" i="26"/>
  <c r="M289" i="26"/>
  <c r="M288" i="26"/>
  <c r="M287" i="26"/>
  <c r="M286" i="26"/>
  <c r="M285" i="26"/>
  <c r="M281" i="26"/>
  <c r="M280" i="26"/>
  <c r="M279" i="26"/>
  <c r="M278" i="26"/>
  <c r="M277" i="26"/>
  <c r="M276" i="26"/>
  <c r="M275" i="26"/>
  <c r="M274" i="26"/>
  <c r="M273" i="26"/>
  <c r="M272" i="26"/>
  <c r="M268" i="26"/>
  <c r="M267" i="26"/>
  <c r="M266" i="26"/>
  <c r="M265" i="26"/>
  <c r="M264" i="26"/>
  <c r="M263" i="26"/>
  <c r="M262" i="26"/>
  <c r="M261" i="26"/>
  <c r="M260" i="26"/>
  <c r="M259" i="26"/>
  <c r="M255" i="26"/>
  <c r="M254" i="26"/>
  <c r="M253" i="26"/>
  <c r="M252" i="26"/>
  <c r="M251" i="26"/>
  <c r="M250" i="26"/>
  <c r="M249" i="26"/>
  <c r="M248" i="26"/>
  <c r="M247" i="26"/>
  <c r="M246" i="26"/>
  <c r="M242" i="26"/>
  <c r="M241" i="26"/>
  <c r="M240" i="26"/>
  <c r="M239" i="26"/>
  <c r="M238" i="26"/>
  <c r="M237" i="26"/>
  <c r="M236" i="26"/>
  <c r="M235" i="26"/>
  <c r="M234" i="26"/>
  <c r="M233" i="26"/>
  <c r="M229" i="26"/>
  <c r="M228" i="26"/>
  <c r="M227" i="26"/>
  <c r="M226" i="26"/>
  <c r="M225" i="26"/>
  <c r="M224" i="26"/>
  <c r="M223" i="26"/>
  <c r="M222" i="26"/>
  <c r="M221" i="26"/>
  <c r="M220" i="26"/>
  <c r="M216" i="26"/>
  <c r="M215" i="26"/>
  <c r="M214" i="26"/>
  <c r="M213" i="26"/>
  <c r="M212" i="26"/>
  <c r="M211" i="26"/>
  <c r="M210" i="26"/>
  <c r="M209" i="26"/>
  <c r="M208" i="26"/>
  <c r="M207" i="26"/>
  <c r="M203" i="26"/>
  <c r="M202" i="26"/>
  <c r="M201" i="26"/>
  <c r="M200" i="26"/>
  <c r="M199" i="26"/>
  <c r="M198" i="26"/>
  <c r="M197" i="26"/>
  <c r="M196" i="26"/>
  <c r="M195" i="26"/>
  <c r="M194" i="26"/>
  <c r="M190" i="26"/>
  <c r="M189" i="26"/>
  <c r="M188" i="26"/>
  <c r="M187" i="26"/>
  <c r="M186" i="26"/>
  <c r="M185" i="26"/>
  <c r="M184" i="26"/>
  <c r="M183" i="26"/>
  <c r="M182" i="26"/>
  <c r="M181" i="26"/>
  <c r="M177" i="26"/>
  <c r="M176" i="26"/>
  <c r="M175" i="26"/>
  <c r="M174" i="26"/>
  <c r="M173" i="26"/>
  <c r="M172" i="26"/>
  <c r="M171" i="26"/>
  <c r="M170" i="26"/>
  <c r="M169" i="26"/>
  <c r="M168" i="26"/>
  <c r="M164" i="26"/>
  <c r="M163" i="26"/>
  <c r="M162" i="26"/>
  <c r="M161" i="26"/>
  <c r="M160" i="26"/>
  <c r="M159" i="26"/>
  <c r="M158" i="26"/>
  <c r="M157" i="26"/>
  <c r="M156" i="26"/>
  <c r="M155" i="26"/>
  <c r="M151" i="26"/>
  <c r="M150" i="26"/>
  <c r="M149" i="26"/>
  <c r="M148" i="26"/>
  <c r="M147" i="26"/>
  <c r="M146" i="26"/>
  <c r="M145" i="26"/>
  <c r="M144" i="26"/>
  <c r="M143" i="26"/>
  <c r="M142" i="26"/>
  <c r="M138" i="26"/>
  <c r="M137" i="26"/>
  <c r="M136" i="26"/>
  <c r="M135" i="26"/>
  <c r="M134" i="26"/>
  <c r="M133" i="26"/>
  <c r="M132" i="26"/>
  <c r="M131" i="26"/>
  <c r="M130" i="26"/>
  <c r="M129" i="26"/>
  <c r="M125" i="26"/>
  <c r="M124" i="26"/>
  <c r="M123" i="26"/>
  <c r="M122" i="26"/>
  <c r="M121" i="26"/>
  <c r="M120" i="26"/>
  <c r="M119" i="26"/>
  <c r="M118" i="26"/>
  <c r="M117" i="26"/>
  <c r="M116" i="26"/>
  <c r="M112" i="26"/>
  <c r="M111" i="26"/>
  <c r="M110" i="26"/>
  <c r="M109" i="26"/>
  <c r="M108" i="26"/>
  <c r="M107" i="26"/>
  <c r="M106" i="26"/>
  <c r="M105" i="26"/>
  <c r="M104" i="26"/>
  <c r="M103" i="26"/>
  <c r="M99" i="26"/>
  <c r="M98" i="26"/>
  <c r="M97" i="26"/>
  <c r="M96" i="26"/>
  <c r="M95" i="26"/>
  <c r="M94" i="26"/>
  <c r="M93" i="26"/>
  <c r="M92" i="26"/>
  <c r="M91" i="26"/>
  <c r="M90" i="26"/>
  <c r="M86" i="26"/>
  <c r="M85" i="26"/>
  <c r="M84" i="26"/>
  <c r="M83" i="26"/>
  <c r="M82" i="26"/>
  <c r="M81" i="26"/>
  <c r="M80" i="26"/>
  <c r="M79" i="26"/>
  <c r="M78" i="26"/>
  <c r="M77" i="26"/>
  <c r="M73" i="26"/>
  <c r="M72" i="26"/>
  <c r="M71" i="26"/>
  <c r="M70" i="26"/>
  <c r="M69" i="26"/>
  <c r="M68" i="26"/>
  <c r="M67" i="26"/>
  <c r="M66" i="26"/>
  <c r="M65" i="26"/>
  <c r="M64" i="26"/>
  <c r="M60" i="26"/>
  <c r="M59" i="26"/>
  <c r="M58" i="26"/>
  <c r="M57" i="26"/>
  <c r="M56" i="26"/>
  <c r="M55" i="26"/>
  <c r="M54" i="26"/>
  <c r="M53" i="26"/>
  <c r="M52" i="26"/>
  <c r="M51" i="26"/>
  <c r="M47" i="26"/>
  <c r="M46" i="26"/>
  <c r="M45" i="26"/>
  <c r="M44" i="26"/>
  <c r="M43" i="26"/>
  <c r="M42" i="26"/>
  <c r="M41" i="26"/>
  <c r="M40" i="26"/>
  <c r="M39" i="26"/>
  <c r="M38" i="26"/>
  <c r="M34" i="26"/>
  <c r="M33" i="26"/>
  <c r="M32" i="26"/>
  <c r="M31" i="26"/>
  <c r="M30" i="26"/>
  <c r="M29" i="26"/>
  <c r="M28" i="26"/>
  <c r="M27" i="26"/>
  <c r="M26" i="26"/>
  <c r="M25" i="26"/>
  <c r="M19" i="26"/>
  <c r="M21" i="26"/>
  <c r="M20" i="26"/>
  <c r="M18" i="26"/>
  <c r="M17" i="26"/>
  <c r="M16" i="26"/>
  <c r="M15" i="26"/>
  <c r="M14" i="26"/>
  <c r="M13" i="26"/>
  <c r="M12" i="26"/>
  <c r="M515" i="26"/>
  <c r="M514" i="26"/>
  <c r="M513" i="26"/>
  <c r="M512" i="26"/>
  <c r="M511" i="26"/>
  <c r="M510" i="26"/>
  <c r="M509" i="26"/>
  <c r="M508" i="26"/>
  <c r="M507" i="26"/>
  <c r="M506" i="26"/>
  <c r="M502" i="26"/>
  <c r="M501" i="26"/>
  <c r="M500" i="26"/>
  <c r="M499" i="26"/>
  <c r="M498" i="26"/>
  <c r="M497" i="26"/>
  <c r="M496" i="26"/>
  <c r="M495" i="26"/>
  <c r="M494" i="26"/>
  <c r="M493" i="26"/>
  <c r="M481" i="26"/>
  <c r="M482" i="26"/>
  <c r="M483" i="26"/>
  <c r="M484" i="26"/>
  <c r="M485" i="26"/>
  <c r="M486" i="26"/>
  <c r="M487" i="26"/>
  <c r="M488" i="26"/>
  <c r="M489" i="26"/>
  <c r="M480" i="26"/>
  <c r="G30" i="19" l="1"/>
  <c r="M80" i="42" s="1"/>
  <c r="N80" i="42" s="1"/>
  <c r="I30" i="19"/>
  <c r="Q80" i="42" s="1"/>
  <c r="R80" i="42" s="1"/>
  <c r="X19" i="35"/>
  <c r="X32" i="35"/>
  <c r="X58" i="35"/>
  <c r="H7" i="38"/>
  <c r="F102" i="34"/>
  <c r="G24" i="19"/>
  <c r="M78" i="42" s="1"/>
  <c r="N78" i="42" s="1"/>
  <c r="H27" i="19"/>
  <c r="O81" i="42" s="1"/>
  <c r="P81" i="42" s="1"/>
  <c r="H24" i="19"/>
  <c r="O78" i="42" s="1"/>
  <c r="P78" i="42" s="1"/>
  <c r="H30" i="19"/>
  <c r="O80" i="42" s="1"/>
  <c r="P80" i="42" s="1"/>
  <c r="I27" i="19"/>
  <c r="Q81" i="42" s="1"/>
  <c r="R81" i="42" s="1"/>
  <c r="J15" i="44" a="1"/>
  <c r="J15" i="44" s="1"/>
  <c r="H140" i="42" s="1"/>
  <c r="M27" i="44"/>
  <c r="N12" i="44" a="1"/>
  <c r="N12" i="44" s="1"/>
  <c r="T12" i="44" a="1"/>
  <c r="T12" i="44" s="1"/>
  <c r="S12" i="44" a="1"/>
  <c r="S12" i="44" s="1"/>
  <c r="R12" i="44" a="1"/>
  <c r="R12" i="44" s="1"/>
  <c r="K24" i="22" a="1"/>
  <c r="K24" i="22" s="1"/>
  <c r="S115" i="42" s="1"/>
  <c r="J24" i="22" a="1"/>
  <c r="J24" i="22" s="1"/>
  <c r="Q115" i="42" s="1"/>
  <c r="I24" i="22" a="1"/>
  <c r="I24" i="22" s="1"/>
  <c r="R32" i="44" l="1"/>
  <c r="R35" i="44"/>
  <c r="R29" i="44"/>
  <c r="R27" i="44"/>
  <c r="R33" i="44"/>
  <c r="R31" i="44"/>
  <c r="R34" i="44"/>
  <c r="R37" i="44"/>
  <c r="R36" i="44"/>
  <c r="R30" i="44"/>
  <c r="R25" i="44"/>
  <c r="R26" i="44"/>
  <c r="R28" i="44"/>
  <c r="S27" i="44"/>
  <c r="S39" i="44"/>
  <c r="S35" i="44"/>
  <c r="S37" i="44"/>
  <c r="S28" i="44"/>
  <c r="S40" i="44"/>
  <c r="S29" i="44"/>
  <c r="S30" i="44"/>
  <c r="S31" i="44"/>
  <c r="S34" i="44"/>
  <c r="S36" i="44"/>
  <c r="S38" i="44"/>
  <c r="S32" i="44"/>
  <c r="S33" i="44"/>
  <c r="S26" i="44"/>
  <c r="S50" i="44"/>
  <c r="S62" i="44"/>
  <c r="S74" i="44"/>
  <c r="S51" i="44"/>
  <c r="S63" i="44"/>
  <c r="S25" i="44"/>
  <c r="S48" i="44"/>
  <c r="S49" i="44"/>
  <c r="S52" i="44"/>
  <c r="S64" i="44"/>
  <c r="S41" i="44"/>
  <c r="S53" i="44"/>
  <c r="S65" i="44"/>
  <c r="S42" i="44"/>
  <c r="S54" i="44"/>
  <c r="S66" i="44"/>
  <c r="S43" i="44"/>
  <c r="S55" i="44"/>
  <c r="S67" i="44"/>
  <c r="S44" i="44"/>
  <c r="S56" i="44"/>
  <c r="S68" i="44"/>
  <c r="S45" i="44"/>
  <c r="S57" i="44"/>
  <c r="S69" i="44"/>
  <c r="S46" i="44"/>
  <c r="S58" i="44"/>
  <c r="S70" i="44"/>
  <c r="S59" i="44"/>
  <c r="S71" i="44"/>
  <c r="S60" i="44"/>
  <c r="S72" i="44"/>
  <c r="S61" i="44"/>
  <c r="S73" i="44"/>
  <c r="S47" i="44"/>
  <c r="R50" i="44"/>
  <c r="R62" i="44"/>
  <c r="R74" i="44"/>
  <c r="R51" i="44"/>
  <c r="R63" i="44"/>
  <c r="R47" i="44"/>
  <c r="R71" i="44"/>
  <c r="R60" i="44"/>
  <c r="R61" i="44"/>
  <c r="R40" i="44"/>
  <c r="R52" i="44"/>
  <c r="R64" i="44"/>
  <c r="R41" i="44"/>
  <c r="R53" i="44"/>
  <c r="R65" i="44"/>
  <c r="R42" i="44"/>
  <c r="R54" i="44"/>
  <c r="R66" i="44"/>
  <c r="R43" i="44"/>
  <c r="R55" i="44"/>
  <c r="R67" i="44"/>
  <c r="R44" i="44"/>
  <c r="R56" i="44"/>
  <c r="R68" i="44"/>
  <c r="R45" i="44"/>
  <c r="R57" i="44"/>
  <c r="R69" i="44"/>
  <c r="R46" i="44"/>
  <c r="R58" i="44"/>
  <c r="R70" i="44"/>
  <c r="R59" i="44"/>
  <c r="R48" i="44"/>
  <c r="R72" i="44"/>
  <c r="R49" i="44"/>
  <c r="R73" i="44"/>
  <c r="R84" i="42"/>
  <c r="G80" i="34" s="1"/>
  <c r="P84" i="42"/>
  <c r="G64" i="34" s="1"/>
  <c r="X72" i="35"/>
  <c r="K98" i="34" s="1"/>
  <c r="N84" i="42"/>
  <c r="G48" i="34" s="1"/>
  <c r="O32" i="44"/>
  <c r="O33" i="44"/>
  <c r="O34" i="44"/>
  <c r="O35" i="44"/>
  <c r="O36" i="44"/>
  <c r="O37" i="44"/>
  <c r="O38" i="44"/>
  <c r="O39" i="44"/>
  <c r="O40" i="44"/>
  <c r="O41" i="44"/>
  <c r="O42" i="44"/>
  <c r="O43" i="44"/>
  <c r="O44" i="44"/>
  <c r="O45" i="44"/>
  <c r="O46" i="44"/>
  <c r="O47" i="44"/>
  <c r="O48" i="44"/>
  <c r="O49" i="44"/>
  <c r="O50" i="44"/>
  <c r="O51" i="44"/>
  <c r="O52" i="44"/>
  <c r="O53" i="44"/>
  <c r="O54" i="44"/>
  <c r="O55" i="44"/>
  <c r="O56" i="44"/>
  <c r="O57" i="44"/>
  <c r="O58" i="44"/>
  <c r="O59" i="44"/>
  <c r="O60" i="44"/>
  <c r="O61" i="44"/>
  <c r="O62" i="44"/>
  <c r="O63" i="44"/>
  <c r="O64" i="44"/>
  <c r="O65" i="44"/>
  <c r="O66" i="44"/>
  <c r="O67" i="44"/>
  <c r="O68" i="44"/>
  <c r="O69" i="44"/>
  <c r="O70" i="44"/>
  <c r="O71" i="44"/>
  <c r="O72" i="44"/>
  <c r="O73" i="44"/>
  <c r="O74" i="44"/>
  <c r="O25" i="44"/>
  <c r="O26" i="44"/>
  <c r="O27" i="44"/>
  <c r="O28" i="44"/>
  <c r="O29" i="44"/>
  <c r="O30" i="44"/>
  <c r="O31" i="44"/>
  <c r="M13" i="44" l="1"/>
  <c r="R75" i="44"/>
  <c r="S75" i="44"/>
  <c r="N14" i="44"/>
  <c r="M14" i="44"/>
  <c r="M16" i="44" a="1"/>
  <c r="M16" i="44" s="1"/>
  <c r="R13" i="44" a="1"/>
  <c r="R13" i="44" s="1"/>
  <c r="S13" i="44" a="1"/>
  <c r="S13" i="44" s="1"/>
  <c r="N13" i="44"/>
  <c r="N16" i="44" a="1"/>
  <c r="N16" i="44" s="1"/>
  <c r="F98" i="34"/>
  <c r="L98" i="34" s="1"/>
  <c r="J75" i="44"/>
  <c r="O75" i="44"/>
  <c r="K27" i="44"/>
  <c r="L27" i="44"/>
  <c r="K28" i="44"/>
  <c r="L28" i="44"/>
  <c r="M28" i="44"/>
  <c r="K29" i="44"/>
  <c r="L29" i="44"/>
  <c r="M29" i="44"/>
  <c r="K30" i="44"/>
  <c r="L30" i="44"/>
  <c r="M30" i="44"/>
  <c r="K31" i="44"/>
  <c r="L31" i="44"/>
  <c r="M31" i="44"/>
  <c r="K32" i="44"/>
  <c r="L32" i="44"/>
  <c r="M32" i="44"/>
  <c r="K33" i="44"/>
  <c r="L33" i="44"/>
  <c r="M33" i="44"/>
  <c r="K34" i="44"/>
  <c r="L34" i="44"/>
  <c r="M34" i="44"/>
  <c r="K35" i="44"/>
  <c r="L35" i="44"/>
  <c r="M35" i="44"/>
  <c r="N482" i="26" s="1"/>
  <c r="K36" i="44"/>
  <c r="L36" i="44"/>
  <c r="M36" i="44"/>
  <c r="K37" i="44"/>
  <c r="L37" i="44"/>
  <c r="M37" i="44"/>
  <c r="K38" i="44"/>
  <c r="L38" i="44"/>
  <c r="M38" i="44"/>
  <c r="K39" i="44"/>
  <c r="L39" i="44"/>
  <c r="M39" i="44"/>
  <c r="K40" i="44"/>
  <c r="L40" i="44"/>
  <c r="M40" i="44"/>
  <c r="K41" i="44"/>
  <c r="L41" i="44"/>
  <c r="M41" i="44"/>
  <c r="K42" i="44"/>
  <c r="L42" i="44"/>
  <c r="M42" i="44"/>
  <c r="K43" i="44"/>
  <c r="L43" i="44"/>
  <c r="M43" i="44"/>
  <c r="K44" i="44"/>
  <c r="L44" i="44"/>
  <c r="M44" i="44"/>
  <c r="K45" i="44"/>
  <c r="L45" i="44"/>
  <c r="M45" i="44"/>
  <c r="K46" i="44"/>
  <c r="L46" i="44"/>
  <c r="M46" i="44"/>
  <c r="K47" i="44"/>
  <c r="L47" i="44"/>
  <c r="M47" i="44"/>
  <c r="K48" i="44"/>
  <c r="L48" i="44"/>
  <c r="M48" i="44"/>
  <c r="K49" i="44"/>
  <c r="L49" i="44"/>
  <c r="M49" i="44"/>
  <c r="K50" i="44"/>
  <c r="L50" i="44"/>
  <c r="M50" i="44"/>
  <c r="K51" i="44"/>
  <c r="L51" i="44"/>
  <c r="M51" i="44"/>
  <c r="K52" i="44"/>
  <c r="L52" i="44"/>
  <c r="M52" i="44"/>
  <c r="K53" i="44"/>
  <c r="L53" i="44"/>
  <c r="M53" i="44"/>
  <c r="K54" i="44"/>
  <c r="L54" i="44"/>
  <c r="M54" i="44"/>
  <c r="K55" i="44"/>
  <c r="L55" i="44"/>
  <c r="M55" i="44"/>
  <c r="K56" i="44"/>
  <c r="L56" i="44"/>
  <c r="M56" i="44"/>
  <c r="K57" i="44"/>
  <c r="L57" i="44"/>
  <c r="M57" i="44"/>
  <c r="K58" i="44"/>
  <c r="L58" i="44"/>
  <c r="M58" i="44"/>
  <c r="K59" i="44"/>
  <c r="L59" i="44"/>
  <c r="M59" i="44"/>
  <c r="K60" i="44"/>
  <c r="L60" i="44"/>
  <c r="M60" i="44"/>
  <c r="K61" i="44"/>
  <c r="L61" i="44"/>
  <c r="M61" i="44"/>
  <c r="K62" i="44"/>
  <c r="L62" i="44"/>
  <c r="M62" i="44"/>
  <c r="K63" i="44"/>
  <c r="L63" i="44"/>
  <c r="M63" i="44"/>
  <c r="K64" i="44"/>
  <c r="L64" i="44"/>
  <c r="M64" i="44"/>
  <c r="K65" i="44"/>
  <c r="L65" i="44"/>
  <c r="M65" i="44"/>
  <c r="K66" i="44"/>
  <c r="L66" i="44"/>
  <c r="M66" i="44"/>
  <c r="K67" i="44"/>
  <c r="L67" i="44"/>
  <c r="M67" i="44"/>
  <c r="K68" i="44"/>
  <c r="L68" i="44"/>
  <c r="M68" i="44"/>
  <c r="K69" i="44"/>
  <c r="L69" i="44"/>
  <c r="M69" i="44"/>
  <c r="K70" i="44"/>
  <c r="L70" i="44"/>
  <c r="M70" i="44"/>
  <c r="K71" i="44"/>
  <c r="L71" i="44"/>
  <c r="M71" i="44"/>
  <c r="K72" i="44"/>
  <c r="L72" i="44"/>
  <c r="M72" i="44"/>
  <c r="K73" i="44"/>
  <c r="L73" i="44"/>
  <c r="M73" i="44"/>
  <c r="K74" i="44"/>
  <c r="L74" i="44"/>
  <c r="M74" i="44"/>
  <c r="L57" i="26"/>
  <c r="L509" i="26"/>
  <c r="L515" i="26"/>
  <c r="L514" i="26"/>
  <c r="L513" i="26"/>
  <c r="Q513" i="26" s="1"/>
  <c r="L512" i="26"/>
  <c r="L511" i="26"/>
  <c r="R511" i="26" s="1"/>
  <c r="L510" i="26"/>
  <c r="X509" i="26"/>
  <c r="W509" i="26"/>
  <c r="V509" i="26"/>
  <c r="L508" i="26"/>
  <c r="L507" i="26"/>
  <c r="L506" i="26"/>
  <c r="X505" i="26" a="1"/>
  <c r="X505" i="26" s="1"/>
  <c r="W505" i="26" a="1"/>
  <c r="W505" i="26" s="1"/>
  <c r="V505" i="26" a="1"/>
  <c r="V505" i="26" s="1"/>
  <c r="L502" i="26"/>
  <c r="L501" i="26"/>
  <c r="L500" i="26"/>
  <c r="L499" i="26"/>
  <c r="R499" i="26" s="1"/>
  <c r="L498" i="26"/>
  <c r="L497" i="26"/>
  <c r="X496" i="26"/>
  <c r="W496" i="26"/>
  <c r="V496" i="26"/>
  <c r="L496" i="26"/>
  <c r="L495" i="26"/>
  <c r="R495" i="26" s="1"/>
  <c r="L494" i="26"/>
  <c r="L493" i="26"/>
  <c r="X492" i="26" a="1"/>
  <c r="X492" i="26" s="1"/>
  <c r="W492" i="26" a="1"/>
  <c r="W492" i="26" s="1"/>
  <c r="V492" i="26" a="1"/>
  <c r="V492" i="26" s="1"/>
  <c r="L489" i="26"/>
  <c r="L488" i="26"/>
  <c r="Q488" i="26" s="1"/>
  <c r="L487" i="26"/>
  <c r="Q487" i="26" s="1"/>
  <c r="L486" i="26"/>
  <c r="R486" i="26" s="1"/>
  <c r="L485" i="26"/>
  <c r="L484" i="26"/>
  <c r="Q484" i="26" s="1"/>
  <c r="X483" i="26"/>
  <c r="W483" i="26"/>
  <c r="V483" i="26"/>
  <c r="L483" i="26"/>
  <c r="L482" i="26"/>
  <c r="L481" i="26"/>
  <c r="L480" i="26"/>
  <c r="X479" i="26" a="1"/>
  <c r="X479" i="26" s="1"/>
  <c r="W479" i="26" a="1"/>
  <c r="W479" i="26" s="1"/>
  <c r="V479" i="26" a="1"/>
  <c r="V479" i="26" s="1"/>
  <c r="L248" i="26"/>
  <c r="L476" i="26"/>
  <c r="L475" i="26"/>
  <c r="L474" i="26"/>
  <c r="L473" i="26"/>
  <c r="L472" i="26"/>
  <c r="L471" i="26"/>
  <c r="L470" i="26"/>
  <c r="L469" i="26"/>
  <c r="L468" i="26"/>
  <c r="L467" i="26"/>
  <c r="L463" i="26"/>
  <c r="L462" i="26"/>
  <c r="L461" i="26"/>
  <c r="L460" i="26"/>
  <c r="L459" i="26"/>
  <c r="L458" i="26"/>
  <c r="L457" i="26"/>
  <c r="L456" i="26"/>
  <c r="L455" i="26"/>
  <c r="L454" i="26"/>
  <c r="L450" i="26"/>
  <c r="L449" i="26"/>
  <c r="L448" i="26"/>
  <c r="L447" i="26"/>
  <c r="L446" i="26"/>
  <c r="L445" i="26"/>
  <c r="L444" i="26"/>
  <c r="L443" i="26"/>
  <c r="L442" i="26"/>
  <c r="L441" i="26"/>
  <c r="L437" i="26"/>
  <c r="L436" i="26"/>
  <c r="L435" i="26"/>
  <c r="L434" i="26"/>
  <c r="L433" i="26"/>
  <c r="L432" i="26"/>
  <c r="L431" i="26"/>
  <c r="L430" i="26"/>
  <c r="L429" i="26"/>
  <c r="L428" i="26"/>
  <c r="L424" i="26"/>
  <c r="L423" i="26"/>
  <c r="L422" i="26"/>
  <c r="L421" i="26"/>
  <c r="L420" i="26"/>
  <c r="L419" i="26"/>
  <c r="L418" i="26"/>
  <c r="L417" i="26"/>
  <c r="L416" i="26"/>
  <c r="L415" i="26"/>
  <c r="L411" i="26"/>
  <c r="L410" i="26"/>
  <c r="L409" i="26"/>
  <c r="L408" i="26"/>
  <c r="L407" i="26"/>
  <c r="L406" i="26"/>
  <c r="L405" i="26"/>
  <c r="L404" i="26"/>
  <c r="L403" i="26"/>
  <c r="L402" i="26"/>
  <c r="L398" i="26"/>
  <c r="L397" i="26"/>
  <c r="L396" i="26"/>
  <c r="L395" i="26"/>
  <c r="L394" i="26"/>
  <c r="L393" i="26"/>
  <c r="L392" i="26"/>
  <c r="L391" i="26"/>
  <c r="L390" i="26"/>
  <c r="L389" i="26"/>
  <c r="L385" i="26"/>
  <c r="L384" i="26"/>
  <c r="L383" i="26"/>
  <c r="L382" i="26"/>
  <c r="L381" i="26"/>
  <c r="L380" i="26"/>
  <c r="L379" i="26"/>
  <c r="L378" i="26"/>
  <c r="L377" i="26"/>
  <c r="L376" i="26"/>
  <c r="L372" i="26"/>
  <c r="L371" i="26"/>
  <c r="L370" i="26"/>
  <c r="L369" i="26"/>
  <c r="L368" i="26"/>
  <c r="L367" i="26"/>
  <c r="L366" i="26"/>
  <c r="L365" i="26"/>
  <c r="L364" i="26"/>
  <c r="L363" i="26"/>
  <c r="L359" i="26"/>
  <c r="L358" i="26"/>
  <c r="L357" i="26"/>
  <c r="L356" i="26"/>
  <c r="L355" i="26"/>
  <c r="L354" i="26"/>
  <c r="L353" i="26"/>
  <c r="L352" i="26"/>
  <c r="L351" i="26"/>
  <c r="L350" i="26"/>
  <c r="L346" i="26"/>
  <c r="L345" i="26"/>
  <c r="L344" i="26"/>
  <c r="L343" i="26"/>
  <c r="L342" i="26"/>
  <c r="L341" i="26"/>
  <c r="L340" i="26"/>
  <c r="L339" i="26"/>
  <c r="L338" i="26"/>
  <c r="L337" i="26"/>
  <c r="L333" i="26"/>
  <c r="L332" i="26"/>
  <c r="L331" i="26"/>
  <c r="L330" i="26"/>
  <c r="L329" i="26"/>
  <c r="L328" i="26"/>
  <c r="L327" i="26"/>
  <c r="L326" i="26"/>
  <c r="L325" i="26"/>
  <c r="L324" i="26"/>
  <c r="L320" i="26"/>
  <c r="L319" i="26"/>
  <c r="L318" i="26"/>
  <c r="L317" i="26"/>
  <c r="L316" i="26"/>
  <c r="L315" i="26"/>
  <c r="L314" i="26"/>
  <c r="L313" i="26"/>
  <c r="L312" i="26"/>
  <c r="L311" i="26"/>
  <c r="L307" i="26"/>
  <c r="L306" i="26"/>
  <c r="L305" i="26"/>
  <c r="L304" i="26"/>
  <c r="L303" i="26"/>
  <c r="L302" i="26"/>
  <c r="L301" i="26"/>
  <c r="L300" i="26"/>
  <c r="L299" i="26"/>
  <c r="L298" i="26"/>
  <c r="L294" i="26"/>
  <c r="L293" i="26"/>
  <c r="L292" i="26"/>
  <c r="L291" i="26"/>
  <c r="L290" i="26"/>
  <c r="L289" i="26"/>
  <c r="L288" i="26"/>
  <c r="L287" i="26"/>
  <c r="L286" i="26"/>
  <c r="L285" i="26"/>
  <c r="L281" i="26"/>
  <c r="L280" i="26"/>
  <c r="L279" i="26"/>
  <c r="L278" i="26"/>
  <c r="L277" i="26"/>
  <c r="L276" i="26"/>
  <c r="L275" i="26"/>
  <c r="L274" i="26"/>
  <c r="L273" i="26"/>
  <c r="L272" i="26"/>
  <c r="L268" i="26"/>
  <c r="L267" i="26"/>
  <c r="L266" i="26"/>
  <c r="L265" i="26"/>
  <c r="L264" i="26"/>
  <c r="L263" i="26"/>
  <c r="L262" i="26"/>
  <c r="L261" i="26"/>
  <c r="L260" i="26"/>
  <c r="L259" i="26"/>
  <c r="L255" i="26"/>
  <c r="L254" i="26"/>
  <c r="L253" i="26"/>
  <c r="L252" i="26"/>
  <c r="L251" i="26"/>
  <c r="L250" i="26"/>
  <c r="L249" i="26"/>
  <c r="L247" i="26"/>
  <c r="L246" i="26"/>
  <c r="L242" i="26"/>
  <c r="L241" i="26"/>
  <c r="L240" i="26"/>
  <c r="L239" i="26"/>
  <c r="L238" i="26"/>
  <c r="L237" i="26"/>
  <c r="L236" i="26"/>
  <c r="L235" i="26"/>
  <c r="L234" i="26"/>
  <c r="L233" i="26"/>
  <c r="L229" i="26"/>
  <c r="L228" i="26"/>
  <c r="L227" i="26"/>
  <c r="L226" i="26"/>
  <c r="L225" i="26"/>
  <c r="L224" i="26"/>
  <c r="L223" i="26"/>
  <c r="L222" i="26"/>
  <c r="L221" i="26"/>
  <c r="L220" i="26"/>
  <c r="L216" i="26"/>
  <c r="L215" i="26"/>
  <c r="L214" i="26"/>
  <c r="L213" i="26"/>
  <c r="L212" i="26"/>
  <c r="L211" i="26"/>
  <c r="L210" i="26"/>
  <c r="L209" i="26"/>
  <c r="L208" i="26"/>
  <c r="L207" i="26"/>
  <c r="L203" i="26"/>
  <c r="L202" i="26"/>
  <c r="L201" i="26"/>
  <c r="L200" i="26"/>
  <c r="L199" i="26"/>
  <c r="L198" i="26"/>
  <c r="L197" i="26"/>
  <c r="L196" i="26"/>
  <c r="L195" i="26"/>
  <c r="L194" i="26"/>
  <c r="L190" i="26"/>
  <c r="L189" i="26"/>
  <c r="L188" i="26"/>
  <c r="L187" i="26"/>
  <c r="L186" i="26"/>
  <c r="L185" i="26"/>
  <c r="L184" i="26"/>
  <c r="L183" i="26"/>
  <c r="L182" i="26"/>
  <c r="L181" i="26"/>
  <c r="L177" i="26"/>
  <c r="L176" i="26"/>
  <c r="L175" i="26"/>
  <c r="L174" i="26"/>
  <c r="L173" i="26"/>
  <c r="L172" i="26"/>
  <c r="L171" i="26"/>
  <c r="L170" i="26"/>
  <c r="L169" i="26"/>
  <c r="L168" i="26"/>
  <c r="L164" i="26"/>
  <c r="L163" i="26"/>
  <c r="L162" i="26"/>
  <c r="L161" i="26"/>
  <c r="L160" i="26"/>
  <c r="L159" i="26"/>
  <c r="L158" i="26"/>
  <c r="L157" i="26"/>
  <c r="L156" i="26"/>
  <c r="L155" i="26"/>
  <c r="L151" i="26"/>
  <c r="L150" i="26"/>
  <c r="L149" i="26"/>
  <c r="L148" i="26"/>
  <c r="L147" i="26"/>
  <c r="L146" i="26"/>
  <c r="L145" i="26"/>
  <c r="L144" i="26"/>
  <c r="L143" i="26"/>
  <c r="L142" i="26"/>
  <c r="L138" i="26"/>
  <c r="L137" i="26"/>
  <c r="L136" i="26"/>
  <c r="L135" i="26"/>
  <c r="L134" i="26"/>
  <c r="L133" i="26"/>
  <c r="L132" i="26"/>
  <c r="L131" i="26"/>
  <c r="L130" i="26"/>
  <c r="L129" i="26"/>
  <c r="L125" i="26"/>
  <c r="L124" i="26"/>
  <c r="L123" i="26"/>
  <c r="L122" i="26"/>
  <c r="L121" i="26"/>
  <c r="L120" i="26"/>
  <c r="L119" i="26"/>
  <c r="L118" i="26"/>
  <c r="L117" i="26"/>
  <c r="L116" i="26"/>
  <c r="L112" i="26"/>
  <c r="L111" i="26"/>
  <c r="L110" i="26"/>
  <c r="L109" i="26"/>
  <c r="L108" i="26"/>
  <c r="L107" i="26"/>
  <c r="L106" i="26"/>
  <c r="L105" i="26"/>
  <c r="L104" i="26"/>
  <c r="L103" i="26"/>
  <c r="L99" i="26"/>
  <c r="L98" i="26"/>
  <c r="L97" i="26"/>
  <c r="L96" i="26"/>
  <c r="L95" i="26"/>
  <c r="L94" i="26"/>
  <c r="L93" i="26"/>
  <c r="L92" i="26"/>
  <c r="L91" i="26"/>
  <c r="L90" i="26"/>
  <c r="L86" i="26"/>
  <c r="L85" i="26"/>
  <c r="L84" i="26"/>
  <c r="L83" i="26"/>
  <c r="L82" i="26"/>
  <c r="L81" i="26"/>
  <c r="L80" i="26"/>
  <c r="L79" i="26"/>
  <c r="L78" i="26"/>
  <c r="L77" i="26"/>
  <c r="L73" i="26"/>
  <c r="L72" i="26"/>
  <c r="L71" i="26"/>
  <c r="L70" i="26"/>
  <c r="L69" i="26"/>
  <c r="L68" i="26"/>
  <c r="L67" i="26"/>
  <c r="L66" i="26"/>
  <c r="L65" i="26"/>
  <c r="L64" i="26"/>
  <c r="L60" i="26"/>
  <c r="L59" i="26"/>
  <c r="L58" i="26"/>
  <c r="L56" i="26"/>
  <c r="L55" i="26"/>
  <c r="L54" i="26"/>
  <c r="L53" i="26"/>
  <c r="L52" i="26"/>
  <c r="L51" i="26"/>
  <c r="L47" i="26"/>
  <c r="L46" i="26"/>
  <c r="L45" i="26"/>
  <c r="L44" i="26"/>
  <c r="L43" i="26"/>
  <c r="L42" i="26"/>
  <c r="L41" i="26"/>
  <c r="L40" i="26"/>
  <c r="L39" i="26"/>
  <c r="L38" i="26"/>
  <c r="L34" i="26"/>
  <c r="L33" i="26"/>
  <c r="L32" i="26"/>
  <c r="L31" i="26"/>
  <c r="L30" i="26"/>
  <c r="L29" i="26"/>
  <c r="L28" i="26"/>
  <c r="L27" i="26"/>
  <c r="L26" i="26"/>
  <c r="L25" i="26"/>
  <c r="L21" i="26"/>
  <c r="L20" i="26"/>
  <c r="L19" i="26"/>
  <c r="L18" i="26"/>
  <c r="L17" i="26"/>
  <c r="L16" i="26"/>
  <c r="L15" i="26"/>
  <c r="L14" i="26"/>
  <c r="L13" i="26"/>
  <c r="L12" i="26"/>
  <c r="Y59" i="35"/>
  <c r="Y57" i="35"/>
  <c r="Y56" i="35"/>
  <c r="Y55" i="35"/>
  <c r="Y45" i="35"/>
  <c r="Y33" i="35"/>
  <c r="Y43" i="35"/>
  <c r="Y42" i="35"/>
  <c r="Y41" i="35"/>
  <c r="Y31" i="35"/>
  <c r="Y30" i="35"/>
  <c r="Y29" i="35"/>
  <c r="M26" i="44"/>
  <c r="L26" i="44"/>
  <c r="K26" i="44"/>
  <c r="M25" i="44"/>
  <c r="L25" i="44"/>
  <c r="K25" i="44"/>
  <c r="O12" i="44" a="1"/>
  <c r="O12" i="44" s="1"/>
  <c r="J8" i="44"/>
  <c r="C8" i="44"/>
  <c r="J7" i="44"/>
  <c r="C7" i="44"/>
  <c r="J6" i="44"/>
  <c r="C6" i="44"/>
  <c r="J5" i="44"/>
  <c r="C5" i="44"/>
  <c r="C4" i="44"/>
  <c r="C3" i="44"/>
  <c r="C2" i="44"/>
  <c r="J12" i="44" l="1" a="1"/>
  <c r="J12" i="44" s="1"/>
  <c r="T26" i="44"/>
  <c r="T38" i="44"/>
  <c r="T50" i="44"/>
  <c r="T62" i="44"/>
  <c r="T74" i="44"/>
  <c r="T58" i="44"/>
  <c r="T49" i="44"/>
  <c r="T61" i="44"/>
  <c r="T27" i="44"/>
  <c r="T39" i="44"/>
  <c r="T51" i="44"/>
  <c r="T63" i="44"/>
  <c r="T25" i="44"/>
  <c r="T44" i="44"/>
  <c r="T56" i="44"/>
  <c r="T68" i="44"/>
  <c r="T69" i="44"/>
  <c r="T46" i="44"/>
  <c r="T35" i="44"/>
  <c r="T37" i="44"/>
  <c r="T73" i="44"/>
  <c r="T28" i="44"/>
  <c r="T40" i="44"/>
  <c r="T52" i="44"/>
  <c r="T64" i="44"/>
  <c r="T33" i="44"/>
  <c r="T45" i="44"/>
  <c r="T57" i="44"/>
  <c r="T34" i="44"/>
  <c r="T70" i="44"/>
  <c r="T47" i="44"/>
  <c r="T59" i="44"/>
  <c r="T71" i="44"/>
  <c r="T36" i="44"/>
  <c r="T48" i="44"/>
  <c r="T60" i="44"/>
  <c r="T72" i="44"/>
  <c r="T29" i="44"/>
  <c r="T41" i="44"/>
  <c r="T53" i="44"/>
  <c r="T65" i="44"/>
  <c r="T30" i="44"/>
  <c r="T42" i="44"/>
  <c r="T54" i="44"/>
  <c r="T66" i="44"/>
  <c r="T31" i="44"/>
  <c r="T43" i="44"/>
  <c r="T55" i="44"/>
  <c r="T67" i="44"/>
  <c r="T32" i="44"/>
  <c r="O481" i="26"/>
  <c r="Q481" i="26" s="1"/>
  <c r="N481" i="26"/>
  <c r="R481" i="26" s="1"/>
  <c r="N38" i="42"/>
  <c r="O38" i="42" s="1"/>
  <c r="N39" i="42"/>
  <c r="O39" i="42" s="1"/>
  <c r="Y71" i="35"/>
  <c r="J98" i="34"/>
  <c r="E112" i="34" s="1"/>
  <c r="Y70" i="35"/>
  <c r="Y73" i="35"/>
  <c r="Y69" i="35"/>
  <c r="R484" i="26"/>
  <c r="R482" i="26"/>
  <c r="Q495" i="26"/>
  <c r="Q486" i="26"/>
  <c r="O480" i="26"/>
  <c r="Q480" i="26" s="1"/>
  <c r="N480" i="26"/>
  <c r="R480" i="26" s="1"/>
  <c r="P480" i="26"/>
  <c r="N483" i="26"/>
  <c r="R483" i="26" s="1"/>
  <c r="O483" i="26"/>
  <c r="Q483" i="26" s="1"/>
  <c r="P483" i="26"/>
  <c r="O482" i="26"/>
  <c r="P482" i="26"/>
  <c r="P481" i="26"/>
  <c r="R485" i="26"/>
  <c r="Q489" i="26"/>
  <c r="R494" i="26"/>
  <c r="P39" i="42"/>
  <c r="Q39" i="42" s="1"/>
  <c r="P38" i="42"/>
  <c r="Q38" i="42" s="1"/>
  <c r="K75" i="44"/>
  <c r="M75" i="44"/>
  <c r="Q501" i="26"/>
  <c r="R493" i="26"/>
  <c r="R497" i="26"/>
  <c r="Q509" i="26"/>
  <c r="R513" i="26"/>
  <c r="R501" i="26"/>
  <c r="R502" i="26"/>
  <c r="Q511" i="26"/>
  <c r="R498" i="26"/>
  <c r="Q498" i="26"/>
  <c r="P503" i="26"/>
  <c r="R500" i="26"/>
  <c r="R488" i="26"/>
  <c r="Q508" i="26"/>
  <c r="Q512" i="26"/>
  <c r="Q514" i="26"/>
  <c r="M503" i="26"/>
  <c r="N503" i="26"/>
  <c r="R510" i="26"/>
  <c r="M490" i="26"/>
  <c r="O516" i="26"/>
  <c r="P516" i="26"/>
  <c r="R496" i="26"/>
  <c r="R507" i="26"/>
  <c r="R515" i="26"/>
  <c r="Q510" i="26"/>
  <c r="R489" i="26"/>
  <c r="M516" i="26"/>
  <c r="Q515" i="26"/>
  <c r="N516" i="26"/>
  <c r="O503" i="26"/>
  <c r="L490" i="26"/>
  <c r="Q494" i="26"/>
  <c r="Q506" i="26"/>
  <c r="R506" i="26"/>
  <c r="Q500" i="26"/>
  <c r="L516" i="26"/>
  <c r="Q485" i="26"/>
  <c r="Q493" i="26"/>
  <c r="Q502" i="26"/>
  <c r="R509" i="26"/>
  <c r="R512" i="26"/>
  <c r="L503" i="26"/>
  <c r="R508" i="26"/>
  <c r="R514" i="26"/>
  <c r="R487" i="26"/>
  <c r="Q496" i="26"/>
  <c r="Q499" i="26"/>
  <c r="Q507" i="26"/>
  <c r="Q497" i="26"/>
  <c r="L35" i="26"/>
  <c r="T75" i="44" l="1"/>
  <c r="O14" i="44"/>
  <c r="O13" i="44"/>
  <c r="R38" i="42" s="1"/>
  <c r="S38" i="42" s="1"/>
  <c r="T13" i="44" a="1"/>
  <c r="T13" i="44" s="1"/>
  <c r="R39" i="42" s="1"/>
  <c r="S39" i="42" s="1"/>
  <c r="O16" i="44" a="1"/>
  <c r="O16" i="44" s="1"/>
  <c r="Q40" i="42"/>
  <c r="O490" i="26"/>
  <c r="N490" i="26"/>
  <c r="P490" i="26"/>
  <c r="Q482" i="26"/>
  <c r="Q490" i="26" s="1"/>
  <c r="R503" i="26"/>
  <c r="R490" i="26"/>
  <c r="R516" i="26"/>
  <c r="X508" i="26" s="1"/>
  <c r="Q516" i="26"/>
  <c r="X507" i="26" s="1"/>
  <c r="Q503" i="26"/>
  <c r="X494" i="26" s="1"/>
  <c r="N321" i="33"/>
  <c r="N204" i="33"/>
  <c r="N95" i="33"/>
  <c r="I27" i="22" a="1"/>
  <c r="I27" i="22" s="1"/>
  <c r="O111" i="42" s="1"/>
  <c r="I21" i="22" a="1"/>
  <c r="I21" i="22" s="1"/>
  <c r="O109" i="42" s="1"/>
  <c r="J21" i="22" a="1"/>
  <c r="J21" i="22" s="1"/>
  <c r="Q109" i="42" s="1"/>
  <c r="K21" i="22" a="1"/>
  <c r="K21" i="22" s="1"/>
  <c r="S109" i="42" s="1"/>
  <c r="K27" i="22" a="1"/>
  <c r="K27" i="22" s="1"/>
  <c r="S111" i="42" s="1"/>
  <c r="J27" i="22" a="1"/>
  <c r="J27" i="22" s="1"/>
  <c r="Q111" i="42" s="1"/>
  <c r="K30" i="22" a="1"/>
  <c r="K30" i="22" s="1"/>
  <c r="S112" i="42" s="1"/>
  <c r="J30" i="22" a="1"/>
  <c r="J30" i="22" s="1"/>
  <c r="Q112" i="42" s="1"/>
  <c r="I30" i="22" a="1"/>
  <c r="I30" i="22" s="1"/>
  <c r="O112" i="42" s="1"/>
  <c r="E18" i="22"/>
  <c r="S40" i="42" l="1"/>
  <c r="W481" i="26"/>
  <c r="X481" i="26"/>
  <c r="W482" i="26"/>
  <c r="X482" i="26"/>
  <c r="W495" i="26"/>
  <c r="X495" i="26"/>
  <c r="V482" i="26"/>
  <c r="V495" i="26"/>
  <c r="V481" i="26"/>
  <c r="W508" i="26"/>
  <c r="V508" i="26"/>
  <c r="W494" i="26"/>
  <c r="V494" i="26"/>
  <c r="W507" i="26"/>
  <c r="V507" i="26"/>
  <c r="J35" i="22" a="1"/>
  <c r="J35" i="22" s="1"/>
  <c r="Q113" i="42" s="1"/>
  <c r="C26" i="22" l="1" a="1"/>
  <c r="C26" i="22" s="1"/>
  <c r="C27" i="22" a="1"/>
  <c r="C27" i="22" s="1"/>
  <c r="E26" i="22"/>
  <c r="C13" i="22"/>
  <c r="C12" i="22"/>
  <c r="C11" i="22"/>
  <c r="R115" i="42" l="1"/>
  <c r="P115" i="42"/>
  <c r="N115" i="42"/>
  <c r="O115" i="42" s="1"/>
  <c r="R111" i="42"/>
  <c r="P111" i="42"/>
  <c r="N111" i="42"/>
  <c r="K30" i="25" l="1"/>
  <c r="J30" i="25"/>
  <c r="I30" i="25"/>
  <c r="D15" i="35"/>
  <c r="D14" i="35"/>
  <c r="E29" i="35" l="1"/>
  <c r="E36" i="43" l="1"/>
  <c r="K23" i="43" s="1"/>
  <c r="K35" i="43"/>
  <c r="J35" i="43"/>
  <c r="I35" i="43"/>
  <c r="K34" i="43"/>
  <c r="K37" i="43" s="1"/>
  <c r="J34" i="43"/>
  <c r="J37" i="43" s="1"/>
  <c r="I34" i="43"/>
  <c r="I37" i="43" s="1"/>
  <c r="K30" i="43"/>
  <c r="K31" i="43" s="1"/>
  <c r="J30" i="43"/>
  <c r="J31" i="43" s="1"/>
  <c r="I30" i="43"/>
  <c r="I31" i="43" s="1"/>
  <c r="K26" i="43" a="1"/>
  <c r="K26" i="43" s="1"/>
  <c r="J26" i="43" a="1"/>
  <c r="J26" i="43" s="1"/>
  <c r="I26" i="43" a="1"/>
  <c r="I26" i="43" s="1"/>
  <c r="K24" i="43"/>
  <c r="J24" i="43"/>
  <c r="I24" i="43"/>
  <c r="K22" i="43" a="1"/>
  <c r="K22" i="43" s="1"/>
  <c r="J22" i="43" a="1"/>
  <c r="J22" i="43" s="1"/>
  <c r="I22" i="43" a="1"/>
  <c r="I22" i="43" s="1"/>
  <c r="K19" i="43" a="1"/>
  <c r="K19" i="43" s="1"/>
  <c r="J19" i="43" a="1"/>
  <c r="J19" i="43" s="1"/>
  <c r="I19" i="43" a="1"/>
  <c r="I19" i="43" s="1"/>
  <c r="K17" i="43"/>
  <c r="J17" i="43"/>
  <c r="I17" i="43"/>
  <c r="K14" i="43" a="1"/>
  <c r="K14" i="43" s="1"/>
  <c r="J14" i="43" a="1"/>
  <c r="J14" i="43" s="1"/>
  <c r="I14" i="43" a="1"/>
  <c r="I14" i="43" s="1"/>
  <c r="K11" i="43" a="1"/>
  <c r="K11" i="43" s="1"/>
  <c r="J11" i="43" a="1"/>
  <c r="J11" i="43" s="1"/>
  <c r="I11" i="43" a="1"/>
  <c r="I11" i="43" s="1"/>
  <c r="J27" i="43"/>
  <c r="G8" i="43"/>
  <c r="C8" i="43"/>
  <c r="G7" i="43"/>
  <c r="C7" i="43"/>
  <c r="G6" i="43"/>
  <c r="C6" i="43"/>
  <c r="G5" i="43"/>
  <c r="C5" i="43"/>
  <c r="C4" i="43"/>
  <c r="C3" i="43"/>
  <c r="C2" i="43"/>
  <c r="I23" i="43" l="1"/>
  <c r="J23" i="43"/>
  <c r="I27" i="43"/>
  <c r="K27" i="43"/>
  <c r="I16" i="43"/>
  <c r="I20" i="43" s="1"/>
  <c r="J16" i="43"/>
  <c r="J20" i="43" s="1"/>
  <c r="K16" i="43"/>
  <c r="K20" i="43" s="1"/>
  <c r="I12" i="43"/>
  <c r="J12" i="43"/>
  <c r="K12" i="43"/>
  <c r="D12" i="35"/>
  <c r="J205" i="33"/>
  <c r="J204" i="33"/>
  <c r="J16" i="22" l="1"/>
  <c r="Q108" i="42" s="1"/>
  <c r="I26" i="34"/>
  <c r="X55" i="35" s="1"/>
  <c r="E13" i="19"/>
  <c r="E36" i="25"/>
  <c r="AR60" i="35"/>
  <c r="AR58" i="35"/>
  <c r="AR52" i="35"/>
  <c r="AR54" i="35"/>
  <c r="AR56" i="35"/>
  <c r="AR50" i="35"/>
  <c r="X41" i="35" l="1"/>
  <c r="X29" i="35"/>
  <c r="Y17" i="35"/>
  <c r="Y18" i="35"/>
  <c r="Y20" i="35"/>
  <c r="Y16" i="35"/>
  <c r="I31" i="34"/>
  <c r="X69" i="35" l="1"/>
  <c r="X45" i="35"/>
  <c r="X59" i="35"/>
  <c r="X33" i="35"/>
  <c r="X20" i="35"/>
  <c r="X16" i="35"/>
  <c r="H507" i="33"/>
  <c r="B489" i="33"/>
  <c r="B492" i="33"/>
  <c r="B493" i="33"/>
  <c r="B494" i="33"/>
  <c r="J24" i="25"/>
  <c r="B365" i="33"/>
  <c r="I35" i="25"/>
  <c r="O11" i="42" s="1"/>
  <c r="P11" i="42" s="1"/>
  <c r="K35" i="25"/>
  <c r="S11" i="42" s="1"/>
  <c r="T11" i="42" s="1"/>
  <c r="I34" i="25"/>
  <c r="I37" i="25" s="1"/>
  <c r="J34" i="25"/>
  <c r="K34" i="25"/>
  <c r="J35" i="25"/>
  <c r="R11" i="42" l="1"/>
  <c r="Q11" i="42"/>
  <c r="K94" i="34"/>
  <c r="X73" i="35"/>
  <c r="K100" i="34" s="1"/>
  <c r="I11" i="22"/>
  <c r="J4" i="44"/>
  <c r="X392" i="26"/>
  <c r="W392" i="26"/>
  <c r="V392" i="26"/>
  <c r="X388" i="26" a="1"/>
  <c r="X388" i="26" s="1"/>
  <c r="W388" i="26" a="1"/>
  <c r="W388" i="26" s="1"/>
  <c r="V388" i="26" a="1"/>
  <c r="V388" i="26" s="1"/>
  <c r="X379" i="26"/>
  <c r="W379" i="26"/>
  <c r="V379" i="26"/>
  <c r="X375" i="26" a="1"/>
  <c r="X375" i="26" s="1"/>
  <c r="W375" i="26" a="1"/>
  <c r="W375" i="26" s="1"/>
  <c r="V375" i="26" a="1"/>
  <c r="V375" i="26" s="1"/>
  <c r="X366" i="26"/>
  <c r="W366" i="26"/>
  <c r="V366" i="26"/>
  <c r="X362" i="26" a="1"/>
  <c r="X362" i="26" s="1"/>
  <c r="W362" i="26" a="1"/>
  <c r="W362" i="26" s="1"/>
  <c r="V362" i="26" a="1"/>
  <c r="V362" i="26" s="1"/>
  <c r="X353" i="26"/>
  <c r="W353" i="26"/>
  <c r="V353" i="26"/>
  <c r="X349" i="26" a="1"/>
  <c r="X349" i="26" s="1"/>
  <c r="W349" i="26" a="1"/>
  <c r="W349" i="26" s="1"/>
  <c r="V349" i="26" a="1"/>
  <c r="V349" i="26" s="1"/>
  <c r="X340" i="26"/>
  <c r="W340" i="26"/>
  <c r="V340" i="26"/>
  <c r="X336" i="26" a="1"/>
  <c r="X336" i="26" s="1"/>
  <c r="W336" i="26" a="1"/>
  <c r="W336" i="26" s="1"/>
  <c r="V336" i="26" a="1"/>
  <c r="V336" i="26" s="1"/>
  <c r="X327" i="26"/>
  <c r="W327" i="26"/>
  <c r="V327" i="26"/>
  <c r="X323" i="26" a="1"/>
  <c r="X323" i="26" s="1"/>
  <c r="W323" i="26" a="1"/>
  <c r="W323" i="26" s="1"/>
  <c r="V323" i="26" a="1"/>
  <c r="V323" i="26" s="1"/>
  <c r="X314" i="26"/>
  <c r="W314" i="26"/>
  <c r="V314" i="26"/>
  <c r="X310" i="26" a="1"/>
  <c r="X310" i="26" s="1"/>
  <c r="W310" i="26" a="1"/>
  <c r="W310" i="26" s="1"/>
  <c r="V310" i="26" a="1"/>
  <c r="V310" i="26" s="1"/>
  <c r="X301" i="26"/>
  <c r="W301" i="26"/>
  <c r="V301" i="26"/>
  <c r="X297" i="26" a="1"/>
  <c r="X297" i="26" s="1"/>
  <c r="W297" i="26" a="1"/>
  <c r="W297" i="26" s="1"/>
  <c r="V297" i="26" a="1"/>
  <c r="V297" i="26" s="1"/>
  <c r="X288" i="26"/>
  <c r="W288" i="26"/>
  <c r="V288" i="26"/>
  <c r="X284" i="26" a="1"/>
  <c r="X284" i="26" s="1"/>
  <c r="W284" i="26" a="1"/>
  <c r="W284" i="26" s="1"/>
  <c r="V284" i="26" a="1"/>
  <c r="V284" i="26" s="1"/>
  <c r="X471" i="26" a="1"/>
  <c r="X471" i="26" s="1"/>
  <c r="W471" i="26" a="1"/>
  <c r="W471" i="26" s="1"/>
  <c r="V471" i="26" a="1"/>
  <c r="V471" i="26" s="1"/>
  <c r="X470" i="26"/>
  <c r="W470" i="26"/>
  <c r="V470" i="26"/>
  <c r="X466" i="26" a="1"/>
  <c r="X466" i="26" s="1"/>
  <c r="W466" i="26" a="1"/>
  <c r="W466" i="26" s="1"/>
  <c r="V466" i="26" a="1"/>
  <c r="V466" i="26" s="1"/>
  <c r="X458" i="26" a="1"/>
  <c r="X458" i="26" s="1"/>
  <c r="W458" i="26" a="1"/>
  <c r="W458" i="26" s="1"/>
  <c r="V458" i="26" a="1"/>
  <c r="V458" i="26" s="1"/>
  <c r="X457" i="26"/>
  <c r="W457" i="26"/>
  <c r="V457" i="26"/>
  <c r="X453" i="26" a="1"/>
  <c r="X453" i="26" s="1"/>
  <c r="W453" i="26" a="1"/>
  <c r="W453" i="26" s="1"/>
  <c r="V453" i="26" a="1"/>
  <c r="V453" i="26" s="1"/>
  <c r="X445" i="26" a="1"/>
  <c r="X445" i="26" s="1"/>
  <c r="W445" i="26" a="1"/>
  <c r="W445" i="26" s="1"/>
  <c r="V445" i="26" a="1"/>
  <c r="V445" i="26" s="1"/>
  <c r="X444" i="26"/>
  <c r="W444" i="26"/>
  <c r="V444" i="26"/>
  <c r="X440" i="26" a="1"/>
  <c r="X440" i="26" s="1"/>
  <c r="W440" i="26" a="1"/>
  <c r="W440" i="26" s="1"/>
  <c r="V440" i="26" a="1"/>
  <c r="V440" i="26" s="1"/>
  <c r="X432" i="26" a="1"/>
  <c r="X432" i="26" s="1"/>
  <c r="W432" i="26" a="1"/>
  <c r="W432" i="26" s="1"/>
  <c r="V432" i="26" a="1"/>
  <c r="V432" i="26" s="1"/>
  <c r="X431" i="26"/>
  <c r="W431" i="26"/>
  <c r="V431" i="26"/>
  <c r="X427" i="26" a="1"/>
  <c r="X427" i="26" s="1"/>
  <c r="W427" i="26" a="1"/>
  <c r="W427" i="26" s="1"/>
  <c r="V427" i="26" a="1"/>
  <c r="V427" i="26" s="1"/>
  <c r="X419" i="26" a="1"/>
  <c r="X419" i="26" s="1"/>
  <c r="W419" i="26" a="1"/>
  <c r="W419" i="26" s="1"/>
  <c r="V419" i="26" a="1"/>
  <c r="V419" i="26" s="1"/>
  <c r="X418" i="26"/>
  <c r="W418" i="26"/>
  <c r="V418" i="26"/>
  <c r="X414" i="26" a="1"/>
  <c r="X414" i="26" s="1"/>
  <c r="W414" i="26" a="1"/>
  <c r="W414" i="26" s="1"/>
  <c r="V414" i="26" a="1"/>
  <c r="V414" i="26" s="1"/>
  <c r="X406" i="26" a="1"/>
  <c r="X406" i="26" s="1"/>
  <c r="W406" i="26" a="1"/>
  <c r="W406" i="26" s="1"/>
  <c r="V406" i="26" a="1"/>
  <c r="V406" i="26" s="1"/>
  <c r="X405" i="26"/>
  <c r="W405" i="26"/>
  <c r="V405" i="26"/>
  <c r="X401" i="26" a="1"/>
  <c r="X401" i="26" s="1"/>
  <c r="W401" i="26" a="1"/>
  <c r="W401" i="26" s="1"/>
  <c r="V401" i="26" a="1"/>
  <c r="V401" i="26" s="1"/>
  <c r="X276" i="26" a="1"/>
  <c r="X276" i="26" s="1"/>
  <c r="W276" i="26" a="1"/>
  <c r="W276" i="26" s="1"/>
  <c r="V276" i="26" a="1"/>
  <c r="V276" i="26" s="1"/>
  <c r="X275" i="26"/>
  <c r="W275" i="26"/>
  <c r="V275" i="26"/>
  <c r="X271" i="26" a="1"/>
  <c r="X271" i="26" s="1"/>
  <c r="W271" i="26" a="1"/>
  <c r="W271" i="26" s="1"/>
  <c r="V271" i="26" a="1"/>
  <c r="V271" i="26" s="1"/>
  <c r="X263" i="26" a="1"/>
  <c r="X263" i="26" s="1"/>
  <c r="W263" i="26" a="1"/>
  <c r="W263" i="26" s="1"/>
  <c r="V263" i="26" a="1"/>
  <c r="V263" i="26" s="1"/>
  <c r="X262" i="26"/>
  <c r="W262" i="26"/>
  <c r="V262" i="26"/>
  <c r="X258" i="26" a="1"/>
  <c r="X258" i="26" s="1"/>
  <c r="W258" i="26" a="1"/>
  <c r="W258" i="26" s="1"/>
  <c r="V258" i="26" a="1"/>
  <c r="V258" i="26" s="1"/>
  <c r="X250" i="26" a="1"/>
  <c r="X250" i="26" s="1"/>
  <c r="W250" i="26" a="1"/>
  <c r="W250" i="26" s="1"/>
  <c r="V250" i="26" a="1"/>
  <c r="V250" i="26" s="1"/>
  <c r="X249" i="26"/>
  <c r="W249" i="26"/>
  <c r="V249" i="26"/>
  <c r="X245" i="26" a="1"/>
  <c r="X245" i="26" s="1"/>
  <c r="W245" i="26" a="1"/>
  <c r="W245" i="26" s="1"/>
  <c r="V245" i="26" a="1"/>
  <c r="V245" i="26" s="1"/>
  <c r="X237" i="26" a="1"/>
  <c r="X237" i="26" s="1"/>
  <c r="W237" i="26" a="1"/>
  <c r="W237" i="26" s="1"/>
  <c r="V237" i="26" a="1"/>
  <c r="V237" i="26" s="1"/>
  <c r="X236" i="26"/>
  <c r="W236" i="26"/>
  <c r="V236" i="26"/>
  <c r="X232" i="26" a="1"/>
  <c r="X232" i="26" s="1"/>
  <c r="W232" i="26" a="1"/>
  <c r="W232" i="26" s="1"/>
  <c r="V232" i="26" a="1"/>
  <c r="V232" i="26" s="1"/>
  <c r="X224" i="26" a="1"/>
  <c r="X224" i="26" s="1"/>
  <c r="W224" i="26" a="1"/>
  <c r="W224" i="26" s="1"/>
  <c r="V224" i="26" a="1"/>
  <c r="V224" i="26" s="1"/>
  <c r="X223" i="26"/>
  <c r="W223" i="26"/>
  <c r="V223" i="26"/>
  <c r="X219" i="26" a="1"/>
  <c r="X219" i="26" s="1"/>
  <c r="W219" i="26" a="1"/>
  <c r="W219" i="26" s="1"/>
  <c r="V219" i="26" a="1"/>
  <c r="V219" i="26" s="1"/>
  <c r="X210" i="26"/>
  <c r="W210" i="26"/>
  <c r="V210" i="26"/>
  <c r="X206" i="26" a="1"/>
  <c r="X206" i="26" s="1"/>
  <c r="W206" i="26" a="1"/>
  <c r="W206" i="26" s="1"/>
  <c r="V206" i="26" a="1"/>
  <c r="V206" i="26" s="1"/>
  <c r="X197" i="26"/>
  <c r="W197" i="26"/>
  <c r="V197" i="26"/>
  <c r="X193" i="26" a="1"/>
  <c r="X193" i="26" s="1"/>
  <c r="W193" i="26" a="1"/>
  <c r="W193" i="26" s="1"/>
  <c r="V193" i="26" a="1"/>
  <c r="V193" i="26" s="1"/>
  <c r="X184" i="26"/>
  <c r="W184" i="26"/>
  <c r="V184" i="26"/>
  <c r="X180" i="26" a="1"/>
  <c r="X180" i="26" s="1"/>
  <c r="W180" i="26" a="1"/>
  <c r="W180" i="26" s="1"/>
  <c r="V180" i="26" a="1"/>
  <c r="V180" i="26" s="1"/>
  <c r="X171" i="26"/>
  <c r="W171" i="26"/>
  <c r="V171" i="26"/>
  <c r="X167" i="26" a="1"/>
  <c r="X167" i="26" s="1"/>
  <c r="W167" i="26" a="1"/>
  <c r="W167" i="26" s="1"/>
  <c r="V167" i="26" a="1"/>
  <c r="V167" i="26" s="1"/>
  <c r="X158" i="26"/>
  <c r="W158" i="26"/>
  <c r="V158" i="26"/>
  <c r="X154" i="26" a="1"/>
  <c r="X154" i="26" s="1"/>
  <c r="W154" i="26" a="1"/>
  <c r="W154" i="26" s="1"/>
  <c r="V154" i="26" a="1"/>
  <c r="V154" i="26" s="1"/>
  <c r="X145" i="26"/>
  <c r="W145" i="26"/>
  <c r="V145" i="26"/>
  <c r="X141" i="26" a="1"/>
  <c r="X141" i="26" s="1"/>
  <c r="W141" i="26" a="1"/>
  <c r="W141" i="26" s="1"/>
  <c r="V141" i="26" a="1"/>
  <c r="V141" i="26" s="1"/>
  <c r="X132" i="26"/>
  <c r="W132" i="26"/>
  <c r="V132" i="26"/>
  <c r="X128" i="26" a="1"/>
  <c r="X128" i="26" s="1"/>
  <c r="W128" i="26" a="1"/>
  <c r="W128" i="26" s="1"/>
  <c r="V128" i="26" a="1"/>
  <c r="V128" i="26" s="1"/>
  <c r="X119" i="26"/>
  <c r="W119" i="26"/>
  <c r="V119" i="26"/>
  <c r="X115" i="26" a="1"/>
  <c r="X115" i="26" s="1"/>
  <c r="W115" i="26" a="1"/>
  <c r="W115" i="26" s="1"/>
  <c r="V115" i="26" a="1"/>
  <c r="V115" i="26" s="1"/>
  <c r="X106" i="26"/>
  <c r="W106" i="26"/>
  <c r="V106" i="26"/>
  <c r="X102" i="26" a="1"/>
  <c r="X102" i="26" s="1"/>
  <c r="W102" i="26" a="1"/>
  <c r="W102" i="26" s="1"/>
  <c r="V102" i="26" a="1"/>
  <c r="V102" i="26" s="1"/>
  <c r="X93" i="26"/>
  <c r="W93" i="26"/>
  <c r="V93" i="26"/>
  <c r="X89" i="26" a="1"/>
  <c r="X89" i="26" s="1"/>
  <c r="W89" i="26" a="1"/>
  <c r="W89" i="26" s="1"/>
  <c r="V89" i="26" a="1"/>
  <c r="V89" i="26" s="1"/>
  <c r="X80" i="26"/>
  <c r="W80" i="26"/>
  <c r="V80" i="26"/>
  <c r="X76" i="26" a="1"/>
  <c r="X76" i="26" s="1"/>
  <c r="W76" i="26" a="1"/>
  <c r="W76" i="26" s="1"/>
  <c r="V76" i="26" a="1"/>
  <c r="V76" i="26" s="1"/>
  <c r="X67" i="26"/>
  <c r="W67" i="26"/>
  <c r="V67" i="26"/>
  <c r="X63" i="26" a="1"/>
  <c r="X63" i="26" s="1"/>
  <c r="W63" i="26" a="1"/>
  <c r="W63" i="26" s="1"/>
  <c r="V63" i="26" a="1"/>
  <c r="V63" i="26" s="1"/>
  <c r="X54" i="26"/>
  <c r="W54" i="26"/>
  <c r="V54" i="26"/>
  <c r="X50" i="26" a="1"/>
  <c r="X50" i="26" s="1"/>
  <c r="W50" i="26" a="1"/>
  <c r="W50" i="26" s="1"/>
  <c r="V50" i="26" a="1"/>
  <c r="V50" i="26" s="1"/>
  <c r="X41" i="26"/>
  <c r="W41" i="26"/>
  <c r="V41" i="26"/>
  <c r="X37" i="26" a="1"/>
  <c r="X37" i="26" s="1"/>
  <c r="W37" i="26" a="1"/>
  <c r="W37" i="26" s="1"/>
  <c r="V37" i="26" a="1"/>
  <c r="V37" i="26" s="1"/>
  <c r="X28" i="26"/>
  <c r="W28" i="26"/>
  <c r="V28" i="26"/>
  <c r="X24" i="26" a="1"/>
  <c r="X24" i="26" s="1"/>
  <c r="W24" i="26" a="1"/>
  <c r="W24" i="26" s="1"/>
  <c r="V24" i="26" a="1"/>
  <c r="V24" i="26" s="1"/>
  <c r="G8" i="21"/>
  <c r="G7" i="21"/>
  <c r="G6" i="21"/>
  <c r="X211" i="26" a="1"/>
  <c r="X211" i="26" s="1"/>
  <c r="W211" i="26" a="1"/>
  <c r="W211" i="26" s="1"/>
  <c r="V211" i="26" a="1"/>
  <c r="V211" i="26" s="1"/>
  <c r="W520" i="26"/>
  <c r="X520" i="26"/>
  <c r="X521" i="26"/>
  <c r="W521" i="26"/>
  <c r="X11" i="26" a="1"/>
  <c r="X11" i="26" s="1"/>
  <c r="W11" i="26" a="1"/>
  <c r="W11" i="26" s="1"/>
  <c r="V11" i="26" a="1"/>
  <c r="V11" i="26" s="1"/>
  <c r="V521" i="26"/>
  <c r="K35" i="22" a="1"/>
  <c r="K35" i="22" s="1"/>
  <c r="S113" i="42" s="1"/>
  <c r="I35" i="22" a="1"/>
  <c r="I35" i="22" s="1"/>
  <c r="O113" i="42" s="1"/>
  <c r="X15" i="26"/>
  <c r="V15" i="26"/>
  <c r="W15" i="26"/>
  <c r="I16" i="19"/>
  <c r="H16" i="19"/>
  <c r="I17" i="19" a="1"/>
  <c r="I17" i="19" s="1"/>
  <c r="I18" i="19" s="1"/>
  <c r="H17" i="19" a="1"/>
  <c r="H17" i="19" s="1"/>
  <c r="H18" i="19" s="1"/>
  <c r="G17" i="19" a="1"/>
  <c r="G17" i="19" s="1"/>
  <c r="G18" i="19" s="1"/>
  <c r="I14" i="19" a="1"/>
  <c r="I14" i="19" s="1"/>
  <c r="I15" i="19" s="1"/>
  <c r="P54" i="42" s="1"/>
  <c r="Q54" i="42" s="1"/>
  <c r="H14" i="19" a="1"/>
  <c r="H14" i="19" s="1"/>
  <c r="H15" i="19" s="1"/>
  <c r="N54" i="42" s="1"/>
  <c r="O54" i="42" s="1"/>
  <c r="G14" i="19" a="1"/>
  <c r="G14" i="19" s="1"/>
  <c r="G15" i="19" s="1"/>
  <c r="L54" i="42" s="1"/>
  <c r="M54" i="42" s="1"/>
  <c r="I13" i="19"/>
  <c r="H13" i="19"/>
  <c r="G13" i="19"/>
  <c r="I11" i="19" a="1"/>
  <c r="I11" i="19" s="1"/>
  <c r="I12" i="19" s="1"/>
  <c r="P53" i="42" s="1"/>
  <c r="Q53" i="42" s="1"/>
  <c r="H11" i="19" a="1"/>
  <c r="H11" i="19" s="1"/>
  <c r="H12" i="19" s="1"/>
  <c r="N53" i="42" s="1"/>
  <c r="O53" i="42" s="1"/>
  <c r="G11" i="19" a="1"/>
  <c r="G11" i="19" s="1"/>
  <c r="G12" i="19" s="1"/>
  <c r="L53" i="42" s="1"/>
  <c r="M53" i="42" s="1"/>
  <c r="K37" i="25"/>
  <c r="J37" i="25"/>
  <c r="K169" i="42"/>
  <c r="L169" i="42" s="1"/>
  <c r="K170" i="42"/>
  <c r="L170" i="42" s="1"/>
  <c r="K171" i="42"/>
  <c r="L171" i="42" s="1"/>
  <c r="K172" i="42"/>
  <c r="L172" i="42" s="1"/>
  <c r="K173" i="42"/>
  <c r="L173" i="42" s="1"/>
  <c r="K174" i="42"/>
  <c r="L174" i="42" s="1"/>
  <c r="K175" i="42"/>
  <c r="L175" i="42" s="1"/>
  <c r="K176" i="42"/>
  <c r="L176" i="42" s="1"/>
  <c r="K177" i="42"/>
  <c r="L177" i="42" s="1"/>
  <c r="K178" i="42"/>
  <c r="L178" i="42" s="1"/>
  <c r="K179" i="42"/>
  <c r="L179" i="42" s="1"/>
  <c r="K180" i="42"/>
  <c r="L180" i="42" s="1"/>
  <c r="K181" i="42"/>
  <c r="L181" i="42" s="1"/>
  <c r="K182" i="42"/>
  <c r="L182" i="42" s="1"/>
  <c r="K183" i="42"/>
  <c r="L183" i="42" s="1"/>
  <c r="K184" i="42"/>
  <c r="L184" i="42" s="1"/>
  <c r="K185" i="42"/>
  <c r="L185" i="42" s="1"/>
  <c r="K186" i="42"/>
  <c r="L186" i="42" s="1"/>
  <c r="K187" i="42"/>
  <c r="L187" i="42" s="1"/>
  <c r="K188" i="42"/>
  <c r="L188" i="42" s="1"/>
  <c r="K189" i="42"/>
  <c r="L189" i="42" s="1"/>
  <c r="K190" i="42"/>
  <c r="L190" i="42" s="1"/>
  <c r="K191" i="42"/>
  <c r="L191" i="42" s="1"/>
  <c r="K192" i="42"/>
  <c r="L192" i="42" s="1"/>
  <c r="K193" i="42"/>
  <c r="L193" i="42" s="1"/>
  <c r="K194" i="42"/>
  <c r="L194" i="42" s="1"/>
  <c r="K195" i="42"/>
  <c r="L195" i="42" s="1"/>
  <c r="K196" i="42"/>
  <c r="L196" i="42" s="1"/>
  <c r="K197" i="42"/>
  <c r="L197" i="42" s="1"/>
  <c r="K198" i="42"/>
  <c r="L198" i="42" s="1"/>
  <c r="K199" i="42"/>
  <c r="L199" i="42" s="1"/>
  <c r="K200" i="42"/>
  <c r="L200" i="42" s="1"/>
  <c r="K201" i="42"/>
  <c r="L201" i="42" s="1"/>
  <c r="K202" i="42"/>
  <c r="L202" i="42" s="1"/>
  <c r="K203" i="42"/>
  <c r="L203" i="42" s="1"/>
  <c r="K204" i="42"/>
  <c r="L204" i="42" s="1"/>
  <c r="K205" i="42"/>
  <c r="L205" i="42" s="1"/>
  <c r="K206" i="42"/>
  <c r="L206" i="42" s="1"/>
  <c r="K207" i="42"/>
  <c r="L207" i="42" s="1"/>
  <c r="K208" i="42"/>
  <c r="L208" i="42" s="1"/>
  <c r="K209" i="42"/>
  <c r="L209" i="42" s="1"/>
  <c r="K210" i="42"/>
  <c r="L210" i="42" s="1"/>
  <c r="K211" i="42"/>
  <c r="L211" i="42" s="1"/>
  <c r="K212" i="42"/>
  <c r="L212" i="42" s="1"/>
  <c r="K213" i="42"/>
  <c r="L213" i="42" s="1"/>
  <c r="K214" i="42"/>
  <c r="L214" i="42" s="1"/>
  <c r="K215" i="42"/>
  <c r="L215" i="42" s="1"/>
  <c r="K216" i="42"/>
  <c r="L216" i="42" s="1"/>
  <c r="K217" i="42"/>
  <c r="L217" i="42" s="1"/>
  <c r="J321" i="33"/>
  <c r="J95" i="33"/>
  <c r="I16" i="22" s="1"/>
  <c r="M56" i="42" l="1"/>
  <c r="O56" i="42"/>
  <c r="Q56" i="42"/>
  <c r="Z109" i="42"/>
  <c r="Z111" i="42" s="1"/>
  <c r="G51" i="34" s="1"/>
  <c r="AD109" i="42"/>
  <c r="AD111" i="42" s="1"/>
  <c r="G83" i="34" s="1"/>
  <c r="AB109" i="42"/>
  <c r="AB111" i="42" s="1"/>
  <c r="G67" i="34" s="1"/>
  <c r="C132" i="34"/>
  <c r="O108" i="42"/>
  <c r="O116" i="42" s="1"/>
  <c r="C110" i="33"/>
  <c r="Q116" i="42"/>
  <c r="C220" i="33"/>
  <c r="K16" i="22"/>
  <c r="C337" i="33"/>
  <c r="J11" i="25" a="1"/>
  <c r="J11" i="25" s="1"/>
  <c r="K31" i="25"/>
  <c r="S10" i="42" s="1"/>
  <c r="J31" i="25"/>
  <c r="Q10" i="42" s="1"/>
  <c r="I31" i="25"/>
  <c r="O10" i="42" s="1"/>
  <c r="K27" i="25"/>
  <c r="S9" i="42" s="1"/>
  <c r="K26" i="25" a="1"/>
  <c r="K26" i="25" s="1"/>
  <c r="T9" i="42" s="1"/>
  <c r="K24" i="25"/>
  <c r="K23" i="25"/>
  <c r="S8" i="42" s="1"/>
  <c r="K22" i="25" a="1"/>
  <c r="K22" i="25" s="1"/>
  <c r="K19" i="25" a="1"/>
  <c r="K19" i="25" s="1"/>
  <c r="K17" i="25"/>
  <c r="K16" i="25"/>
  <c r="K14" i="25" a="1"/>
  <c r="K14" i="25" s="1"/>
  <c r="K11" i="25" a="1"/>
  <c r="K11" i="25" s="1"/>
  <c r="J27" i="25"/>
  <c r="Q9" i="42" s="1"/>
  <c r="J26" i="25" a="1"/>
  <c r="J26" i="25" s="1"/>
  <c r="R9" i="42" s="1"/>
  <c r="I24" i="25"/>
  <c r="J23" i="25"/>
  <c r="Q8" i="42" s="1"/>
  <c r="J22" i="25" a="1"/>
  <c r="J22" i="25" s="1"/>
  <c r="J19" i="25" a="1"/>
  <c r="J19" i="25" s="1"/>
  <c r="J17" i="25"/>
  <c r="J16" i="25"/>
  <c r="J14" i="25" a="1"/>
  <c r="J14" i="25" s="1"/>
  <c r="I26" i="25" a="1"/>
  <c r="I26" i="25" s="1"/>
  <c r="P9" i="42" s="1"/>
  <c r="I22" i="25" a="1"/>
  <c r="I22" i="25" s="1"/>
  <c r="P8" i="42" s="1"/>
  <c r="I19" i="25" a="1"/>
  <c r="I19" i="25" s="1"/>
  <c r="I14" i="25" a="1"/>
  <c r="I14" i="25" s="1"/>
  <c r="J12" i="25"/>
  <c r="Q5" i="42" s="1"/>
  <c r="K12" i="25"/>
  <c r="S5" i="42" s="1"/>
  <c r="I11" i="25" a="1"/>
  <c r="I11" i="25" s="1"/>
  <c r="P5" i="42" s="1"/>
  <c r="I16" i="25"/>
  <c r="G5" i="25"/>
  <c r="I27" i="25"/>
  <c r="O9" i="42" s="1"/>
  <c r="I23" i="25"/>
  <c r="O8" i="42" s="1"/>
  <c r="I17" i="25"/>
  <c r="I12" i="25"/>
  <c r="O5" i="42" s="1"/>
  <c r="E5" i="19"/>
  <c r="G6" i="25"/>
  <c r="AH77" i="35"/>
  <c r="AG79" i="35" s="1" a="1"/>
  <c r="AG79" i="35" s="1"/>
  <c r="AH95" i="35"/>
  <c r="AG98" i="35" s="1" a="1"/>
  <c r="AG98" i="35" s="1"/>
  <c r="AH54" i="35"/>
  <c r="AG57" i="35" s="1" a="1"/>
  <c r="AG57" i="35" s="1"/>
  <c r="BK43" i="35"/>
  <c r="BL37" i="35"/>
  <c r="BK37" i="35"/>
  <c r="D387" i="33"/>
  <c r="D404" i="33"/>
  <c r="D385" i="33"/>
  <c r="E385" i="33" s="1"/>
  <c r="D402" i="33"/>
  <c r="E402" i="33" s="1"/>
  <c r="F402" i="33" s="1"/>
  <c r="G402" i="33" s="1"/>
  <c r="H402" i="33" s="1"/>
  <c r="I402" i="33" s="1"/>
  <c r="J402" i="33" s="1"/>
  <c r="K402" i="33" s="1"/>
  <c r="L402" i="33" s="1"/>
  <c r="M402" i="33" s="1"/>
  <c r="N402" i="33" s="1"/>
  <c r="O402" i="33" s="1"/>
  <c r="P402" i="33" s="1"/>
  <c r="Q402" i="33" s="1"/>
  <c r="R402" i="33" s="1"/>
  <c r="S402" i="33" s="1"/>
  <c r="T402" i="33" s="1"/>
  <c r="U402" i="33" s="1"/>
  <c r="V402" i="33" s="1"/>
  <c r="W402" i="33" s="1"/>
  <c r="X402" i="33" s="1"/>
  <c r="Y402" i="33" s="1"/>
  <c r="Z402" i="33" s="1"/>
  <c r="AA402" i="33" s="1"/>
  <c r="AB402" i="33" s="1"/>
  <c r="AC402" i="33" s="1"/>
  <c r="AD402" i="33" s="1"/>
  <c r="AE402" i="33" s="1"/>
  <c r="D370" i="33"/>
  <c r="BL42" i="35"/>
  <c r="BM42" i="35"/>
  <c r="BI42" i="35"/>
  <c r="BW7" i="35"/>
  <c r="BS7" i="35"/>
  <c r="J96" i="33"/>
  <c r="H122" i="34" s="1"/>
  <c r="G8" i="38"/>
  <c r="G7" i="38"/>
  <c r="F8" i="22"/>
  <c r="F7" i="22"/>
  <c r="F6" i="22"/>
  <c r="E8" i="19"/>
  <c r="E7" i="19"/>
  <c r="E6" i="19"/>
  <c r="L8" i="26"/>
  <c r="L7" i="26"/>
  <c r="L6" i="26"/>
  <c r="G8" i="25"/>
  <c r="G7" i="25"/>
  <c r="N122" i="34"/>
  <c r="BW16" i="35" s="1"/>
  <c r="N437" i="33"/>
  <c r="B399" i="33"/>
  <c r="B382" i="33"/>
  <c r="D44" i="33"/>
  <c r="E44" i="33" s="1"/>
  <c r="F44" i="33" s="1"/>
  <c r="G44" i="33" s="1"/>
  <c r="H44" i="33" s="1"/>
  <c r="I44" i="33" s="1"/>
  <c r="J44" i="33" s="1"/>
  <c r="K44" i="33" s="1"/>
  <c r="L44" i="33" s="1"/>
  <c r="M44" i="33" s="1"/>
  <c r="N44" i="33" s="1"/>
  <c r="O44" i="33" s="1"/>
  <c r="P44" i="33" s="1"/>
  <c r="C436" i="33"/>
  <c r="C437" i="33"/>
  <c r="AM445" i="33"/>
  <c r="AK459" i="33"/>
  <c r="AK460" i="33"/>
  <c r="C136" i="34"/>
  <c r="BW8" i="35"/>
  <c r="BS8" i="35"/>
  <c r="F4" i="22"/>
  <c r="AR57" i="35"/>
  <c r="AR55" i="35"/>
  <c r="L4" i="26"/>
  <c r="J322" i="33"/>
  <c r="D328" i="33"/>
  <c r="K322" i="33"/>
  <c r="P322" i="33" s="1"/>
  <c r="G321" i="33"/>
  <c r="D294" i="33"/>
  <c r="D277" i="33"/>
  <c r="D260" i="33"/>
  <c r="D143" i="33"/>
  <c r="D289" i="33"/>
  <c r="D272" i="33"/>
  <c r="D29" i="33"/>
  <c r="D79" i="33" s="1"/>
  <c r="D255" i="33"/>
  <c r="D287" i="33"/>
  <c r="D253" i="33"/>
  <c r="E253" i="33" s="1"/>
  <c r="F253" i="33" s="1"/>
  <c r="G253" i="33" s="1"/>
  <c r="H253" i="33" s="1"/>
  <c r="I253" i="33" s="1"/>
  <c r="J253" i="33" s="1"/>
  <c r="K253" i="33" s="1"/>
  <c r="L253" i="33" s="1"/>
  <c r="D170" i="33"/>
  <c r="E170" i="33" s="1"/>
  <c r="F170" i="33" s="1"/>
  <c r="G170" i="33" s="1"/>
  <c r="H170" i="33" s="1"/>
  <c r="I170" i="33" s="1"/>
  <c r="J170" i="33" s="1"/>
  <c r="K170" i="33" s="1"/>
  <c r="L170" i="33" s="1"/>
  <c r="M170" i="33" s="1"/>
  <c r="N170" i="33" s="1"/>
  <c r="O170" i="33" s="1"/>
  <c r="P170" i="33" s="1"/>
  <c r="Q170" i="33" s="1"/>
  <c r="R170" i="33" s="1"/>
  <c r="S170" i="33" s="1"/>
  <c r="T170" i="33" s="1"/>
  <c r="U170" i="33" s="1"/>
  <c r="V170" i="33" s="1"/>
  <c r="W170" i="33" s="1"/>
  <c r="X170" i="33" s="1"/>
  <c r="Y170" i="33" s="1"/>
  <c r="Z170" i="33" s="1"/>
  <c r="AA170" i="33" s="1"/>
  <c r="AB170" i="33" s="1"/>
  <c r="AC170" i="33" s="1"/>
  <c r="AD170" i="33" s="1"/>
  <c r="AE170" i="33" s="1"/>
  <c r="AF170" i="33" s="1"/>
  <c r="AG170" i="33" s="1"/>
  <c r="AH170" i="33" s="1"/>
  <c r="D136" i="33"/>
  <c r="E136" i="33" s="1"/>
  <c r="F136" i="33" s="1"/>
  <c r="G136" i="33" s="1"/>
  <c r="H136" i="33" s="1"/>
  <c r="I136" i="33" s="1"/>
  <c r="J136" i="33" s="1"/>
  <c r="K136" i="33" s="1"/>
  <c r="L136" i="33" s="1"/>
  <c r="M136" i="33" s="1"/>
  <c r="D61" i="33"/>
  <c r="E61" i="33" s="1"/>
  <c r="F61" i="33" s="1"/>
  <c r="G61" i="33" s="1"/>
  <c r="H61" i="33" s="1"/>
  <c r="I61" i="33" s="1"/>
  <c r="J61" i="33" s="1"/>
  <c r="K61" i="33" s="1"/>
  <c r="L61" i="33" s="1"/>
  <c r="M61" i="33" s="1"/>
  <c r="N61" i="33" s="1"/>
  <c r="D27" i="33"/>
  <c r="E27" i="33" s="1"/>
  <c r="F27" i="33" s="1"/>
  <c r="G27" i="33" s="1"/>
  <c r="H27" i="33" s="1"/>
  <c r="I27" i="33" s="1"/>
  <c r="J27" i="33" s="1"/>
  <c r="K27" i="33" s="1"/>
  <c r="L27" i="33" s="1"/>
  <c r="D270" i="33"/>
  <c r="E270" i="33" s="1"/>
  <c r="F270" i="33" s="1"/>
  <c r="G270" i="33" s="1"/>
  <c r="H270" i="33" s="1"/>
  <c r="I270" i="33" s="1"/>
  <c r="J270" i="33" s="1"/>
  <c r="K270" i="33" s="1"/>
  <c r="L270" i="33" s="1"/>
  <c r="M270" i="33" s="1"/>
  <c r="N270" i="33" s="1"/>
  <c r="O270" i="33" s="1"/>
  <c r="P270" i="33" s="1"/>
  <c r="Q270" i="33" s="1"/>
  <c r="R270" i="33" s="1"/>
  <c r="S270" i="33" s="1"/>
  <c r="T270" i="33" s="1"/>
  <c r="B284" i="33"/>
  <c r="B267" i="33"/>
  <c r="B250" i="33"/>
  <c r="M86" i="34"/>
  <c r="L86" i="34"/>
  <c r="N85" i="34"/>
  <c r="M85" i="34"/>
  <c r="L85" i="34"/>
  <c r="J82" i="34"/>
  <c r="J79" i="34"/>
  <c r="J78" i="34"/>
  <c r="O77" i="34"/>
  <c r="J77" i="34"/>
  <c r="J76" i="34"/>
  <c r="AK345" i="33"/>
  <c r="AK344" i="33"/>
  <c r="AM330" i="33"/>
  <c r="C322" i="33"/>
  <c r="C321" i="33"/>
  <c r="D211" i="33"/>
  <c r="K205" i="33"/>
  <c r="P205" i="33" s="1"/>
  <c r="G204" i="33"/>
  <c r="G205" i="33" s="1"/>
  <c r="C205" i="33"/>
  <c r="C96" i="33"/>
  <c r="D177" i="33"/>
  <c r="D172" i="33"/>
  <c r="D160" i="33"/>
  <c r="D155" i="33"/>
  <c r="D153" i="33"/>
  <c r="E153" i="33" s="1"/>
  <c r="F153" i="33" s="1"/>
  <c r="G153" i="33" s="1"/>
  <c r="H153" i="33" s="1"/>
  <c r="I153" i="33" s="1"/>
  <c r="J153" i="33" s="1"/>
  <c r="K153" i="33" s="1"/>
  <c r="L153" i="33" s="1"/>
  <c r="M153" i="33" s="1"/>
  <c r="N153" i="33" s="1"/>
  <c r="O153" i="33" s="1"/>
  <c r="P153" i="33" s="1"/>
  <c r="Q153" i="33" s="1"/>
  <c r="R153" i="33" s="1"/>
  <c r="S153" i="33" s="1"/>
  <c r="T153" i="33" s="1"/>
  <c r="D34" i="33"/>
  <c r="D138" i="33"/>
  <c r="B167" i="33"/>
  <c r="B150" i="33"/>
  <c r="B133" i="33"/>
  <c r="AK228" i="33"/>
  <c r="AK227" i="33"/>
  <c r="AM213" i="33"/>
  <c r="C204" i="33"/>
  <c r="M70" i="34"/>
  <c r="L70" i="34"/>
  <c r="N69" i="34"/>
  <c r="M69" i="34"/>
  <c r="L69" i="34"/>
  <c r="J66" i="34"/>
  <c r="J63" i="34"/>
  <c r="J62" i="34"/>
  <c r="O61" i="34"/>
  <c r="J61" i="34"/>
  <c r="J60" i="34"/>
  <c r="K96" i="33"/>
  <c r="P96" i="33" s="1"/>
  <c r="C95" i="33"/>
  <c r="G95" i="33"/>
  <c r="G96" i="33" s="1"/>
  <c r="J44" i="34"/>
  <c r="J45" i="34"/>
  <c r="J46" i="34"/>
  <c r="J47" i="34"/>
  <c r="J50" i="34"/>
  <c r="O19" i="34" a="1"/>
  <c r="O19" i="34" s="1"/>
  <c r="J19" i="34"/>
  <c r="L19" i="34" a="1"/>
  <c r="L19" i="34" s="1"/>
  <c r="G39" i="34" s="1"/>
  <c r="G40" i="34" s="1"/>
  <c r="K38" i="34" s="1"/>
  <c r="G5" i="21"/>
  <c r="F5" i="22"/>
  <c r="L5" i="26"/>
  <c r="I104" i="34"/>
  <c r="O38" i="34"/>
  <c r="O39" i="34"/>
  <c r="D443" i="33" s="1"/>
  <c r="D445" i="33" s="1"/>
  <c r="T8" i="42" l="1"/>
  <c r="R8" i="42"/>
  <c r="G322" i="33"/>
  <c r="P321" i="33" s="1"/>
  <c r="U321" i="33" s="1"/>
  <c r="S321" i="33" s="1" a="1"/>
  <c r="S321" i="33" s="1"/>
  <c r="C134" i="34"/>
  <c r="J20" i="25"/>
  <c r="Q7" i="42" s="1"/>
  <c r="R7" i="42" s="1"/>
  <c r="Q6" i="42"/>
  <c r="R6" i="42" s="1"/>
  <c r="K20" i="25"/>
  <c r="S7" i="42" s="1"/>
  <c r="T7" i="42" s="1"/>
  <c r="S6" i="42"/>
  <c r="T6" i="42" s="1"/>
  <c r="I20" i="25"/>
  <c r="O7" i="42" s="1"/>
  <c r="P7" i="42" s="1"/>
  <c r="O6" i="42"/>
  <c r="P6" i="42" s="1"/>
  <c r="S108" i="42"/>
  <c r="S116" i="42" s="1"/>
  <c r="G82" i="34" s="1"/>
  <c r="T5" i="42"/>
  <c r="T10" i="42"/>
  <c r="R10" i="42"/>
  <c r="R5" i="42"/>
  <c r="P10" i="42"/>
  <c r="F101" i="34"/>
  <c r="P95" i="33"/>
  <c r="G50" i="34"/>
  <c r="G66" i="34"/>
  <c r="I12" i="22"/>
  <c r="J436" i="33"/>
  <c r="C452" i="33" s="1"/>
  <c r="O69" i="34"/>
  <c r="K437" i="33"/>
  <c r="P437" i="33" s="1"/>
  <c r="D256" i="33"/>
  <c r="D273" i="33"/>
  <c r="D392" i="33"/>
  <c r="AF402" i="33"/>
  <c r="AG402" i="33" s="1"/>
  <c r="AH402" i="33" s="1"/>
  <c r="D375" i="33"/>
  <c r="D374" i="33" s="1"/>
  <c r="D422" i="33"/>
  <c r="K117" i="34"/>
  <c r="D409" i="33"/>
  <c r="D408" i="33" s="1"/>
  <c r="D368" i="33"/>
  <c r="E368" i="33" s="1"/>
  <c r="F368" i="33" s="1"/>
  <c r="N109" i="34"/>
  <c r="L118" i="34"/>
  <c r="BK42" i="35"/>
  <c r="K118" i="34"/>
  <c r="BL43" i="35" s="1"/>
  <c r="D442" i="33"/>
  <c r="E442" i="33" s="1"/>
  <c r="F442" i="33" s="1"/>
  <c r="G442" i="33" s="1"/>
  <c r="H442" i="33" s="1"/>
  <c r="I442" i="33" s="1"/>
  <c r="J442" i="33" s="1"/>
  <c r="O85" i="34"/>
  <c r="H132" i="34"/>
  <c r="D173" i="33"/>
  <c r="E211" i="33"/>
  <c r="F211" i="33" s="1"/>
  <c r="G211" i="33" s="1"/>
  <c r="H211" i="33" s="1"/>
  <c r="I211" i="33" s="1"/>
  <c r="J211" i="33" s="1"/>
  <c r="K211" i="33" s="1"/>
  <c r="L211" i="33" s="1"/>
  <c r="M211" i="33" s="1"/>
  <c r="N211" i="33" s="1"/>
  <c r="O211" i="33" s="1"/>
  <c r="P211" i="33" s="1"/>
  <c r="Q211" i="33" s="1"/>
  <c r="R211" i="33" s="1"/>
  <c r="S211" i="33" s="1"/>
  <c r="T211" i="33" s="1"/>
  <c r="U211" i="33" s="1"/>
  <c r="V211" i="33" s="1"/>
  <c r="W211" i="33" s="1"/>
  <c r="X211" i="33" s="1"/>
  <c r="Y211" i="33" s="1"/>
  <c r="Z211" i="33" s="1"/>
  <c r="AA211" i="33" s="1"/>
  <c r="AB211" i="33" s="1"/>
  <c r="AC211" i="33" s="1"/>
  <c r="AD211" i="33" s="1"/>
  <c r="AE211" i="33" s="1"/>
  <c r="AF211" i="33" s="1"/>
  <c r="AG211" i="33" s="1"/>
  <c r="E443" i="33"/>
  <c r="F443" i="33" s="1"/>
  <c r="E328" i="33"/>
  <c r="H140" i="34"/>
  <c r="D139" i="33"/>
  <c r="D188" i="33"/>
  <c r="E287" i="33"/>
  <c r="D405" i="33"/>
  <c r="D142" i="33"/>
  <c r="E143" i="33" s="1"/>
  <c r="D259" i="33"/>
  <c r="E260" i="33" s="1"/>
  <c r="D213" i="33"/>
  <c r="F385" i="33"/>
  <c r="G385" i="33" s="1"/>
  <c r="H385" i="33" s="1"/>
  <c r="I385" i="33" s="1"/>
  <c r="J385" i="33" s="1"/>
  <c r="K385" i="33" s="1"/>
  <c r="L385" i="33" s="1"/>
  <c r="M385" i="33" s="1"/>
  <c r="N385" i="33" s="1"/>
  <c r="O385" i="33" s="1"/>
  <c r="P385" i="33" s="1"/>
  <c r="Q385" i="33" s="1"/>
  <c r="R385" i="33" s="1"/>
  <c r="S385" i="33" s="1"/>
  <c r="T385" i="33" s="1"/>
  <c r="U385" i="33" s="1"/>
  <c r="V385" i="33" s="1"/>
  <c r="W385" i="33" s="1"/>
  <c r="X385" i="33" s="1"/>
  <c r="Y385" i="33" s="1"/>
  <c r="Z385" i="33" s="1"/>
  <c r="AA385" i="33" s="1"/>
  <c r="AB385" i="33" s="1"/>
  <c r="AC385" i="33" s="1"/>
  <c r="AD385" i="33" s="1"/>
  <c r="AE385" i="33" s="1"/>
  <c r="AF385" i="33" s="1"/>
  <c r="AG385" i="33" s="1"/>
  <c r="AH385" i="33" s="1"/>
  <c r="M253" i="33"/>
  <c r="N253" i="33" s="1"/>
  <c r="N136" i="33"/>
  <c r="O136" i="33" s="1"/>
  <c r="P136" i="33" s="1"/>
  <c r="Q136" i="33" s="1"/>
  <c r="R136" i="33" s="1"/>
  <c r="S136" i="33" s="1"/>
  <c r="T136" i="33" s="1"/>
  <c r="U136" i="33" s="1"/>
  <c r="V136" i="33" s="1"/>
  <c r="W136" i="33" s="1"/>
  <c r="X136" i="33" s="1"/>
  <c r="Y136" i="33" s="1"/>
  <c r="Z136" i="33" s="1"/>
  <c r="AA136" i="33" s="1"/>
  <c r="AB136" i="33" s="1"/>
  <c r="AC136" i="33" s="1"/>
  <c r="AD136" i="33" s="1"/>
  <c r="AE136" i="33" s="1"/>
  <c r="AF136" i="33" s="1"/>
  <c r="AG136" i="33" s="1"/>
  <c r="AH136" i="33" s="1"/>
  <c r="M27" i="33"/>
  <c r="N27" i="33" s="1"/>
  <c r="D420" i="33"/>
  <c r="D156" i="33"/>
  <c r="D189" i="33"/>
  <c r="D290" i="33"/>
  <c r="D159" i="33"/>
  <c r="E155" i="33" s="1"/>
  <c r="E156" i="33" s="1"/>
  <c r="J70" i="34"/>
  <c r="O70" i="34" s="1"/>
  <c r="AH19" i="35" s="1"/>
  <c r="D176" i="33"/>
  <c r="J86" i="34"/>
  <c r="D276" i="33"/>
  <c r="U270" i="33"/>
  <c r="V270" i="33" s="1"/>
  <c r="W270" i="33" s="1"/>
  <c r="X270" i="33" s="1"/>
  <c r="Y270" i="33" s="1"/>
  <c r="Z270" i="33" s="1"/>
  <c r="AA270" i="33" s="1"/>
  <c r="AB270" i="33" s="1"/>
  <c r="AC270" i="33" s="1"/>
  <c r="AD270" i="33" s="1"/>
  <c r="AE270" i="33" s="1"/>
  <c r="AF270" i="33" s="1"/>
  <c r="AG270" i="33" s="1"/>
  <c r="AH270" i="33" s="1"/>
  <c r="U153" i="33"/>
  <c r="V153" i="33" s="1"/>
  <c r="W153" i="33" s="1"/>
  <c r="X153" i="33" s="1"/>
  <c r="Y153" i="33" s="1"/>
  <c r="Z153" i="33" s="1"/>
  <c r="AA153" i="33" s="1"/>
  <c r="AB153" i="33" s="1"/>
  <c r="AC153" i="33" s="1"/>
  <c r="AD153" i="33" s="1"/>
  <c r="AE153" i="33" s="1"/>
  <c r="AF153" i="33" s="1"/>
  <c r="AG153" i="33" s="1"/>
  <c r="AH153" i="33" s="1"/>
  <c r="D305" i="33"/>
  <c r="D307" i="33"/>
  <c r="D306" i="33"/>
  <c r="D293" i="33"/>
  <c r="D330" i="33"/>
  <c r="P204" i="33"/>
  <c r="U204" i="33" s="1"/>
  <c r="N205" i="33" s="1"/>
  <c r="D190" i="33"/>
  <c r="H25" i="35"/>
  <c r="H26" i="35" s="1"/>
  <c r="K26" i="35" s="1"/>
  <c r="J54" i="34"/>
  <c r="K39" i="34"/>
  <c r="AR53" i="35"/>
  <c r="O40" i="34"/>
  <c r="D20" i="35"/>
  <c r="L477" i="26"/>
  <c r="Q476" i="26"/>
  <c r="Q475" i="26"/>
  <c r="R475" i="26"/>
  <c r="Q474" i="26"/>
  <c r="R474" i="26"/>
  <c r="Q473" i="26"/>
  <c r="Q472" i="26"/>
  <c r="Q471" i="26"/>
  <c r="R471" i="26"/>
  <c r="Q470" i="26"/>
  <c r="R470" i="26"/>
  <c r="Q469" i="26"/>
  <c r="R469" i="26"/>
  <c r="Q468" i="26"/>
  <c r="L464" i="26"/>
  <c r="Q463" i="26"/>
  <c r="Q462" i="26"/>
  <c r="R462" i="26"/>
  <c r="Q461" i="26"/>
  <c r="Q460" i="26"/>
  <c r="Q459" i="26"/>
  <c r="R459" i="26"/>
  <c r="Q458" i="26"/>
  <c r="R458" i="26"/>
  <c r="Q457" i="26"/>
  <c r="Q456" i="26"/>
  <c r="Q455" i="26"/>
  <c r="R455" i="26"/>
  <c r="L451" i="26"/>
  <c r="Q450" i="26"/>
  <c r="Q449" i="26"/>
  <c r="R449" i="26"/>
  <c r="Q448" i="26"/>
  <c r="Q447" i="26"/>
  <c r="Q446" i="26"/>
  <c r="R446" i="26"/>
  <c r="Q445" i="26"/>
  <c r="Q444" i="26"/>
  <c r="Q443" i="26"/>
  <c r="R443" i="26"/>
  <c r="Q442" i="26"/>
  <c r="L438" i="26"/>
  <c r="Q437" i="26"/>
  <c r="R437" i="26"/>
  <c r="Q436" i="26"/>
  <c r="R436" i="26"/>
  <c r="Q435" i="26"/>
  <c r="R435" i="26"/>
  <c r="Q434" i="26"/>
  <c r="Q433" i="26"/>
  <c r="Q432" i="26"/>
  <c r="Q431" i="26"/>
  <c r="Q430" i="26"/>
  <c r="R430" i="26"/>
  <c r="Q429" i="26"/>
  <c r="R429" i="26"/>
  <c r="L425" i="26"/>
  <c r="Q424" i="26"/>
  <c r="R424" i="26"/>
  <c r="Q423" i="26"/>
  <c r="Q422" i="26"/>
  <c r="R422" i="26"/>
  <c r="Q421" i="26"/>
  <c r="Q420" i="26"/>
  <c r="Q419" i="26"/>
  <c r="Q418" i="26"/>
  <c r="Q417" i="26"/>
  <c r="R417" i="26"/>
  <c r="Q416" i="26"/>
  <c r="R416" i="26"/>
  <c r="L412" i="26"/>
  <c r="Q411" i="26"/>
  <c r="Q410" i="26"/>
  <c r="R410" i="26"/>
  <c r="Q409" i="26"/>
  <c r="R409" i="26"/>
  <c r="Q408" i="26"/>
  <c r="Q407" i="26"/>
  <c r="R407" i="26"/>
  <c r="Q406" i="26"/>
  <c r="Q405" i="26"/>
  <c r="Q404" i="26"/>
  <c r="R404" i="26"/>
  <c r="Q403" i="26"/>
  <c r="L399" i="26"/>
  <c r="Q398" i="26"/>
  <c r="Q397" i="26"/>
  <c r="R397" i="26"/>
  <c r="Q396" i="26"/>
  <c r="R396" i="26"/>
  <c r="Q395" i="26"/>
  <c r="Q394" i="26"/>
  <c r="Q393" i="26"/>
  <c r="Q392" i="26"/>
  <c r="Q391" i="26"/>
  <c r="R391" i="26"/>
  <c r="Q390" i="26"/>
  <c r="L386" i="26"/>
  <c r="Q385" i="26"/>
  <c r="R385" i="26"/>
  <c r="Q384" i="26"/>
  <c r="R384" i="26"/>
  <c r="Q383" i="26"/>
  <c r="R383" i="26"/>
  <c r="Q382" i="26"/>
  <c r="Q381" i="26"/>
  <c r="Q380" i="26"/>
  <c r="Q379" i="26"/>
  <c r="Q378" i="26"/>
  <c r="Q377" i="26"/>
  <c r="L373" i="26"/>
  <c r="Q372" i="26"/>
  <c r="Q371" i="26"/>
  <c r="R371" i="26"/>
  <c r="Q370" i="26"/>
  <c r="Q369" i="26"/>
  <c r="Q368" i="26"/>
  <c r="R368" i="26"/>
  <c r="Q367" i="26"/>
  <c r="Q366" i="26"/>
  <c r="Q365" i="26"/>
  <c r="Q364" i="26"/>
  <c r="Q363" i="26"/>
  <c r="L360" i="26"/>
  <c r="Q359" i="26"/>
  <c r="Q358" i="26"/>
  <c r="R358" i="26"/>
  <c r="Q357" i="26"/>
  <c r="R357" i="26"/>
  <c r="Q356" i="26"/>
  <c r="Q355" i="26"/>
  <c r="Q354" i="26"/>
  <c r="Q353" i="26"/>
  <c r="R353" i="26"/>
  <c r="Q352" i="26"/>
  <c r="R352" i="26"/>
  <c r="Q351" i="26"/>
  <c r="L347" i="26"/>
  <c r="Q346" i="26"/>
  <c r="R346" i="26"/>
  <c r="Q345" i="26"/>
  <c r="Q344" i="26"/>
  <c r="R344" i="26"/>
  <c r="Q343" i="26"/>
  <c r="Q342" i="26"/>
  <c r="Q341" i="26"/>
  <c r="R341" i="26"/>
  <c r="Q340" i="26"/>
  <c r="Q339" i="26"/>
  <c r="Q338" i="26"/>
  <c r="L334" i="26"/>
  <c r="Q333" i="26"/>
  <c r="Q332" i="26"/>
  <c r="R332" i="26"/>
  <c r="Q331" i="26"/>
  <c r="R331" i="26"/>
  <c r="Q330" i="26"/>
  <c r="Q329" i="26"/>
  <c r="R329" i="26"/>
  <c r="Q328" i="26"/>
  <c r="R328" i="26"/>
  <c r="Q327" i="26"/>
  <c r="Q326" i="26"/>
  <c r="R326" i="26"/>
  <c r="Q325" i="26"/>
  <c r="L321" i="26"/>
  <c r="Q320" i="26"/>
  <c r="R320" i="26"/>
  <c r="Q319" i="26"/>
  <c r="Q318" i="26"/>
  <c r="R318" i="26"/>
  <c r="Q317" i="26"/>
  <c r="Q316" i="26"/>
  <c r="R316" i="26"/>
  <c r="Q315" i="26"/>
  <c r="Q314" i="26"/>
  <c r="Q313" i="26"/>
  <c r="R313" i="26"/>
  <c r="Q312" i="26"/>
  <c r="L308" i="26"/>
  <c r="Q307" i="26"/>
  <c r="R307" i="26"/>
  <c r="Q306" i="26"/>
  <c r="R306" i="26"/>
  <c r="Q305" i="26"/>
  <c r="R305" i="26"/>
  <c r="Q304" i="26"/>
  <c r="Q303" i="26"/>
  <c r="Q302" i="26"/>
  <c r="R302" i="26"/>
  <c r="Q301" i="26"/>
  <c r="Q300" i="26"/>
  <c r="R300" i="26"/>
  <c r="Q299" i="26"/>
  <c r="L295" i="26"/>
  <c r="Q294" i="26"/>
  <c r="R294" i="26"/>
  <c r="Q293" i="26"/>
  <c r="R293" i="26"/>
  <c r="Q292" i="26"/>
  <c r="Q291" i="26"/>
  <c r="Q290" i="26"/>
  <c r="R290" i="26"/>
  <c r="Q289" i="26"/>
  <c r="R289" i="26"/>
  <c r="Q288" i="26"/>
  <c r="Q287" i="26"/>
  <c r="Q286" i="26"/>
  <c r="Q285" i="26"/>
  <c r="R285" i="26"/>
  <c r="L282" i="26"/>
  <c r="Q281" i="26"/>
  <c r="R281" i="26"/>
  <c r="Q280" i="26"/>
  <c r="R280" i="26"/>
  <c r="Q279" i="26"/>
  <c r="Q278" i="26"/>
  <c r="Q277" i="26"/>
  <c r="R277" i="26"/>
  <c r="Q276" i="26"/>
  <c r="R276" i="26"/>
  <c r="Q275" i="26"/>
  <c r="Q274" i="26"/>
  <c r="R274" i="26"/>
  <c r="Q273" i="26"/>
  <c r="R272" i="26"/>
  <c r="L269" i="26"/>
  <c r="Q268" i="26"/>
  <c r="R268" i="26"/>
  <c r="Q267" i="26"/>
  <c r="R267" i="26"/>
  <c r="Q266" i="26"/>
  <c r="R266" i="26"/>
  <c r="Q265" i="26"/>
  <c r="Q264" i="26"/>
  <c r="Q263" i="26"/>
  <c r="Q262" i="26"/>
  <c r="R262" i="26"/>
  <c r="Q261" i="26"/>
  <c r="R261" i="26"/>
  <c r="Q260" i="26"/>
  <c r="R260" i="26"/>
  <c r="L256" i="26"/>
  <c r="Q255" i="26"/>
  <c r="Q254" i="26"/>
  <c r="R254" i="26"/>
  <c r="Q253" i="26"/>
  <c r="R253" i="26"/>
  <c r="Q252" i="26"/>
  <c r="Q251" i="26"/>
  <c r="Q250" i="26"/>
  <c r="R250" i="26"/>
  <c r="Q249" i="26"/>
  <c r="Q248" i="26"/>
  <c r="Q247" i="26"/>
  <c r="R247" i="26"/>
  <c r="L243" i="26"/>
  <c r="Q242" i="26"/>
  <c r="R242" i="26"/>
  <c r="Q241" i="26"/>
  <c r="R241" i="26"/>
  <c r="Q240" i="26"/>
  <c r="R240" i="26"/>
  <c r="Q239" i="26"/>
  <c r="Q238" i="26"/>
  <c r="R238" i="26"/>
  <c r="Q237" i="26"/>
  <c r="Q236" i="26"/>
  <c r="Q235" i="26"/>
  <c r="Q234" i="26"/>
  <c r="L230" i="26"/>
  <c r="Q229" i="26"/>
  <c r="R229" i="26"/>
  <c r="Q228" i="26"/>
  <c r="R228" i="26"/>
  <c r="Q227" i="26"/>
  <c r="R227" i="26"/>
  <c r="Q226" i="26"/>
  <c r="Q225" i="26"/>
  <c r="Q224" i="26"/>
  <c r="Q223" i="26"/>
  <c r="R223" i="26"/>
  <c r="Q222" i="26"/>
  <c r="Q221" i="26"/>
  <c r="R221" i="26"/>
  <c r="L217" i="26"/>
  <c r="Q216" i="26"/>
  <c r="R216" i="26"/>
  <c r="Q215" i="26"/>
  <c r="R215" i="26"/>
  <c r="Q214" i="26"/>
  <c r="R214" i="26"/>
  <c r="Q213" i="26"/>
  <c r="Q212" i="26"/>
  <c r="Q211" i="26"/>
  <c r="Q210" i="26"/>
  <c r="Q209" i="26"/>
  <c r="R209" i="26"/>
  <c r="Q208" i="26"/>
  <c r="R208" i="26"/>
  <c r="L204" i="26"/>
  <c r="Q203" i="26"/>
  <c r="Q202" i="26"/>
  <c r="R202" i="26"/>
  <c r="Q201" i="26"/>
  <c r="R201" i="26"/>
  <c r="Q200" i="26"/>
  <c r="Q199" i="26"/>
  <c r="R199" i="26"/>
  <c r="Q198" i="26"/>
  <c r="R198" i="26"/>
  <c r="Q197" i="26"/>
  <c r="Q196" i="26"/>
  <c r="Q195" i="26"/>
  <c r="Q194" i="26"/>
  <c r="L191" i="26"/>
  <c r="Q190" i="26"/>
  <c r="R190" i="26"/>
  <c r="Q189" i="26"/>
  <c r="R189" i="26"/>
  <c r="Q188" i="26"/>
  <c r="Q187" i="26"/>
  <c r="Q186" i="26"/>
  <c r="R186" i="26"/>
  <c r="Q185" i="26"/>
  <c r="Q184" i="26"/>
  <c r="R184" i="26"/>
  <c r="Q183" i="26"/>
  <c r="Q182" i="26"/>
  <c r="L178" i="26"/>
  <c r="Q177" i="26"/>
  <c r="Q176" i="26"/>
  <c r="R176" i="26"/>
  <c r="Q175" i="26"/>
  <c r="Q174" i="26"/>
  <c r="Q173" i="26"/>
  <c r="R173" i="26"/>
  <c r="Q172" i="26"/>
  <c r="R172" i="26"/>
  <c r="Q171" i="26"/>
  <c r="R171" i="26"/>
  <c r="Q170" i="26"/>
  <c r="Q169" i="26"/>
  <c r="L165" i="26"/>
  <c r="Q164" i="26"/>
  <c r="R164" i="26"/>
  <c r="Q163" i="26"/>
  <c r="R163" i="26"/>
  <c r="Q162" i="26"/>
  <c r="Q161" i="26"/>
  <c r="Q160" i="26"/>
  <c r="Q159" i="26"/>
  <c r="R159" i="26"/>
  <c r="Q158" i="26"/>
  <c r="Q157" i="26"/>
  <c r="Q156" i="26"/>
  <c r="Q155" i="26"/>
  <c r="L152" i="26"/>
  <c r="Q151" i="26"/>
  <c r="R151" i="26"/>
  <c r="Q150" i="26"/>
  <c r="R150" i="26"/>
  <c r="Q149" i="26"/>
  <c r="R149" i="26"/>
  <c r="Q148" i="26"/>
  <c r="Q147" i="26"/>
  <c r="R147" i="26"/>
  <c r="Q146" i="26"/>
  <c r="R146" i="26"/>
  <c r="Q145" i="26"/>
  <c r="Q144" i="26"/>
  <c r="Q143" i="26"/>
  <c r="L139" i="26"/>
  <c r="Q138" i="26"/>
  <c r="R138" i="26"/>
  <c r="Q137" i="26"/>
  <c r="R137" i="26"/>
  <c r="Q136" i="26"/>
  <c r="R136" i="26"/>
  <c r="Q135" i="26"/>
  <c r="Q134" i="26"/>
  <c r="Q133" i="26"/>
  <c r="R133" i="26"/>
  <c r="Q132" i="26"/>
  <c r="Q131" i="26"/>
  <c r="R131" i="26"/>
  <c r="Q130" i="26"/>
  <c r="R130" i="26"/>
  <c r="L126" i="26"/>
  <c r="Q125" i="26"/>
  <c r="R125" i="26"/>
  <c r="Q124" i="26"/>
  <c r="R124" i="26"/>
  <c r="Q123" i="26"/>
  <c r="R123" i="26"/>
  <c r="Q122" i="26"/>
  <c r="Q121" i="26"/>
  <c r="R121" i="26"/>
  <c r="Q120" i="26"/>
  <c r="R120" i="26"/>
  <c r="Q119" i="26"/>
  <c r="Q118" i="26"/>
  <c r="Q117" i="26"/>
  <c r="L113" i="26"/>
  <c r="Q112" i="26"/>
  <c r="R112" i="26"/>
  <c r="Q111" i="26"/>
  <c r="Q110" i="26"/>
  <c r="Q109" i="26"/>
  <c r="R109" i="26"/>
  <c r="Q108" i="26"/>
  <c r="Q107" i="26"/>
  <c r="R107" i="26"/>
  <c r="Q106" i="26"/>
  <c r="Q105" i="26"/>
  <c r="R105" i="26"/>
  <c r="Q104" i="26"/>
  <c r="Q103" i="26"/>
  <c r="L100" i="26"/>
  <c r="Q99" i="26"/>
  <c r="Q98" i="26"/>
  <c r="R98" i="26"/>
  <c r="Q97" i="26"/>
  <c r="Q96" i="26"/>
  <c r="Q95" i="26"/>
  <c r="R95" i="26"/>
  <c r="Q94" i="26"/>
  <c r="R94" i="26"/>
  <c r="Q93" i="26"/>
  <c r="R93" i="26"/>
  <c r="Q92" i="26"/>
  <c r="R92" i="26"/>
  <c r="Q91" i="26"/>
  <c r="L87" i="26"/>
  <c r="Q86" i="26"/>
  <c r="R86" i="26"/>
  <c r="Q85" i="26"/>
  <c r="Q84" i="26"/>
  <c r="R84" i="26"/>
  <c r="Q83" i="26"/>
  <c r="Q82" i="26"/>
  <c r="R82" i="26"/>
  <c r="Q81" i="26"/>
  <c r="Q80" i="26"/>
  <c r="Q79" i="26"/>
  <c r="R79" i="26"/>
  <c r="Q78" i="26"/>
  <c r="Q77" i="26"/>
  <c r="L74" i="26"/>
  <c r="Q73" i="26"/>
  <c r="R73" i="26"/>
  <c r="Q72" i="26"/>
  <c r="R72" i="26"/>
  <c r="Q71" i="26"/>
  <c r="R71" i="26"/>
  <c r="Q70" i="26"/>
  <c r="Q69" i="26"/>
  <c r="Q68" i="26"/>
  <c r="Q67" i="26"/>
  <c r="Q66" i="26"/>
  <c r="Q65" i="26"/>
  <c r="R65" i="26"/>
  <c r="L61" i="26"/>
  <c r="Q60" i="26"/>
  <c r="R60" i="26"/>
  <c r="Q59" i="26"/>
  <c r="R59" i="26"/>
  <c r="Q58" i="26"/>
  <c r="R58" i="26"/>
  <c r="Q57" i="26"/>
  <c r="Q56" i="26"/>
  <c r="R56" i="26"/>
  <c r="Q55" i="26"/>
  <c r="Q54" i="26"/>
  <c r="Q53" i="26"/>
  <c r="Q52" i="26"/>
  <c r="R52" i="26"/>
  <c r="L48" i="26"/>
  <c r="Q47" i="26"/>
  <c r="R47" i="26"/>
  <c r="Q46" i="26"/>
  <c r="Q45" i="26"/>
  <c r="R45" i="26"/>
  <c r="Q44" i="26"/>
  <c r="Q43" i="26"/>
  <c r="R43" i="26"/>
  <c r="Q42" i="26"/>
  <c r="R42" i="26"/>
  <c r="Q41" i="26"/>
  <c r="Q40" i="26"/>
  <c r="Q39" i="26"/>
  <c r="Q34" i="26"/>
  <c r="R34" i="26"/>
  <c r="Q33" i="26"/>
  <c r="Q32" i="26"/>
  <c r="R32" i="26"/>
  <c r="Q31" i="26"/>
  <c r="R31" i="26"/>
  <c r="Q30" i="26"/>
  <c r="R30" i="26"/>
  <c r="Q29" i="26"/>
  <c r="R29" i="26"/>
  <c r="Q28" i="26"/>
  <c r="R28" i="26"/>
  <c r="Q27" i="26"/>
  <c r="R27" i="26"/>
  <c r="Q26" i="26"/>
  <c r="R26" i="26"/>
  <c r="Q12" i="26"/>
  <c r="Q16" i="26"/>
  <c r="Q17" i="26"/>
  <c r="Q18" i="26"/>
  <c r="Q19" i="26"/>
  <c r="Q20" i="26"/>
  <c r="Q21" i="26"/>
  <c r="G5" i="38"/>
  <c r="E4" i="19"/>
  <c r="H6" i="38"/>
  <c r="G6" i="38"/>
  <c r="C8" i="38"/>
  <c r="C7" i="38"/>
  <c r="C6" i="38"/>
  <c r="C5" i="38"/>
  <c r="C4" i="38"/>
  <c r="C3" i="38"/>
  <c r="C2" i="38"/>
  <c r="AS73" i="35"/>
  <c r="J102" i="34"/>
  <c r="E116" i="34" s="1"/>
  <c r="BK16" i="35" s="1"/>
  <c r="D19" i="35"/>
  <c r="D11" i="35"/>
  <c r="P13" i="42" l="1"/>
  <c r="G44" i="34" s="1"/>
  <c r="R13" i="42"/>
  <c r="G60" i="34" s="1"/>
  <c r="T13" i="42"/>
  <c r="G76" i="34" s="1"/>
  <c r="F100" i="34"/>
  <c r="G436" i="33"/>
  <c r="E451" i="33" s="1"/>
  <c r="I13" i="22"/>
  <c r="C135" i="34"/>
  <c r="O86" i="34"/>
  <c r="AM19" i="35" s="1"/>
  <c r="AS85" i="35" a="1"/>
  <c r="AS85" i="35" s="1"/>
  <c r="O107" i="34" s="1"/>
  <c r="H20" i="35"/>
  <c r="D210" i="33"/>
  <c r="D219" i="33" s="1"/>
  <c r="D327" i="33"/>
  <c r="E327" i="33" s="1"/>
  <c r="F327" i="33" s="1"/>
  <c r="G327" i="33" s="1"/>
  <c r="H327" i="33" s="1"/>
  <c r="I327" i="33" s="1"/>
  <c r="J327" i="33" s="1"/>
  <c r="K327" i="33" s="1"/>
  <c r="L327" i="33" s="1"/>
  <c r="M327" i="33" s="1"/>
  <c r="N327" i="33" s="1"/>
  <c r="N336" i="33" s="1"/>
  <c r="D100" i="33"/>
  <c r="D109" i="33" s="1"/>
  <c r="D281" i="33"/>
  <c r="M84" i="34" s="1"/>
  <c r="E272" i="33"/>
  <c r="D371" i="33"/>
  <c r="D377" i="33" s="1"/>
  <c r="D380" i="33" s="1"/>
  <c r="D379" i="33"/>
  <c r="E375" i="33"/>
  <c r="D413" i="33"/>
  <c r="G368" i="33"/>
  <c r="N117" i="34"/>
  <c r="D421" i="33"/>
  <c r="D419" i="33" s="1"/>
  <c r="D147" i="33"/>
  <c r="D264" i="33"/>
  <c r="E445" i="33"/>
  <c r="E335" i="33"/>
  <c r="D391" i="33"/>
  <c r="D145" i="33"/>
  <c r="D148" i="33" s="1"/>
  <c r="H135" i="34"/>
  <c r="AK117" i="33"/>
  <c r="J437" i="33"/>
  <c r="D192" i="33"/>
  <c r="D193" i="33" s="1"/>
  <c r="D411" i="33"/>
  <c r="D414" i="33" s="1"/>
  <c r="F287" i="33"/>
  <c r="D187" i="33"/>
  <c r="D388" i="33"/>
  <c r="O253" i="33"/>
  <c r="P253" i="33" s="1"/>
  <c r="Q253" i="33" s="1"/>
  <c r="R253" i="33" s="1"/>
  <c r="S253" i="33" s="1"/>
  <c r="T253" i="33" s="1"/>
  <c r="U253" i="33" s="1"/>
  <c r="V253" i="33" s="1"/>
  <c r="W253" i="33" s="1"/>
  <c r="X253" i="33" s="1"/>
  <c r="Y253" i="33" s="1"/>
  <c r="Z253" i="33" s="1"/>
  <c r="AA253" i="33" s="1"/>
  <c r="AB253" i="33" s="1"/>
  <c r="AC253" i="33" s="1"/>
  <c r="AD253" i="33" s="1"/>
  <c r="AE253" i="33" s="1"/>
  <c r="AF253" i="33" s="1"/>
  <c r="AG253" i="33" s="1"/>
  <c r="AH253" i="33" s="1"/>
  <c r="K442" i="33"/>
  <c r="G443" i="33"/>
  <c r="F445" i="33"/>
  <c r="AN216" i="33"/>
  <c r="D162" i="33"/>
  <c r="D165" i="33" s="1"/>
  <c r="E160" i="33"/>
  <c r="D164" i="33"/>
  <c r="M68" i="34" s="1"/>
  <c r="E277" i="33"/>
  <c r="D279" i="33"/>
  <c r="D282" i="33" s="1"/>
  <c r="D335" i="33"/>
  <c r="E177" i="33"/>
  <c r="D196" i="33"/>
  <c r="D181" i="33"/>
  <c r="N68" i="34" s="1"/>
  <c r="N322" i="33"/>
  <c r="S322" i="33"/>
  <c r="D304" i="33"/>
  <c r="D309" i="33"/>
  <c r="F328" i="33"/>
  <c r="F335" i="33" s="1"/>
  <c r="E330" i="33"/>
  <c r="D313" i="33"/>
  <c r="D296" i="33"/>
  <c r="D299" i="33" s="1"/>
  <c r="D298" i="33"/>
  <c r="D262" i="33"/>
  <c r="D265" i="33" s="1"/>
  <c r="E218" i="33"/>
  <c r="Q218" i="33"/>
  <c r="AC218" i="33"/>
  <c r="F218" i="33"/>
  <c r="R218" i="33"/>
  <c r="AD218" i="33"/>
  <c r="G218" i="33"/>
  <c r="S218" i="33"/>
  <c r="AE218" i="33"/>
  <c r="H218" i="33"/>
  <c r="T218" i="33"/>
  <c r="AF218" i="33"/>
  <c r="I218" i="33"/>
  <c r="U218" i="33"/>
  <c r="AG218" i="33"/>
  <c r="J218" i="33"/>
  <c r="V218" i="33"/>
  <c r="D218" i="33"/>
  <c r="K218" i="33"/>
  <c r="W218" i="33"/>
  <c r="L218" i="33"/>
  <c r="X218" i="33"/>
  <c r="M218" i="33"/>
  <c r="Y218" i="33"/>
  <c r="N218" i="33"/>
  <c r="Z218" i="33"/>
  <c r="O218" i="33"/>
  <c r="AA218" i="33"/>
  <c r="P218" i="33"/>
  <c r="AB218" i="33"/>
  <c r="S204" i="33"/>
  <c r="D222" i="33" s="1"/>
  <c r="S205" i="33"/>
  <c r="D179" i="33"/>
  <c r="U95" i="33"/>
  <c r="AR59" i="35"/>
  <c r="G4" i="21"/>
  <c r="AR61" i="35"/>
  <c r="L101" i="34"/>
  <c r="J101" i="34"/>
  <c r="E115" i="34" s="1"/>
  <c r="BK15" i="35" s="1"/>
  <c r="L102" i="34"/>
  <c r="H5" i="38"/>
  <c r="O269" i="26"/>
  <c r="O438" i="26"/>
  <c r="M139" i="26"/>
  <c r="M425" i="26"/>
  <c r="O74" i="26"/>
  <c r="O321" i="26"/>
  <c r="N399" i="26"/>
  <c r="M178" i="26"/>
  <c r="M87" i="26"/>
  <c r="M295" i="26"/>
  <c r="N373" i="26"/>
  <c r="O412" i="26"/>
  <c r="K40" i="34"/>
  <c r="H22" i="35" s="1"/>
  <c r="R39" i="26"/>
  <c r="R41" i="26"/>
  <c r="R54" i="26"/>
  <c r="R55" i="26"/>
  <c r="R66" i="26"/>
  <c r="R67" i="26"/>
  <c r="R78" i="26"/>
  <c r="R80" i="26"/>
  <c r="R81" i="26"/>
  <c r="R91" i="26"/>
  <c r="R97" i="26"/>
  <c r="R99" i="26"/>
  <c r="R104" i="26"/>
  <c r="R106" i="26"/>
  <c r="R108" i="26"/>
  <c r="R110" i="26"/>
  <c r="R117" i="26"/>
  <c r="R122" i="26"/>
  <c r="R132" i="26"/>
  <c r="R134" i="26"/>
  <c r="R143" i="26"/>
  <c r="R144" i="26"/>
  <c r="R156" i="26"/>
  <c r="R158" i="26"/>
  <c r="R162" i="26"/>
  <c r="R170" i="26"/>
  <c r="R174" i="26"/>
  <c r="R175" i="26"/>
  <c r="R177" i="26"/>
  <c r="R182" i="26"/>
  <c r="R183" i="26"/>
  <c r="R185" i="26"/>
  <c r="R195" i="26"/>
  <c r="P204" i="26"/>
  <c r="R203" i="26"/>
  <c r="R210" i="26"/>
  <c r="R211" i="26"/>
  <c r="R212" i="26"/>
  <c r="R222" i="26"/>
  <c r="R224" i="26"/>
  <c r="R225" i="26"/>
  <c r="R226" i="26"/>
  <c r="R234" i="26"/>
  <c r="P243" i="26"/>
  <c r="R235" i="26"/>
  <c r="R236" i="26"/>
  <c r="R237" i="26"/>
  <c r="R249" i="26"/>
  <c r="R251" i="26"/>
  <c r="R255" i="26"/>
  <c r="R263" i="26"/>
  <c r="R264" i="26"/>
  <c r="R275" i="26"/>
  <c r="R279" i="26"/>
  <c r="R286" i="26"/>
  <c r="R287" i="26"/>
  <c r="R292" i="26"/>
  <c r="R299" i="26"/>
  <c r="R301" i="26"/>
  <c r="R303" i="26"/>
  <c r="R312" i="26"/>
  <c r="R314" i="26"/>
  <c r="R315" i="26"/>
  <c r="R319" i="26"/>
  <c r="R333" i="26"/>
  <c r="R340" i="26"/>
  <c r="R342" i="26"/>
  <c r="R345" i="26"/>
  <c r="R351" i="26"/>
  <c r="R354" i="26"/>
  <c r="R355" i="26"/>
  <c r="R364" i="26"/>
  <c r="R365" i="26"/>
  <c r="R367" i="26"/>
  <c r="R370" i="26"/>
  <c r="R372" i="26"/>
  <c r="R377" i="26"/>
  <c r="R379" i="26"/>
  <c r="R380" i="26"/>
  <c r="R390" i="26"/>
  <c r="R392" i="26"/>
  <c r="R393" i="26"/>
  <c r="R394" i="26"/>
  <c r="R402" i="26"/>
  <c r="R403" i="26"/>
  <c r="R405" i="26"/>
  <c r="R406" i="26"/>
  <c r="R411" i="26"/>
  <c r="R418" i="26"/>
  <c r="R419" i="26"/>
  <c r="R420" i="26"/>
  <c r="R421" i="26"/>
  <c r="R423" i="26"/>
  <c r="R431" i="26"/>
  <c r="R432" i="26"/>
  <c r="R433" i="26"/>
  <c r="R445" i="26"/>
  <c r="R448" i="26"/>
  <c r="R450" i="26"/>
  <c r="R454" i="26"/>
  <c r="R456" i="26"/>
  <c r="R457" i="26"/>
  <c r="R461" i="26"/>
  <c r="R463" i="26"/>
  <c r="R468" i="26"/>
  <c r="R476" i="26"/>
  <c r="M152" i="26"/>
  <c r="P178" i="26"/>
  <c r="N191" i="26"/>
  <c r="M269" i="26"/>
  <c r="N334" i="26"/>
  <c r="O360" i="26"/>
  <c r="P425" i="26"/>
  <c r="N48" i="26"/>
  <c r="N152" i="26"/>
  <c r="O191" i="26"/>
  <c r="P217" i="26"/>
  <c r="N269" i="26"/>
  <c r="O334" i="26"/>
  <c r="R338" i="26"/>
  <c r="O399" i="26"/>
  <c r="R398" i="26"/>
  <c r="M438" i="26"/>
  <c r="R442" i="26"/>
  <c r="R472" i="26"/>
  <c r="M373" i="26"/>
  <c r="P399" i="26"/>
  <c r="N438" i="26"/>
  <c r="P152" i="26"/>
  <c r="P308" i="26"/>
  <c r="M48" i="26"/>
  <c r="R68" i="26"/>
  <c r="O100" i="26"/>
  <c r="P139" i="26"/>
  <c r="R288" i="26"/>
  <c r="M308" i="26"/>
  <c r="Q324" i="26"/>
  <c r="Q334" i="26" s="1"/>
  <c r="W325" i="26" s="1"/>
  <c r="O373" i="26"/>
  <c r="M412" i="26"/>
  <c r="P438" i="26"/>
  <c r="P464" i="26"/>
  <c r="O48" i="26"/>
  <c r="O152" i="26"/>
  <c r="N100" i="26"/>
  <c r="P256" i="26"/>
  <c r="P269" i="26"/>
  <c r="M61" i="26"/>
  <c r="P87" i="26"/>
  <c r="R142" i="26"/>
  <c r="R160" i="26"/>
  <c r="R169" i="26"/>
  <c r="M204" i="26"/>
  <c r="M243" i="26"/>
  <c r="N308" i="26"/>
  <c r="R324" i="26"/>
  <c r="R330" i="26"/>
  <c r="P360" i="26"/>
  <c r="N477" i="26"/>
  <c r="O308" i="26"/>
  <c r="O477" i="26"/>
  <c r="N243" i="26"/>
  <c r="M282" i="26"/>
  <c r="P295" i="26"/>
  <c r="N113" i="26"/>
  <c r="N165" i="26"/>
  <c r="O204" i="26"/>
  <c r="O243" i="26"/>
  <c r="M451" i="26"/>
  <c r="P477" i="26"/>
  <c r="P191" i="26"/>
  <c r="P35" i="26"/>
  <c r="N61" i="26"/>
  <c r="R157" i="26"/>
  <c r="N204" i="26"/>
  <c r="P48" i="26"/>
  <c r="O61" i="26"/>
  <c r="M165" i="26"/>
  <c r="R57" i="26"/>
  <c r="M74" i="26"/>
  <c r="R118" i="26"/>
  <c r="R145" i="26"/>
  <c r="O282" i="26"/>
  <c r="R327" i="26"/>
  <c r="N347" i="26"/>
  <c r="R366" i="26"/>
  <c r="R378" i="26"/>
  <c r="N451" i="26"/>
  <c r="M477" i="26"/>
  <c r="M100" i="26"/>
  <c r="M113" i="26"/>
  <c r="N74" i="26"/>
  <c r="R69" i="26"/>
  <c r="P100" i="26"/>
  <c r="P113" i="26"/>
  <c r="M126" i="26"/>
  <c r="R188" i="26"/>
  <c r="P282" i="26"/>
  <c r="R278" i="26"/>
  <c r="P334" i="26"/>
  <c r="O347" i="26"/>
  <c r="O451" i="26"/>
  <c r="M217" i="26"/>
  <c r="P373" i="26"/>
  <c r="R381" i="26"/>
  <c r="P451" i="26"/>
  <c r="P74" i="26"/>
  <c r="O126" i="26"/>
  <c r="R197" i="26"/>
  <c r="N217" i="26"/>
  <c r="M230" i="26"/>
  <c r="M321" i="26"/>
  <c r="R325" i="26"/>
  <c r="M347" i="26"/>
  <c r="M386" i="26"/>
  <c r="R444" i="26"/>
  <c r="M464" i="26"/>
  <c r="N126" i="26"/>
  <c r="P61" i="26"/>
  <c r="P126" i="26"/>
  <c r="O217" i="26"/>
  <c r="N230" i="26"/>
  <c r="M256" i="26"/>
  <c r="N321" i="26"/>
  <c r="N386" i="26"/>
  <c r="O386" i="26"/>
  <c r="P412" i="26"/>
  <c r="O464" i="26"/>
  <c r="N87" i="26"/>
  <c r="R119" i="26"/>
  <c r="N139" i="26"/>
  <c r="P165" i="26"/>
  <c r="N178" i="26"/>
  <c r="P230" i="26"/>
  <c r="O256" i="26"/>
  <c r="N295" i="26"/>
  <c r="P321" i="26"/>
  <c r="M360" i="26"/>
  <c r="P386" i="26"/>
  <c r="N425" i="26"/>
  <c r="O230" i="26"/>
  <c r="N256" i="26"/>
  <c r="O139" i="26"/>
  <c r="O178" i="26"/>
  <c r="M191" i="26"/>
  <c r="R273" i="26"/>
  <c r="O295" i="26"/>
  <c r="M334" i="26"/>
  <c r="P347" i="26"/>
  <c r="N360" i="26"/>
  <c r="R359" i="26"/>
  <c r="M399" i="26"/>
  <c r="O425" i="26"/>
  <c r="Q454" i="26"/>
  <c r="Q464" i="26" s="1"/>
  <c r="W460" i="26" s="1"/>
  <c r="R473" i="26"/>
  <c r="Q467" i="26"/>
  <c r="Q477" i="26" s="1"/>
  <c r="W473" i="26" s="1"/>
  <c r="R467" i="26"/>
  <c r="R460" i="26"/>
  <c r="N464" i="26"/>
  <c r="Q441" i="26"/>
  <c r="Q451" i="26" s="1"/>
  <c r="W447" i="26" s="1"/>
  <c r="R447" i="26"/>
  <c r="R441" i="26"/>
  <c r="R428" i="26"/>
  <c r="R434" i="26"/>
  <c r="Q428" i="26"/>
  <c r="Q438" i="26" s="1"/>
  <c r="W434" i="26" s="1"/>
  <c r="Q415" i="26"/>
  <c r="Q425" i="26" s="1"/>
  <c r="W421" i="26" s="1"/>
  <c r="R415" i="26"/>
  <c r="R408" i="26"/>
  <c r="Q402" i="26"/>
  <c r="Q412" i="26" s="1"/>
  <c r="W408" i="26" s="1"/>
  <c r="N412" i="26"/>
  <c r="R395" i="26"/>
  <c r="Q389" i="26"/>
  <c r="Q399" i="26" s="1"/>
  <c r="W390" i="26" s="1"/>
  <c r="R389" i="26"/>
  <c r="R382" i="26"/>
  <c r="Q376" i="26"/>
  <c r="Q386" i="26" s="1"/>
  <c r="W377" i="26" s="1"/>
  <c r="R376" i="26"/>
  <c r="Q373" i="26"/>
  <c r="W364" i="26" s="1"/>
  <c r="R369" i="26"/>
  <c r="R363" i="26"/>
  <c r="R356" i="26"/>
  <c r="Q350" i="26"/>
  <c r="Q360" i="26" s="1"/>
  <c r="W351" i="26" s="1"/>
  <c r="R350" i="26"/>
  <c r="R343" i="26"/>
  <c r="Q337" i="26"/>
  <c r="Q347" i="26" s="1"/>
  <c r="W338" i="26" s="1"/>
  <c r="R337" i="26"/>
  <c r="R339" i="26"/>
  <c r="Q311" i="26"/>
  <c r="Q321" i="26" s="1"/>
  <c r="W312" i="26" s="1"/>
  <c r="R311" i="26"/>
  <c r="R317" i="26"/>
  <c r="R304" i="26"/>
  <c r="R298" i="26"/>
  <c r="Q298" i="26"/>
  <c r="Q308" i="26" s="1"/>
  <c r="W299" i="26" s="1"/>
  <c r="Q295" i="26"/>
  <c r="W286" i="26" s="1"/>
  <c r="R291" i="26"/>
  <c r="Q272" i="26"/>
  <c r="Q282" i="26" s="1"/>
  <c r="W278" i="26" s="1"/>
  <c r="N282" i="26"/>
  <c r="R265" i="26"/>
  <c r="Q259" i="26"/>
  <c r="Q269" i="26" s="1"/>
  <c r="W265" i="26" s="1"/>
  <c r="R259" i="26"/>
  <c r="R252" i="26"/>
  <c r="R246" i="26"/>
  <c r="R248" i="26"/>
  <c r="Q246" i="26"/>
  <c r="Q256" i="26" s="1"/>
  <c r="W252" i="26" s="1"/>
  <c r="R239" i="26"/>
  <c r="Q233" i="26"/>
  <c r="Q243" i="26" s="1"/>
  <c r="W239" i="26" s="1"/>
  <c r="R233" i="26"/>
  <c r="Q220" i="26"/>
  <c r="Q230" i="26" s="1"/>
  <c r="W226" i="26" s="1"/>
  <c r="R220" i="26"/>
  <c r="R213" i="26"/>
  <c r="R207" i="26"/>
  <c r="Q207" i="26"/>
  <c r="Q217" i="26" s="1"/>
  <c r="W213" i="26" s="1"/>
  <c r="Q204" i="26"/>
  <c r="W195" i="26" s="1"/>
  <c r="R200" i="26"/>
  <c r="R194" i="26"/>
  <c r="R196" i="26"/>
  <c r="Q181" i="26"/>
  <c r="Q191" i="26" s="1"/>
  <c r="W182" i="26" s="1"/>
  <c r="R181" i="26"/>
  <c r="R187" i="26"/>
  <c r="R168" i="26"/>
  <c r="Q168" i="26"/>
  <c r="Q178" i="26" s="1"/>
  <c r="W169" i="26" s="1"/>
  <c r="Q165" i="26"/>
  <c r="W156" i="26" s="1"/>
  <c r="R161" i="26"/>
  <c r="R155" i="26"/>
  <c r="O165" i="26"/>
  <c r="R148" i="26"/>
  <c r="Q142" i="26"/>
  <c r="Q152" i="26" s="1"/>
  <c r="W143" i="26" s="1"/>
  <c r="R135" i="26"/>
  <c r="R129" i="26"/>
  <c r="Q129" i="26"/>
  <c r="Q139" i="26" s="1"/>
  <c r="W130" i="26" s="1"/>
  <c r="R116" i="26"/>
  <c r="Q116" i="26"/>
  <c r="Q126" i="26" s="1"/>
  <c r="W117" i="26" s="1"/>
  <c r="Q113" i="26"/>
  <c r="W104" i="26" s="1"/>
  <c r="O113" i="26"/>
  <c r="R103" i="26"/>
  <c r="R111" i="26"/>
  <c r="R96" i="26"/>
  <c r="Q90" i="26"/>
  <c r="Q100" i="26" s="1"/>
  <c r="W91" i="26" s="1"/>
  <c r="R90" i="26"/>
  <c r="Q87" i="26"/>
  <c r="W78" i="26" s="1"/>
  <c r="R85" i="26"/>
  <c r="R83" i="26"/>
  <c r="R77" i="26"/>
  <c r="O87" i="26"/>
  <c r="R64" i="26"/>
  <c r="Q64" i="26"/>
  <c r="Q74" i="26" s="1"/>
  <c r="W65" i="26" s="1"/>
  <c r="R70" i="26"/>
  <c r="R51" i="26"/>
  <c r="R53" i="26"/>
  <c r="Q51" i="26"/>
  <c r="Q61" i="26" s="1"/>
  <c r="W52" i="26" s="1"/>
  <c r="R44" i="26"/>
  <c r="Q38" i="26"/>
  <c r="Q48" i="26" s="1"/>
  <c r="W39" i="26" s="1"/>
  <c r="R38" i="26"/>
  <c r="R40" i="26"/>
  <c r="R46" i="26"/>
  <c r="M35" i="26"/>
  <c r="N35" i="26"/>
  <c r="O35" i="26"/>
  <c r="R33" i="26"/>
  <c r="Q25" i="26"/>
  <c r="Q35" i="26" s="1"/>
  <c r="W26" i="26" s="1"/>
  <c r="R25" i="26"/>
  <c r="G113" i="34"/>
  <c r="BK31" i="35" s="1"/>
  <c r="F2" i="34"/>
  <c r="W524" i="26" l="1"/>
  <c r="P26" i="42" s="1"/>
  <c r="Q26" i="42" s="1"/>
  <c r="E404" i="33"/>
  <c r="E422" i="33" s="1"/>
  <c r="E370" i="33"/>
  <c r="E371" i="33" s="1"/>
  <c r="E255" i="33"/>
  <c r="E256" i="33" s="1"/>
  <c r="E289" i="33"/>
  <c r="E290" i="33" s="1"/>
  <c r="E138" i="33"/>
  <c r="E188" i="33" s="1"/>
  <c r="F94" i="34"/>
  <c r="V473" i="26"/>
  <c r="W234" i="26"/>
  <c r="V239" i="26"/>
  <c r="W260" i="26"/>
  <c r="V265" i="26"/>
  <c r="W247" i="26"/>
  <c r="V252" i="26"/>
  <c r="W416" i="26"/>
  <c r="V421" i="26"/>
  <c r="W273" i="26"/>
  <c r="V278" i="26"/>
  <c r="W442" i="26"/>
  <c r="V447" i="26"/>
  <c r="W221" i="26"/>
  <c r="V226" i="26"/>
  <c r="W208" i="26"/>
  <c r="V213" i="26"/>
  <c r="W429" i="26"/>
  <c r="V434" i="26"/>
  <c r="W455" i="26"/>
  <c r="V460" i="26"/>
  <c r="H451" i="33"/>
  <c r="G451" i="33"/>
  <c r="D451" i="33"/>
  <c r="F451" i="33"/>
  <c r="I451" i="33"/>
  <c r="J451" i="33"/>
  <c r="L100" i="34"/>
  <c r="J100" i="34"/>
  <c r="E114" i="34" s="1"/>
  <c r="AN333" i="33"/>
  <c r="W468" i="26"/>
  <c r="E336" i="33"/>
  <c r="E337" i="33" s="1"/>
  <c r="E338" i="33" s="1"/>
  <c r="O327" i="33"/>
  <c r="P327" i="33" s="1"/>
  <c r="I336" i="33"/>
  <c r="L336" i="33"/>
  <c r="J336" i="33"/>
  <c r="G336" i="33"/>
  <c r="M336" i="33"/>
  <c r="K336" i="33"/>
  <c r="V403" i="26"/>
  <c r="W403" i="26"/>
  <c r="X130" i="26"/>
  <c r="V130" i="26"/>
  <c r="V78" i="26"/>
  <c r="X78" i="26"/>
  <c r="V104" i="26"/>
  <c r="X104" i="26"/>
  <c r="X226" i="26"/>
  <c r="X221" i="26"/>
  <c r="V221" i="26"/>
  <c r="X299" i="26"/>
  <c r="V299" i="26"/>
  <c r="V390" i="26"/>
  <c r="X390" i="26"/>
  <c r="X260" i="26"/>
  <c r="X265" i="26"/>
  <c r="V260" i="26"/>
  <c r="V195" i="26"/>
  <c r="X195" i="26"/>
  <c r="X143" i="26"/>
  <c r="V143" i="26"/>
  <c r="V65" i="26"/>
  <c r="X65" i="26"/>
  <c r="V117" i="26"/>
  <c r="X117" i="26"/>
  <c r="V208" i="26"/>
  <c r="X208" i="26"/>
  <c r="X213" i="26"/>
  <c r="X364" i="26"/>
  <c r="V364" i="26"/>
  <c r="X434" i="26"/>
  <c r="X429" i="26"/>
  <c r="V429" i="26"/>
  <c r="X26" i="26"/>
  <c r="V26" i="26"/>
  <c r="V273" i="26"/>
  <c r="X273" i="26"/>
  <c r="X278" i="26"/>
  <c r="V338" i="26"/>
  <c r="X338" i="26"/>
  <c r="V468" i="26"/>
  <c r="X468" i="26"/>
  <c r="X473" i="26"/>
  <c r="X325" i="26"/>
  <c r="V325" i="26"/>
  <c r="V91" i="26"/>
  <c r="X91" i="26"/>
  <c r="V39" i="26"/>
  <c r="X39" i="26"/>
  <c r="V182" i="26"/>
  <c r="X182" i="26"/>
  <c r="V247" i="26"/>
  <c r="X247" i="26"/>
  <c r="X252" i="26"/>
  <c r="X234" i="26"/>
  <c r="X239" i="26"/>
  <c r="V234" i="26"/>
  <c r="V377" i="26"/>
  <c r="X377" i="26"/>
  <c r="X447" i="26"/>
  <c r="V442" i="26"/>
  <c r="X442" i="26"/>
  <c r="X455" i="26"/>
  <c r="X460" i="26"/>
  <c r="V455" i="26"/>
  <c r="X312" i="26"/>
  <c r="V312" i="26"/>
  <c r="V156" i="26"/>
  <c r="X156" i="26"/>
  <c r="X351" i="26"/>
  <c r="V351" i="26"/>
  <c r="V416" i="26"/>
  <c r="X416" i="26"/>
  <c r="X421" i="26"/>
  <c r="V52" i="26"/>
  <c r="X52" i="26"/>
  <c r="X169" i="26"/>
  <c r="V169" i="26"/>
  <c r="V286" i="26"/>
  <c r="X286" i="26"/>
  <c r="X408" i="26"/>
  <c r="X403" i="26"/>
  <c r="V408" i="26"/>
  <c r="F336" i="33"/>
  <c r="F337" i="33" s="1"/>
  <c r="F340" i="33" s="1"/>
  <c r="D336" i="33"/>
  <c r="D337" i="33" s="1"/>
  <c r="D338" i="33" s="1"/>
  <c r="H336" i="33"/>
  <c r="E210" i="33"/>
  <c r="E219" i="33" s="1"/>
  <c r="E220" i="33" s="1"/>
  <c r="E223" i="33" s="1"/>
  <c r="D424" i="33"/>
  <c r="D426" i="33" s="1"/>
  <c r="E172" i="33"/>
  <c r="E190" i="33" s="1"/>
  <c r="D428" i="33"/>
  <c r="H368" i="33"/>
  <c r="D396" i="33"/>
  <c r="D200" i="33"/>
  <c r="H136" i="34"/>
  <c r="H133" i="34"/>
  <c r="H145" i="34" s="1"/>
  <c r="D331" i="33"/>
  <c r="E331" i="33" s="1"/>
  <c r="F331" i="33" s="1"/>
  <c r="G331" i="33" s="1"/>
  <c r="H331" i="33" s="1"/>
  <c r="I331" i="33" s="1"/>
  <c r="J331" i="33" s="1"/>
  <c r="K331" i="33" s="1"/>
  <c r="L331" i="33" s="1"/>
  <c r="M331" i="33" s="1"/>
  <c r="N331" i="33" s="1"/>
  <c r="O331" i="33" s="1"/>
  <c r="P331" i="33" s="1"/>
  <c r="Q331" i="33" s="1"/>
  <c r="R331" i="33" s="1"/>
  <c r="S331" i="33" s="1"/>
  <c r="T331" i="33" s="1"/>
  <c r="U331" i="33" s="1"/>
  <c r="V331" i="33" s="1"/>
  <c r="W331" i="33" s="1"/>
  <c r="X331" i="33" s="1"/>
  <c r="Y331" i="33" s="1"/>
  <c r="Z331" i="33" s="1"/>
  <c r="AA331" i="33" s="1"/>
  <c r="AB331" i="33" s="1"/>
  <c r="AC331" i="33" s="1"/>
  <c r="AD331" i="33" s="1"/>
  <c r="AE331" i="33" s="1"/>
  <c r="AF331" i="33" s="1"/>
  <c r="AG331" i="33" s="1"/>
  <c r="D446" i="33"/>
  <c r="D394" i="33"/>
  <c r="D397" i="33" s="1"/>
  <c r="D194" i="33"/>
  <c r="G287" i="33"/>
  <c r="E276" i="33"/>
  <c r="F277" i="33" s="1"/>
  <c r="E273" i="33"/>
  <c r="H443" i="33"/>
  <c r="G445" i="33"/>
  <c r="L442" i="33"/>
  <c r="K451" i="33"/>
  <c r="E306" i="33"/>
  <c r="D311" i="33"/>
  <c r="D317" i="33"/>
  <c r="D314" i="33"/>
  <c r="D182" i="33"/>
  <c r="D316" i="33"/>
  <c r="D347" i="33" s="1"/>
  <c r="D348" i="33" s="1"/>
  <c r="D310" i="33"/>
  <c r="AA339" i="33"/>
  <c r="AB339" i="33"/>
  <c r="Z339" i="33"/>
  <c r="AF339" i="33"/>
  <c r="AE339" i="33"/>
  <c r="AD339" i="33"/>
  <c r="AG339" i="33"/>
  <c r="AC339" i="33"/>
  <c r="Y339" i="33"/>
  <c r="X339" i="33"/>
  <c r="G328" i="33"/>
  <c r="G335" i="33" s="1"/>
  <c r="F330" i="33"/>
  <c r="AI218" i="33"/>
  <c r="D220" i="33"/>
  <c r="D221" i="33" s="1"/>
  <c r="AB222" i="33"/>
  <c r="Z222" i="33"/>
  <c r="AC222" i="33"/>
  <c r="AD222" i="33"/>
  <c r="AG222" i="33"/>
  <c r="AE222" i="33"/>
  <c r="AF222" i="33"/>
  <c r="X222" i="33"/>
  <c r="Y222" i="33"/>
  <c r="AA222" i="33"/>
  <c r="D104" i="33"/>
  <c r="D214" i="33"/>
  <c r="E214" i="33" s="1"/>
  <c r="F214" i="33" s="1"/>
  <c r="G214" i="33" s="1"/>
  <c r="H214" i="33" s="1"/>
  <c r="I214" i="33" s="1"/>
  <c r="J214" i="33" s="1"/>
  <c r="K214" i="33" s="1"/>
  <c r="L214" i="33" s="1"/>
  <c r="M214" i="33" s="1"/>
  <c r="N214" i="33" s="1"/>
  <c r="O214" i="33" s="1"/>
  <c r="P214" i="33" s="1"/>
  <c r="Q214" i="33" s="1"/>
  <c r="R214" i="33" s="1"/>
  <c r="S214" i="33" s="1"/>
  <c r="T214" i="33" s="1"/>
  <c r="U214" i="33" s="1"/>
  <c r="V214" i="33" s="1"/>
  <c r="W214" i="33" s="1"/>
  <c r="X214" i="33" s="1"/>
  <c r="Y214" i="33" s="1"/>
  <c r="Z214" i="33" s="1"/>
  <c r="AA214" i="33" s="1"/>
  <c r="AB214" i="33" s="1"/>
  <c r="AC214" i="33" s="1"/>
  <c r="AD214" i="33" s="1"/>
  <c r="AE214" i="33" s="1"/>
  <c r="AF214" i="33" s="1"/>
  <c r="AG214" i="33" s="1"/>
  <c r="D199" i="33"/>
  <c r="D197" i="33"/>
  <c r="N96" i="33"/>
  <c r="S95" i="33"/>
  <c r="S96" i="33"/>
  <c r="R295" i="26"/>
  <c r="W287" i="26" s="1"/>
  <c r="R230" i="26"/>
  <c r="W227" i="26" s="1"/>
  <c r="R87" i="26"/>
  <c r="W79" i="26" s="1"/>
  <c r="R243" i="26"/>
  <c r="W240" i="26" s="1"/>
  <c r="R126" i="26"/>
  <c r="W118" i="26" s="1"/>
  <c r="R477" i="26"/>
  <c r="W474" i="26" s="1"/>
  <c r="R412" i="26"/>
  <c r="W409" i="26" s="1"/>
  <c r="R451" i="26"/>
  <c r="W448" i="26" s="1"/>
  <c r="R425" i="26"/>
  <c r="W422" i="26" s="1"/>
  <c r="R217" i="26"/>
  <c r="W214" i="26" s="1"/>
  <c r="R178" i="26"/>
  <c r="W170" i="26" s="1"/>
  <c r="R464" i="26"/>
  <c r="W461" i="26" s="1"/>
  <c r="R308" i="26"/>
  <c r="W300" i="26" s="1"/>
  <c r="H21" i="35"/>
  <c r="R256" i="26"/>
  <c r="W253" i="26" s="1"/>
  <c r="R282" i="26"/>
  <c r="W279" i="26" s="1"/>
  <c r="R152" i="26"/>
  <c r="W144" i="26" s="1"/>
  <c r="R334" i="26"/>
  <c r="W326" i="26" s="1"/>
  <c r="R61" i="26"/>
  <c r="W53" i="26" s="1"/>
  <c r="R269" i="26"/>
  <c r="W266" i="26" s="1"/>
  <c r="R399" i="26"/>
  <c r="W391" i="26" s="1"/>
  <c r="R438" i="26"/>
  <c r="W435" i="26" s="1"/>
  <c r="R191" i="26"/>
  <c r="W183" i="26" s="1"/>
  <c r="R373" i="26"/>
  <c r="W365" i="26" s="1"/>
  <c r="R386" i="26"/>
  <c r="W378" i="26" s="1"/>
  <c r="R360" i="26"/>
  <c r="W352" i="26" s="1"/>
  <c r="R347" i="26"/>
  <c r="W339" i="26" s="1"/>
  <c r="R321" i="26"/>
  <c r="W313" i="26" s="1"/>
  <c r="R204" i="26"/>
  <c r="W196" i="26" s="1"/>
  <c r="R165" i="26"/>
  <c r="W157" i="26" s="1"/>
  <c r="R139" i="26"/>
  <c r="W131" i="26" s="1"/>
  <c r="R113" i="26"/>
  <c r="W105" i="26" s="1"/>
  <c r="R100" i="26"/>
  <c r="W92" i="26" s="1"/>
  <c r="R74" i="26"/>
  <c r="W66" i="26" s="1"/>
  <c r="R48" i="26"/>
  <c r="W40" i="26" s="1"/>
  <c r="R35" i="26"/>
  <c r="W27" i="26" s="1"/>
  <c r="E259" i="33" l="1"/>
  <c r="BJ37" i="35"/>
  <c r="BK14" i="35"/>
  <c r="E420" i="33"/>
  <c r="W525" i="26"/>
  <c r="E305" i="33"/>
  <c r="E405" i="33"/>
  <c r="E307" i="33"/>
  <c r="E142" i="33"/>
  <c r="E387" i="33"/>
  <c r="E421" i="33" s="1"/>
  <c r="E139" i="33"/>
  <c r="E374" i="33"/>
  <c r="E377" i="33" s="1"/>
  <c r="V524" i="26"/>
  <c r="N26" i="42" s="1"/>
  <c r="O26" i="42" s="1"/>
  <c r="X524" i="26"/>
  <c r="R26" i="42" s="1"/>
  <c r="S26" i="42" s="1"/>
  <c r="W209" i="26"/>
  <c r="V214" i="26"/>
  <c r="W417" i="26"/>
  <c r="V422" i="26"/>
  <c r="W443" i="26"/>
  <c r="V448" i="26"/>
  <c r="W248" i="26"/>
  <c r="V253" i="26"/>
  <c r="W469" i="26"/>
  <c r="V474" i="26"/>
  <c r="W235" i="26"/>
  <c r="V240" i="26"/>
  <c r="W430" i="26"/>
  <c r="V435" i="26"/>
  <c r="W222" i="26"/>
  <c r="V227" i="26"/>
  <c r="W274" i="26"/>
  <c r="V279" i="26"/>
  <c r="W456" i="26"/>
  <c r="V461" i="26"/>
  <c r="W261" i="26"/>
  <c r="V266" i="26"/>
  <c r="G337" i="33"/>
  <c r="G340" i="33" s="1"/>
  <c r="O336" i="33"/>
  <c r="F210" i="33"/>
  <c r="F219" i="33" s="1"/>
  <c r="F220" i="33" s="1"/>
  <c r="F223" i="33" s="1"/>
  <c r="V404" i="26"/>
  <c r="W404" i="26"/>
  <c r="V300" i="26"/>
  <c r="X300" i="26"/>
  <c r="X326" i="26"/>
  <c r="V326" i="26"/>
  <c r="V209" i="26"/>
  <c r="X209" i="26"/>
  <c r="X214" i="26"/>
  <c r="X456" i="26"/>
  <c r="X461" i="26"/>
  <c r="V456" i="26"/>
  <c r="V365" i="26"/>
  <c r="X365" i="26"/>
  <c r="X183" i="26"/>
  <c r="V183" i="26"/>
  <c r="V144" i="26"/>
  <c r="X144" i="26"/>
  <c r="X422" i="26"/>
  <c r="V417" i="26"/>
  <c r="X417" i="26"/>
  <c r="V170" i="26"/>
  <c r="X170" i="26"/>
  <c r="V196" i="26"/>
  <c r="X196" i="26"/>
  <c r="X274" i="26"/>
  <c r="X279" i="26"/>
  <c r="V274" i="26"/>
  <c r="V443" i="26"/>
  <c r="X448" i="26"/>
  <c r="X443" i="26"/>
  <c r="X27" i="26"/>
  <c r="V27" i="26"/>
  <c r="X435" i="26"/>
  <c r="X430" i="26"/>
  <c r="V430" i="26"/>
  <c r="V469" i="26"/>
  <c r="X469" i="26"/>
  <c r="X474" i="26"/>
  <c r="V40" i="26"/>
  <c r="X40" i="26"/>
  <c r="X391" i="26"/>
  <c r="V391" i="26"/>
  <c r="V118" i="26"/>
  <c r="X118" i="26"/>
  <c r="X66" i="26"/>
  <c r="V66" i="26"/>
  <c r="V235" i="26"/>
  <c r="X235" i="26"/>
  <c r="X240" i="26"/>
  <c r="X261" i="26"/>
  <c r="X266" i="26"/>
  <c r="V261" i="26"/>
  <c r="V157" i="26"/>
  <c r="X157" i="26"/>
  <c r="X313" i="26"/>
  <c r="V313" i="26"/>
  <c r="X79" i="26"/>
  <c r="V79" i="26"/>
  <c r="V92" i="26"/>
  <c r="X92" i="26"/>
  <c r="V339" i="26"/>
  <c r="X339" i="26"/>
  <c r="X248" i="26"/>
  <c r="V248" i="26"/>
  <c r="X253" i="26"/>
  <c r="X222" i="26"/>
  <c r="V222" i="26"/>
  <c r="X227" i="26"/>
  <c r="V105" i="26"/>
  <c r="X105" i="26"/>
  <c r="X352" i="26"/>
  <c r="V352" i="26"/>
  <c r="X287" i="26"/>
  <c r="V287" i="26"/>
  <c r="X53" i="26"/>
  <c r="V53" i="26"/>
  <c r="X131" i="26"/>
  <c r="V131" i="26"/>
  <c r="V378" i="26"/>
  <c r="X378" i="26"/>
  <c r="X404" i="26"/>
  <c r="V409" i="26"/>
  <c r="X409" i="26"/>
  <c r="E340" i="33"/>
  <c r="D340" i="33"/>
  <c r="E262" i="33"/>
  <c r="E265" i="33" s="1"/>
  <c r="J94" i="34"/>
  <c r="E108" i="34" s="1"/>
  <c r="BK10" i="35" s="1"/>
  <c r="L94" i="34"/>
  <c r="D425" i="33"/>
  <c r="D431" i="33"/>
  <c r="D462" i="33" s="1"/>
  <c r="E173" i="33"/>
  <c r="E176" i="33"/>
  <c r="F177" i="33" s="1"/>
  <c r="E264" i="33"/>
  <c r="D432" i="33"/>
  <c r="D429" i="33"/>
  <c r="I368" i="33"/>
  <c r="E332" i="33"/>
  <c r="E333" i="33" s="1"/>
  <c r="E279" i="33"/>
  <c r="E282" i="33" s="1"/>
  <c r="D332" i="33"/>
  <c r="D333" i="33" s="1"/>
  <c r="E446" i="33"/>
  <c r="D447" i="33"/>
  <c r="D448" i="33" s="1"/>
  <c r="BS37" i="35" s="1"/>
  <c r="H287" i="33"/>
  <c r="E281" i="33"/>
  <c r="F272" i="33" s="1"/>
  <c r="F276" i="33" s="1"/>
  <c r="G277" i="33" s="1"/>
  <c r="I443" i="33"/>
  <c r="H445" i="33"/>
  <c r="M442" i="33"/>
  <c r="L451" i="33"/>
  <c r="D223" i="33"/>
  <c r="D318" i="33"/>
  <c r="Q327" i="33"/>
  <c r="P336" i="33"/>
  <c r="D201" i="33"/>
  <c r="D230" i="33"/>
  <c r="D231" i="33" s="1"/>
  <c r="F338" i="33"/>
  <c r="G330" i="33"/>
  <c r="H328" i="33"/>
  <c r="E309" i="33"/>
  <c r="F332" i="33"/>
  <c r="F333" i="33" s="1"/>
  <c r="X112" i="33"/>
  <c r="D215" i="33"/>
  <c r="D216" i="33" s="1"/>
  <c r="Y112" i="33"/>
  <c r="Z112" i="33"/>
  <c r="AA112" i="33"/>
  <c r="AD112" i="33"/>
  <c r="AE112" i="33"/>
  <c r="AF112" i="33"/>
  <c r="AB112" i="33"/>
  <c r="AC112" i="33"/>
  <c r="AG112" i="33"/>
  <c r="BL32" i="35" a="1"/>
  <c r="BL32" i="35" s="1"/>
  <c r="BK32" i="35" a="1"/>
  <c r="BK32" i="35" s="1"/>
  <c r="H113" i="34"/>
  <c r="BL31" i="35" s="1"/>
  <c r="F255" i="33" l="1"/>
  <c r="E419" i="33"/>
  <c r="E388" i="33"/>
  <c r="E424" i="33" s="1"/>
  <c r="E425" i="33" s="1"/>
  <c r="E304" i="33"/>
  <c r="E311" i="33" s="1"/>
  <c r="E379" i="33"/>
  <c r="F370" i="33" s="1"/>
  <c r="F371" i="33" s="1"/>
  <c r="E145" i="33"/>
  <c r="E148" i="33" s="1"/>
  <c r="E147" i="33"/>
  <c r="F138" i="33" s="1"/>
  <c r="V525" i="26"/>
  <c r="X525" i="26"/>
  <c r="D463" i="33"/>
  <c r="G210" i="33"/>
  <c r="G219" i="33" s="1"/>
  <c r="G220" i="33" s="1"/>
  <c r="G223" i="33" s="1"/>
  <c r="E181" i="33"/>
  <c r="F172" i="33" s="1"/>
  <c r="F173" i="33" s="1"/>
  <c r="E179" i="33"/>
  <c r="E182" i="33" s="1"/>
  <c r="D433" i="33"/>
  <c r="J368" i="33"/>
  <c r="F306" i="33"/>
  <c r="F446" i="33"/>
  <c r="E447" i="33"/>
  <c r="E448" i="33" s="1"/>
  <c r="F273" i="33"/>
  <c r="F279" i="33" s="1"/>
  <c r="F282" i="33" s="1"/>
  <c r="I287" i="33"/>
  <c r="E380" i="33"/>
  <c r="I445" i="33"/>
  <c r="J443" i="33"/>
  <c r="M451" i="33"/>
  <c r="N442" i="33"/>
  <c r="F281" i="33"/>
  <c r="G272" i="33" s="1"/>
  <c r="G338" i="33"/>
  <c r="R327" i="33"/>
  <c r="Q336" i="33"/>
  <c r="G332" i="33"/>
  <c r="G333" i="33" s="1"/>
  <c r="E310" i="33"/>
  <c r="H330" i="33"/>
  <c r="H332" i="33" s="1"/>
  <c r="H333" i="33" s="1"/>
  <c r="I328" i="33"/>
  <c r="H335" i="33"/>
  <c r="H337" i="33" s="1"/>
  <c r="H340" i="33" s="1"/>
  <c r="F256" i="33" l="1"/>
  <c r="F305" i="33"/>
  <c r="F139" i="33"/>
  <c r="F188" i="33"/>
  <c r="E426" i="33"/>
  <c r="F420" i="33"/>
  <c r="E294" i="33"/>
  <c r="E293" i="33" s="1"/>
  <c r="E296" i="33" s="1"/>
  <c r="E299" i="33" s="1"/>
  <c r="H210" i="33"/>
  <c r="I210" i="33" s="1"/>
  <c r="F190" i="33"/>
  <c r="F176" i="33"/>
  <c r="G177" i="33" s="1"/>
  <c r="K368" i="33"/>
  <c r="G446" i="33"/>
  <c r="F447" i="33"/>
  <c r="F448" i="33" s="1"/>
  <c r="J287" i="33"/>
  <c r="K443" i="33"/>
  <c r="J445" i="33"/>
  <c r="O442" i="33"/>
  <c r="N451" i="33"/>
  <c r="G273" i="33"/>
  <c r="G306" i="33"/>
  <c r="G276" i="33"/>
  <c r="H277" i="33" s="1"/>
  <c r="H338" i="33"/>
  <c r="S327" i="33"/>
  <c r="R336" i="33"/>
  <c r="J328" i="33"/>
  <c r="I330" i="33"/>
  <c r="I335" i="33"/>
  <c r="Q15" i="26"/>
  <c r="D22" i="35"/>
  <c r="D13" i="35"/>
  <c r="H18" i="35"/>
  <c r="EV9" i="33"/>
  <c r="EV10" i="33"/>
  <c r="EV11" i="33"/>
  <c r="EV12" i="33"/>
  <c r="EV13" i="33"/>
  <c r="EV14" i="33"/>
  <c r="EV15" i="33"/>
  <c r="EV16" i="33"/>
  <c r="EV17" i="33"/>
  <c r="EV18" i="33"/>
  <c r="EV19" i="33"/>
  <c r="EV20" i="33"/>
  <c r="EV21" i="33"/>
  <c r="EV22" i="33"/>
  <c r="EV23" i="33"/>
  <c r="EV24" i="33"/>
  <c r="EV25" i="33"/>
  <c r="EV26" i="33"/>
  <c r="EV27" i="33"/>
  <c r="EV28" i="33"/>
  <c r="EV29" i="33"/>
  <c r="EV30" i="33"/>
  <c r="EV31" i="33"/>
  <c r="EV32" i="33"/>
  <c r="EV8" i="33"/>
  <c r="EU9" i="33"/>
  <c r="EU10" i="33"/>
  <c r="EU11" i="33"/>
  <c r="EU12" i="33"/>
  <c r="EU13" i="33"/>
  <c r="EU14" i="33"/>
  <c r="EU15" i="33"/>
  <c r="EU16" i="33"/>
  <c r="EU17" i="33"/>
  <c r="EU18" i="33"/>
  <c r="EU19" i="33"/>
  <c r="EU20" i="33"/>
  <c r="EU21" i="33"/>
  <c r="EU22" i="33"/>
  <c r="EU23" i="33"/>
  <c r="EU24" i="33"/>
  <c r="EU25" i="33"/>
  <c r="EU26" i="33"/>
  <c r="EU27" i="33"/>
  <c r="EU28" i="33"/>
  <c r="EU29" i="33"/>
  <c r="EU30" i="33"/>
  <c r="EU31" i="33"/>
  <c r="EU32" i="33"/>
  <c r="EU8" i="33"/>
  <c r="DV9" i="33"/>
  <c r="DV10" i="33"/>
  <c r="DV11" i="33"/>
  <c r="DV12" i="33"/>
  <c r="DV13" i="33"/>
  <c r="DV14" i="33"/>
  <c r="DV15" i="33"/>
  <c r="DV16" i="33"/>
  <c r="DV17" i="33"/>
  <c r="DV18" i="33"/>
  <c r="DV19" i="33"/>
  <c r="DV20" i="33"/>
  <c r="DV21" i="33"/>
  <c r="DV22" i="33"/>
  <c r="DV23" i="33"/>
  <c r="DV24" i="33"/>
  <c r="DV25" i="33"/>
  <c r="DV26" i="33"/>
  <c r="DV27" i="33"/>
  <c r="DV28" i="33"/>
  <c r="DV29" i="33"/>
  <c r="DV30" i="33"/>
  <c r="DV31" i="33"/>
  <c r="DV32" i="33"/>
  <c r="DV8" i="33"/>
  <c r="DU9" i="33"/>
  <c r="DU10" i="33"/>
  <c r="DU11" i="33"/>
  <c r="DU12" i="33"/>
  <c r="DU13" i="33"/>
  <c r="DU14" i="33"/>
  <c r="DU15" i="33"/>
  <c r="DU16" i="33"/>
  <c r="DU17" i="33"/>
  <c r="DU18" i="33"/>
  <c r="DU19" i="33"/>
  <c r="DU20" i="33"/>
  <c r="DU21" i="33"/>
  <c r="DU22" i="33"/>
  <c r="DU23" i="33"/>
  <c r="DU24" i="33"/>
  <c r="DU25" i="33"/>
  <c r="DU26" i="33"/>
  <c r="DU27" i="33"/>
  <c r="DU28" i="33"/>
  <c r="DU29" i="33"/>
  <c r="DU30" i="33"/>
  <c r="DU31" i="33"/>
  <c r="DU32" i="33"/>
  <c r="DU8" i="33"/>
  <c r="N74" i="36"/>
  <c r="N75" i="36"/>
  <c r="N76" i="36"/>
  <c r="N77" i="36"/>
  <c r="N78" i="36"/>
  <c r="N79" i="36"/>
  <c r="N80" i="36"/>
  <c r="N81" i="36"/>
  <c r="N82" i="36"/>
  <c r="N83" i="36"/>
  <c r="N84" i="36"/>
  <c r="N85" i="36"/>
  <c r="N86" i="36"/>
  <c r="N87" i="36"/>
  <c r="N88" i="36"/>
  <c r="N89" i="36"/>
  <c r="M74" i="36"/>
  <c r="M75" i="36"/>
  <c r="M76" i="36"/>
  <c r="M77" i="36"/>
  <c r="M78" i="36"/>
  <c r="M79" i="36"/>
  <c r="M80" i="36"/>
  <c r="M81" i="36"/>
  <c r="M82" i="36"/>
  <c r="M83" i="36"/>
  <c r="M84" i="36"/>
  <c r="M85" i="36"/>
  <c r="M86" i="36"/>
  <c r="M87" i="36"/>
  <c r="M88" i="36"/>
  <c r="M89" i="36"/>
  <c r="B71" i="36"/>
  <c r="C71" i="36"/>
  <c r="D71" i="36"/>
  <c r="B72" i="36"/>
  <c r="C72" i="36"/>
  <c r="D72" i="36"/>
  <c r="B73" i="36"/>
  <c r="C73" i="36"/>
  <c r="D73" i="36"/>
  <c r="B74" i="36"/>
  <c r="C74" i="36"/>
  <c r="D74" i="36"/>
  <c r="B75" i="36"/>
  <c r="C75" i="36"/>
  <c r="D75" i="36"/>
  <c r="B76" i="36"/>
  <c r="C76" i="36"/>
  <c r="D76" i="36"/>
  <c r="B77" i="36"/>
  <c r="C77" i="36"/>
  <c r="D77" i="36"/>
  <c r="B78" i="36"/>
  <c r="C78" i="36"/>
  <c r="D78" i="36"/>
  <c r="B79" i="36"/>
  <c r="C79" i="36"/>
  <c r="D79" i="36"/>
  <c r="B80" i="36"/>
  <c r="C80" i="36"/>
  <c r="D80" i="36"/>
  <c r="B81" i="36"/>
  <c r="C81" i="36"/>
  <c r="D81" i="36"/>
  <c r="B82" i="36"/>
  <c r="C82" i="36"/>
  <c r="D82" i="36"/>
  <c r="B83" i="36"/>
  <c r="C83" i="36"/>
  <c r="D83" i="36"/>
  <c r="B84" i="36"/>
  <c r="C84" i="36"/>
  <c r="D84" i="36"/>
  <c r="B85" i="36"/>
  <c r="C85" i="36"/>
  <c r="D85" i="36"/>
  <c r="B86" i="36"/>
  <c r="C86" i="36"/>
  <c r="D86" i="36"/>
  <c r="B87" i="36"/>
  <c r="C87" i="36"/>
  <c r="D87" i="36"/>
  <c r="B88" i="36"/>
  <c r="C88" i="36"/>
  <c r="D88" i="36"/>
  <c r="B89" i="36"/>
  <c r="C89" i="36"/>
  <c r="D89" i="36"/>
  <c r="B65" i="36"/>
  <c r="B66" i="36"/>
  <c r="C66" i="36"/>
  <c r="D66" i="36"/>
  <c r="B67" i="36"/>
  <c r="C67" i="36"/>
  <c r="D67" i="36"/>
  <c r="B68" i="36"/>
  <c r="C68" i="36"/>
  <c r="D68" i="36"/>
  <c r="B69" i="36"/>
  <c r="C69" i="36"/>
  <c r="D69" i="36"/>
  <c r="B70" i="36"/>
  <c r="C70" i="36"/>
  <c r="D70" i="36"/>
  <c r="D65" i="36"/>
  <c r="C65" i="36"/>
  <c r="E8" i="36"/>
  <c r="E7" i="36"/>
  <c r="E6" i="36"/>
  <c r="E5" i="36"/>
  <c r="E4" i="36"/>
  <c r="E3" i="36"/>
  <c r="E2" i="36"/>
  <c r="E313" i="33" l="1"/>
  <c r="E298" i="33"/>
  <c r="F289" i="33"/>
  <c r="F307" i="33" s="1"/>
  <c r="F304" i="33" s="1"/>
  <c r="Q13" i="26"/>
  <c r="E314" i="33"/>
  <c r="E316" i="33"/>
  <c r="E317" i="33"/>
  <c r="I28" i="34"/>
  <c r="F181" i="33"/>
  <c r="G172" i="33" s="1"/>
  <c r="G176" i="33" s="1"/>
  <c r="H177" i="33" s="1"/>
  <c r="F260" i="33"/>
  <c r="F259" i="33" s="1"/>
  <c r="H219" i="33"/>
  <c r="H220" i="33" s="1"/>
  <c r="H223" i="33" s="1"/>
  <c r="F179" i="33"/>
  <c r="F182" i="33" s="1"/>
  <c r="Q14" i="26"/>
  <c r="L368" i="33"/>
  <c r="H446" i="33"/>
  <c r="G447" i="33"/>
  <c r="G448" i="33" s="1"/>
  <c r="K287" i="33"/>
  <c r="I219" i="33"/>
  <c r="I220" i="33" s="1"/>
  <c r="I223" i="33" s="1"/>
  <c r="J210" i="33"/>
  <c r="O451" i="33"/>
  <c r="P442" i="33"/>
  <c r="L443" i="33"/>
  <c r="K445" i="33"/>
  <c r="G281" i="33"/>
  <c r="H272" i="33" s="1"/>
  <c r="G279" i="33"/>
  <c r="G282" i="33" s="1"/>
  <c r="I337" i="33"/>
  <c r="T327" i="33"/>
  <c r="S336" i="33"/>
  <c r="I332" i="33"/>
  <c r="I333" i="33" s="1"/>
  <c r="J330" i="33"/>
  <c r="K328" i="33"/>
  <c r="J335" i="33"/>
  <c r="J337" i="33" s="1"/>
  <c r="J340" i="33" s="1"/>
  <c r="I25" i="35"/>
  <c r="J25" i="35" s="1"/>
  <c r="K25" i="35"/>
  <c r="AS72" i="35"/>
  <c r="D5" i="35"/>
  <c r="D6" i="35"/>
  <c r="D7" i="35"/>
  <c r="D8" i="35"/>
  <c r="C5" i="35"/>
  <c r="C6" i="35"/>
  <c r="C7" i="35"/>
  <c r="C8" i="35"/>
  <c r="C4" i="22"/>
  <c r="C5" i="22"/>
  <c r="C6" i="22"/>
  <c r="C7" i="22"/>
  <c r="C8" i="22"/>
  <c r="C3" i="22"/>
  <c r="C4" i="25"/>
  <c r="C5" i="25"/>
  <c r="C6" i="25"/>
  <c r="C7" i="25"/>
  <c r="C8" i="25"/>
  <c r="C3" i="25"/>
  <c r="C4" i="26"/>
  <c r="C5" i="26"/>
  <c r="C6" i="26"/>
  <c r="C7" i="26"/>
  <c r="C8" i="26"/>
  <c r="C3" i="26"/>
  <c r="C4" i="19"/>
  <c r="C5" i="19"/>
  <c r="C6" i="19"/>
  <c r="C7" i="19"/>
  <c r="C8" i="19"/>
  <c r="C3" i="19"/>
  <c r="C8" i="20"/>
  <c r="C7" i="20"/>
  <c r="C6" i="20"/>
  <c r="C5" i="20"/>
  <c r="C4" i="20"/>
  <c r="C3" i="20"/>
  <c r="C2" i="20"/>
  <c r="C8" i="21"/>
  <c r="C4" i="21"/>
  <c r="C5" i="21"/>
  <c r="C6" i="21"/>
  <c r="C7" i="21"/>
  <c r="C3" i="21"/>
  <c r="C2" i="21"/>
  <c r="C4" i="35"/>
  <c r="D4" i="35"/>
  <c r="FC9" i="33"/>
  <c r="FC10" i="33"/>
  <c r="FC11" i="33"/>
  <c r="FC12" i="33"/>
  <c r="FC13" i="33"/>
  <c r="FC14" i="33"/>
  <c r="FC15" i="33"/>
  <c r="FC16" i="33"/>
  <c r="FC17" i="33"/>
  <c r="FC18" i="33"/>
  <c r="FC19" i="33"/>
  <c r="FC20" i="33"/>
  <c r="FC21" i="33"/>
  <c r="FC22" i="33"/>
  <c r="FC23" i="33"/>
  <c r="FC24" i="33"/>
  <c r="FC25" i="33"/>
  <c r="FC26" i="33"/>
  <c r="FC27" i="33"/>
  <c r="FC28" i="33"/>
  <c r="FC29" i="33"/>
  <c r="FC30" i="33"/>
  <c r="FC31" i="33"/>
  <c r="FC32" i="33"/>
  <c r="FC8" i="33"/>
  <c r="EX9" i="33"/>
  <c r="ES9" i="33" s="1" a="1"/>
  <c r="ES9" i="33" s="1"/>
  <c r="EX10" i="33"/>
  <c r="ER10" i="33" s="1"/>
  <c r="EX11" i="33"/>
  <c r="ES11" i="33" s="1" a="1"/>
  <c r="ES11" i="33" s="1"/>
  <c r="EX12" i="33"/>
  <c r="ET12" i="33" s="1" a="1"/>
  <c r="ET12" i="33" s="1"/>
  <c r="EX13" i="33"/>
  <c r="ET13" i="33" s="1" a="1"/>
  <c r="ET13" i="33" s="1"/>
  <c r="EX14" i="33"/>
  <c r="ET14" i="33" s="1" a="1"/>
  <c r="ET14" i="33" s="1"/>
  <c r="EX15" i="33"/>
  <c r="ET15" i="33" s="1" a="1"/>
  <c r="ET15" i="33" s="1"/>
  <c r="EX16" i="33"/>
  <c r="ET16" i="33" s="1" a="1"/>
  <c r="ET16" i="33" s="1"/>
  <c r="EX17" i="33"/>
  <c r="ES17" i="33" s="1" a="1"/>
  <c r="ES17" i="33" s="1"/>
  <c r="EX18" i="33"/>
  <c r="ER18" i="33" s="1"/>
  <c r="EX19" i="33"/>
  <c r="ES19" i="33" s="1" a="1"/>
  <c r="ES19" i="33" s="1"/>
  <c r="EX20" i="33"/>
  <c r="EX21" i="33"/>
  <c r="ES21" i="33" s="1" a="1"/>
  <c r="ES21" i="33" s="1"/>
  <c r="EX22" i="33"/>
  <c r="ES22" i="33" s="1" a="1"/>
  <c r="ES22" i="33" s="1"/>
  <c r="EX23" i="33"/>
  <c r="ES23" i="33" s="1" a="1"/>
  <c r="ES23" i="33" s="1"/>
  <c r="EX24" i="33"/>
  <c r="ET24" i="33" s="1" a="1"/>
  <c r="ET24" i="33" s="1"/>
  <c r="EX25" i="33"/>
  <c r="EY25" i="33" s="1"/>
  <c r="EX26" i="33"/>
  <c r="ET26" i="33" s="1" a="1"/>
  <c r="ET26" i="33" s="1"/>
  <c r="EX27" i="33"/>
  <c r="ET27" i="33" s="1" a="1"/>
  <c r="ET27" i="33" s="1"/>
  <c r="EX28" i="33"/>
  <c r="EX29" i="33"/>
  <c r="ET29" i="33" s="1" a="1"/>
  <c r="ET29" i="33" s="1"/>
  <c r="EX30" i="33"/>
  <c r="ES30" i="33" s="1" a="1"/>
  <c r="ES30" i="33" s="1"/>
  <c r="EX31" i="33"/>
  <c r="EY31" i="33" s="1"/>
  <c r="EX32" i="33"/>
  <c r="ES32" i="33" s="1" a="1"/>
  <c r="ES32" i="33" s="1"/>
  <c r="EX8" i="33"/>
  <c r="EY8" i="33" s="1"/>
  <c r="EQ9" i="33"/>
  <c r="EQ10" i="33"/>
  <c r="EQ11" i="33"/>
  <c r="EQ12" i="33"/>
  <c r="EQ13" i="33"/>
  <c r="EQ14" i="33"/>
  <c r="EQ15" i="33"/>
  <c r="EQ16" i="33"/>
  <c r="EQ17" i="33"/>
  <c r="EQ18" i="33"/>
  <c r="EQ19" i="33"/>
  <c r="EQ20" i="33"/>
  <c r="EQ21" i="33"/>
  <c r="EQ22" i="33"/>
  <c r="EQ23" i="33"/>
  <c r="EQ24" i="33"/>
  <c r="EQ25" i="33"/>
  <c r="EQ26" i="33"/>
  <c r="EQ27" i="33"/>
  <c r="EQ28" i="33"/>
  <c r="EQ29" i="33"/>
  <c r="EQ30" i="33"/>
  <c r="EQ31" i="33"/>
  <c r="EQ32" i="33"/>
  <c r="EQ8" i="33"/>
  <c r="EP9" i="33"/>
  <c r="EP10" i="33"/>
  <c r="EP11" i="33"/>
  <c r="EP12" i="33"/>
  <c r="EP13" i="33"/>
  <c r="EP14" i="33"/>
  <c r="EP15" i="33"/>
  <c r="EP16" i="33"/>
  <c r="EP17" i="33"/>
  <c r="EP18" i="33"/>
  <c r="EP19" i="33"/>
  <c r="EP20" i="33"/>
  <c r="EP21" i="33"/>
  <c r="EP22" i="33"/>
  <c r="EP23" i="33"/>
  <c r="EP24" i="33"/>
  <c r="EP25" i="33"/>
  <c r="EP26" i="33"/>
  <c r="EP27" i="33"/>
  <c r="EP28" i="33"/>
  <c r="EP29" i="33"/>
  <c r="EP30" i="33"/>
  <c r="EP31" i="33"/>
  <c r="EP32" i="33"/>
  <c r="EP8" i="33"/>
  <c r="EO9" i="33"/>
  <c r="EO10" i="33"/>
  <c r="EO11" i="33"/>
  <c r="EO12" i="33"/>
  <c r="EO13" i="33"/>
  <c r="EO14" i="33"/>
  <c r="EO15" i="33"/>
  <c r="EO16" i="33"/>
  <c r="EO17" i="33"/>
  <c r="EO18" i="33"/>
  <c r="EO19" i="33"/>
  <c r="EO20" i="33"/>
  <c r="EO21" i="33"/>
  <c r="EO22" i="33"/>
  <c r="EO23" i="33"/>
  <c r="EO24" i="33"/>
  <c r="EO25" i="33"/>
  <c r="EO26" i="33"/>
  <c r="EO27" i="33"/>
  <c r="EO28" i="33"/>
  <c r="EO29" i="33"/>
  <c r="EO30" i="33"/>
  <c r="EO31" i="33"/>
  <c r="EO32" i="33"/>
  <c r="EO8" i="33"/>
  <c r="EN9" i="33"/>
  <c r="EN10" i="33"/>
  <c r="EN11" i="33"/>
  <c r="EN12" i="33"/>
  <c r="EN13" i="33"/>
  <c r="EN14" i="33"/>
  <c r="EN15" i="33"/>
  <c r="EN16" i="33"/>
  <c r="EN17" i="33"/>
  <c r="EN18" i="33"/>
  <c r="EN19" i="33"/>
  <c r="EN20" i="33"/>
  <c r="EN21" i="33"/>
  <c r="EN22" i="33"/>
  <c r="EN23" i="33"/>
  <c r="EN24" i="33"/>
  <c r="EN25" i="33"/>
  <c r="EN26" i="33"/>
  <c r="EN27" i="33"/>
  <c r="EN28" i="33"/>
  <c r="EN29" i="33"/>
  <c r="EN30" i="33"/>
  <c r="EN31" i="33"/>
  <c r="EN32" i="33"/>
  <c r="EN8" i="33"/>
  <c r="EM9" i="33"/>
  <c r="EM10" i="33"/>
  <c r="EM11" i="33"/>
  <c r="EM12" i="33"/>
  <c r="EM13" i="33"/>
  <c r="EM14" i="33"/>
  <c r="EM15" i="33"/>
  <c r="EM16" i="33"/>
  <c r="EM17" i="33"/>
  <c r="EM18" i="33"/>
  <c r="EM19" i="33"/>
  <c r="EM20" i="33"/>
  <c r="EM21" i="33"/>
  <c r="EM22" i="33"/>
  <c r="EM23" i="33"/>
  <c r="EM24" i="33"/>
  <c r="EM25" i="33"/>
  <c r="EM26" i="33"/>
  <c r="EM27" i="33"/>
  <c r="EM28" i="33"/>
  <c r="EM29" i="33"/>
  <c r="EM30" i="33"/>
  <c r="EM31" i="33"/>
  <c r="EM32" i="33"/>
  <c r="EM8" i="33"/>
  <c r="EG9" i="33"/>
  <c r="EG10" i="33"/>
  <c r="EG11" i="33"/>
  <c r="EG12" i="33"/>
  <c r="EG13" i="33"/>
  <c r="EG14" i="33"/>
  <c r="EG15" i="33"/>
  <c r="EG16" i="33"/>
  <c r="EG17" i="33"/>
  <c r="EG18" i="33"/>
  <c r="EG19" i="33"/>
  <c r="EG20" i="33"/>
  <c r="EG21" i="33"/>
  <c r="EG22" i="33"/>
  <c r="EG23" i="33"/>
  <c r="EG24" i="33"/>
  <c r="EG25" i="33"/>
  <c r="EG26" i="33"/>
  <c r="EG27" i="33"/>
  <c r="EG28" i="33"/>
  <c r="EG29" i="33"/>
  <c r="EG30" i="33"/>
  <c r="EG31" i="33"/>
  <c r="EG32" i="33"/>
  <c r="EG8" i="33"/>
  <c r="EF9" i="33" a="1"/>
  <c r="EF9" i="33" s="1"/>
  <c r="EF10" i="33" a="1"/>
  <c r="EF10" i="33" s="1"/>
  <c r="EF11" i="33" a="1"/>
  <c r="EF11" i="33" s="1"/>
  <c r="EF12" i="33" a="1"/>
  <c r="EF12" i="33" s="1"/>
  <c r="EF13" i="33" a="1"/>
  <c r="EF13" i="33" s="1"/>
  <c r="EF14" i="33" a="1"/>
  <c r="EF14" i="33" s="1"/>
  <c r="EF15" i="33" a="1"/>
  <c r="EF15" i="33" s="1"/>
  <c r="EF16" i="33" a="1"/>
  <c r="EF16" i="33" s="1"/>
  <c r="EF17" i="33" a="1"/>
  <c r="EF17" i="33" s="1"/>
  <c r="EF18" i="33" a="1"/>
  <c r="EF18" i="33" s="1"/>
  <c r="EF19" i="33" a="1"/>
  <c r="EF19" i="33" s="1"/>
  <c r="EF20" i="33" a="1"/>
  <c r="EF20" i="33" s="1"/>
  <c r="EF21" i="33" a="1"/>
  <c r="EF21" i="33" s="1"/>
  <c r="EF22" i="33" a="1"/>
  <c r="EF22" i="33" s="1"/>
  <c r="EF23" i="33" a="1"/>
  <c r="EF23" i="33" s="1"/>
  <c r="EF24" i="33" a="1"/>
  <c r="EF24" i="33" s="1"/>
  <c r="EF25" i="33" a="1"/>
  <c r="EF25" i="33" s="1"/>
  <c r="EF26" i="33" a="1"/>
  <c r="EF26" i="33" s="1"/>
  <c r="EF27" i="33" a="1"/>
  <c r="EF27" i="33" s="1"/>
  <c r="EF28" i="33" a="1"/>
  <c r="EF28" i="33" s="1"/>
  <c r="EF29" i="33" a="1"/>
  <c r="EF29" i="33" s="1"/>
  <c r="EF30" i="33" a="1"/>
  <c r="EF30" i="33" s="1"/>
  <c r="EF31" i="33" a="1"/>
  <c r="EF31" i="33" s="1"/>
  <c r="EF32" i="33" a="1"/>
  <c r="EF32" i="33" s="1"/>
  <c r="EF8" i="33" a="1"/>
  <c r="EF8" i="33" s="1"/>
  <c r="EC9" i="33"/>
  <c r="ED9" i="33" s="1"/>
  <c r="EC10" i="33"/>
  <c r="ED10" i="33" s="1"/>
  <c r="EC11" i="33"/>
  <c r="ED11" i="33" s="1"/>
  <c r="EC12" i="33"/>
  <c r="ED12" i="33" s="1"/>
  <c r="EC13" i="33"/>
  <c r="ED13" i="33" s="1"/>
  <c r="EC14" i="33"/>
  <c r="ED14" i="33" s="1"/>
  <c r="EC15" i="33"/>
  <c r="ED15" i="33" s="1"/>
  <c r="EC16" i="33"/>
  <c r="ED16" i="33" s="1"/>
  <c r="EC17" i="33"/>
  <c r="ED17" i="33" s="1"/>
  <c r="EC18" i="33"/>
  <c r="ED18" i="33" s="1"/>
  <c r="EC19" i="33"/>
  <c r="ED19" i="33" s="1"/>
  <c r="EC20" i="33"/>
  <c r="ED20" i="33" s="1"/>
  <c r="EC21" i="33"/>
  <c r="ED21" i="33" s="1"/>
  <c r="EC22" i="33"/>
  <c r="ED22" i="33" s="1"/>
  <c r="EC23" i="33"/>
  <c r="ED23" i="33" s="1"/>
  <c r="EC24" i="33"/>
  <c r="ED24" i="33" s="1"/>
  <c r="EC25" i="33"/>
  <c r="ED25" i="33" s="1"/>
  <c r="EC26" i="33"/>
  <c r="ED26" i="33" s="1"/>
  <c r="EC27" i="33"/>
  <c r="ED27" i="33" s="1"/>
  <c r="EC28" i="33"/>
  <c r="ED28" i="33" s="1"/>
  <c r="EC29" i="33"/>
  <c r="ED29" i="33" s="1"/>
  <c r="EC30" i="33"/>
  <c r="ED30" i="33" s="1"/>
  <c r="EC31" i="33"/>
  <c r="ED31" i="33" s="1"/>
  <c r="EC32" i="33"/>
  <c r="ED32" i="33" s="1"/>
  <c r="EC8" i="33"/>
  <c r="ED8" i="33" s="1"/>
  <c r="EB9" i="33"/>
  <c r="EB10" i="33"/>
  <c r="EB11" i="33"/>
  <c r="EB12" i="33"/>
  <c r="EB13" i="33"/>
  <c r="EB14" i="33"/>
  <c r="EB15" i="33"/>
  <c r="EB16" i="33"/>
  <c r="EB17" i="33"/>
  <c r="EB18" i="33"/>
  <c r="EB19" i="33"/>
  <c r="EB20" i="33"/>
  <c r="EB21" i="33"/>
  <c r="EB22" i="33"/>
  <c r="EB23" i="33"/>
  <c r="EB24" i="33"/>
  <c r="EB25" i="33"/>
  <c r="EB26" i="33"/>
  <c r="EB27" i="33"/>
  <c r="EB28" i="33"/>
  <c r="EB29" i="33"/>
  <c r="EB30" i="33"/>
  <c r="EB31" i="33"/>
  <c r="EB32" i="33"/>
  <c r="EB8" i="33"/>
  <c r="DZ9" i="33"/>
  <c r="DZ10" i="33"/>
  <c r="DZ11" i="33"/>
  <c r="DZ12" i="33"/>
  <c r="DZ13" i="33"/>
  <c r="DZ14" i="33"/>
  <c r="DZ15" i="33"/>
  <c r="DZ16" i="33"/>
  <c r="DZ17" i="33"/>
  <c r="DZ18" i="33"/>
  <c r="DZ19" i="33"/>
  <c r="DZ20" i="33"/>
  <c r="DZ21" i="33"/>
  <c r="DZ22" i="33"/>
  <c r="DZ23" i="33"/>
  <c r="DZ24" i="33"/>
  <c r="DZ25" i="33"/>
  <c r="DZ26" i="33"/>
  <c r="DZ27" i="33"/>
  <c r="DZ28" i="33"/>
  <c r="DZ29" i="33"/>
  <c r="DZ30" i="33"/>
  <c r="DZ31" i="33"/>
  <c r="DZ32" i="33"/>
  <c r="DZ8" i="33"/>
  <c r="DY9" i="33"/>
  <c r="DY10" i="33"/>
  <c r="DY11" i="33"/>
  <c r="DY12" i="33"/>
  <c r="DY13" i="33"/>
  <c r="DY14" i="33"/>
  <c r="DY15" i="33"/>
  <c r="DY16" i="33"/>
  <c r="DY17" i="33"/>
  <c r="DY18" i="33"/>
  <c r="DY19" i="33"/>
  <c r="DY20" i="33"/>
  <c r="DY21" i="33"/>
  <c r="DY22" i="33"/>
  <c r="DY23" i="33"/>
  <c r="DY24" i="33"/>
  <c r="DY25" i="33"/>
  <c r="DY26" i="33"/>
  <c r="DY27" i="33"/>
  <c r="DY28" i="33"/>
  <c r="DY29" i="33"/>
  <c r="DY30" i="33"/>
  <c r="DY31" i="33"/>
  <c r="DY32" i="33"/>
  <c r="DY8" i="33"/>
  <c r="DX9" i="33"/>
  <c r="DX10" i="33"/>
  <c r="DX11" i="33"/>
  <c r="DX12" i="33"/>
  <c r="DX13" i="33"/>
  <c r="DX14" i="33"/>
  <c r="DX15" i="33"/>
  <c r="DX16" i="33"/>
  <c r="DX17" i="33"/>
  <c r="DX18" i="33"/>
  <c r="DX19" i="33"/>
  <c r="DX20" i="33"/>
  <c r="DX21" i="33"/>
  <c r="DX22" i="33"/>
  <c r="DX23" i="33"/>
  <c r="DX24" i="33"/>
  <c r="DX25" i="33"/>
  <c r="DX26" i="33"/>
  <c r="DX27" i="33"/>
  <c r="DX28" i="33"/>
  <c r="DX29" i="33"/>
  <c r="DX30" i="33"/>
  <c r="DX31" i="33"/>
  <c r="DX32" i="33"/>
  <c r="DX8" i="33"/>
  <c r="DT9" i="33"/>
  <c r="DT10" i="33"/>
  <c r="DT11" i="33"/>
  <c r="DT12" i="33"/>
  <c r="DT13" i="33"/>
  <c r="DT14" i="33"/>
  <c r="DT15" i="33"/>
  <c r="DT16" i="33"/>
  <c r="DT17" i="33"/>
  <c r="DT18" i="33"/>
  <c r="DT19" i="33"/>
  <c r="DT20" i="33"/>
  <c r="DT21" i="33"/>
  <c r="DT22" i="33"/>
  <c r="DT23" i="33"/>
  <c r="DT24" i="33"/>
  <c r="DT25" i="33"/>
  <c r="DT26" i="33"/>
  <c r="DT27" i="33"/>
  <c r="DT28" i="33"/>
  <c r="DT29" i="33"/>
  <c r="DT30" i="33"/>
  <c r="DT31" i="33"/>
  <c r="DT32" i="33"/>
  <c r="DT8" i="33"/>
  <c r="DS9" i="33"/>
  <c r="DS10" i="33"/>
  <c r="DS11" i="33"/>
  <c r="DS12" i="33"/>
  <c r="DS13" i="33"/>
  <c r="DS14" i="33"/>
  <c r="DS15" i="33"/>
  <c r="DS16" i="33"/>
  <c r="DS17" i="33"/>
  <c r="DS18" i="33"/>
  <c r="DS19" i="33"/>
  <c r="DS20" i="33"/>
  <c r="DS21" i="33"/>
  <c r="DS22" i="33"/>
  <c r="DS23" i="33"/>
  <c r="DS24" i="33"/>
  <c r="DS25" i="33"/>
  <c r="DS26" i="33"/>
  <c r="DS27" i="33"/>
  <c r="DS28" i="33"/>
  <c r="DS29" i="33"/>
  <c r="DS30" i="33"/>
  <c r="DS31" i="33"/>
  <c r="DS32" i="33"/>
  <c r="DS8" i="33"/>
  <c r="DR9" i="33"/>
  <c r="DR10" i="33"/>
  <c r="DR11" i="33"/>
  <c r="DR12" i="33"/>
  <c r="DR13" i="33"/>
  <c r="DR14" i="33"/>
  <c r="DR15" i="33"/>
  <c r="DR16" i="33"/>
  <c r="DR17" i="33"/>
  <c r="DR18" i="33"/>
  <c r="DR19" i="33"/>
  <c r="DR20" i="33"/>
  <c r="DR21" i="33"/>
  <c r="DR22" i="33"/>
  <c r="DR23" i="33"/>
  <c r="DR24" i="33"/>
  <c r="DR25" i="33"/>
  <c r="DR26" i="33"/>
  <c r="DR27" i="33"/>
  <c r="DR28" i="33"/>
  <c r="DR29" i="33"/>
  <c r="DR30" i="33"/>
  <c r="DR31" i="33"/>
  <c r="DR32" i="33"/>
  <c r="DR8" i="33"/>
  <c r="DQ9" i="33"/>
  <c r="DQ10" i="33"/>
  <c r="DQ11" i="33"/>
  <c r="DQ12" i="33"/>
  <c r="DQ13" i="33"/>
  <c r="DQ14" i="33"/>
  <c r="DQ15" i="33"/>
  <c r="DQ16" i="33"/>
  <c r="DQ17" i="33"/>
  <c r="DQ18" i="33"/>
  <c r="DQ19" i="33"/>
  <c r="DQ20" i="33"/>
  <c r="DQ21" i="33"/>
  <c r="DQ22" i="33"/>
  <c r="DQ23" i="33"/>
  <c r="DQ24" i="33"/>
  <c r="DQ25" i="33"/>
  <c r="DQ26" i="33"/>
  <c r="DQ27" i="33"/>
  <c r="DQ28" i="33"/>
  <c r="DQ29" i="33"/>
  <c r="DQ30" i="33"/>
  <c r="DQ31" i="33"/>
  <c r="DQ32" i="33"/>
  <c r="DQ8" i="33"/>
  <c r="F264" i="33" l="1"/>
  <c r="G255" i="33" s="1"/>
  <c r="G256" i="33" s="1"/>
  <c r="F262" i="33"/>
  <c r="F265" i="33" s="1"/>
  <c r="E108" i="36" a="1"/>
  <c r="E108" i="36" s="1"/>
  <c r="F108" i="36" s="1"/>
  <c r="E100" i="36" a="1"/>
  <c r="E100" i="36" s="1"/>
  <c r="F100" i="36" s="1"/>
  <c r="E90" i="36" a="1"/>
  <c r="E90" i="36" s="1"/>
  <c r="F90" i="36" s="1"/>
  <c r="E99" i="36" a="1"/>
  <c r="E99" i="36" s="1"/>
  <c r="F99" i="36" s="1"/>
  <c r="E97" i="36" a="1"/>
  <c r="E97" i="36" s="1"/>
  <c r="F97" i="36" s="1"/>
  <c r="E91" i="36" a="1"/>
  <c r="E91" i="36" s="1"/>
  <c r="F91" i="36" s="1"/>
  <c r="E98" i="36" a="1"/>
  <c r="E98" i="36" s="1"/>
  <c r="F98" i="36" s="1"/>
  <c r="E114" i="36" a="1"/>
  <c r="E114" i="36" s="1"/>
  <c r="F114" i="36" s="1"/>
  <c r="E105" i="36" a="1"/>
  <c r="E105" i="36" s="1"/>
  <c r="F105" i="36" s="1"/>
  <c r="E113" i="36" a="1"/>
  <c r="E113" i="36" s="1"/>
  <c r="F113" i="36" s="1"/>
  <c r="E96" i="36" a="1"/>
  <c r="E96" i="36" s="1"/>
  <c r="F96" i="36" s="1"/>
  <c r="E103" i="36" a="1"/>
  <c r="E103" i="36" s="1"/>
  <c r="F103" i="36" s="1"/>
  <c r="E112" i="36" a="1"/>
  <c r="E112" i="36" s="1"/>
  <c r="F112" i="36" s="1"/>
  <c r="E104" i="36" a="1"/>
  <c r="E104" i="36" s="1"/>
  <c r="F104" i="36" s="1"/>
  <c r="E95" i="36" a="1"/>
  <c r="E95" i="36" s="1"/>
  <c r="F95" i="36" s="1"/>
  <c r="E110" i="36" a="1"/>
  <c r="E110" i="36" s="1"/>
  <c r="F110" i="36" s="1"/>
  <c r="E94" i="36" a="1"/>
  <c r="E94" i="36" s="1"/>
  <c r="F94" i="36" s="1"/>
  <c r="E111" i="36" a="1"/>
  <c r="E111" i="36" s="1"/>
  <c r="F111" i="36" s="1"/>
  <c r="E102" i="36" a="1"/>
  <c r="E102" i="36" s="1"/>
  <c r="F102" i="36" s="1"/>
  <c r="E109" i="36" a="1"/>
  <c r="E109" i="36" s="1"/>
  <c r="F109" i="36" s="1"/>
  <c r="E101" i="36" a="1"/>
  <c r="E101" i="36" s="1"/>
  <c r="F101" i="36" s="1"/>
  <c r="E93" i="36" a="1"/>
  <c r="E93" i="36" s="1"/>
  <c r="F93" i="36" s="1"/>
  <c r="E92" i="36" a="1"/>
  <c r="E92" i="36" s="1"/>
  <c r="F92" i="36" s="1"/>
  <c r="E107" i="36" a="1"/>
  <c r="E107" i="36" s="1"/>
  <c r="F107" i="36" s="1"/>
  <c r="E106" i="36" a="1"/>
  <c r="E106" i="36" s="1"/>
  <c r="F106" i="36" s="1"/>
  <c r="F290" i="33"/>
  <c r="F309" i="33" s="1"/>
  <c r="F310" i="33" s="1"/>
  <c r="G305" i="33"/>
  <c r="X31" i="35"/>
  <c r="X43" i="35"/>
  <c r="X57" i="35"/>
  <c r="G62" i="34"/>
  <c r="G78" i="34"/>
  <c r="G173" i="33"/>
  <c r="G179" i="33" s="1"/>
  <c r="G182" i="33" s="1"/>
  <c r="E347" i="33"/>
  <c r="E348" i="33" s="1"/>
  <c r="E318" i="33"/>
  <c r="G181" i="33"/>
  <c r="H172" i="33" s="1"/>
  <c r="H173" i="33" s="1"/>
  <c r="G190" i="33"/>
  <c r="O40" i="42"/>
  <c r="G46" i="34" s="1"/>
  <c r="O22" i="26"/>
  <c r="Q22" i="26"/>
  <c r="P523" i="26" s="1"/>
  <c r="M368" i="33"/>
  <c r="H276" i="33"/>
  <c r="I277" i="33" s="1"/>
  <c r="I446" i="33"/>
  <c r="H447" i="33"/>
  <c r="H448" i="33" s="1"/>
  <c r="L287" i="33"/>
  <c r="J219" i="33"/>
  <c r="J220" i="33" s="1"/>
  <c r="J223" i="33" s="1"/>
  <c r="K210" i="33"/>
  <c r="P451" i="33"/>
  <c r="Q442" i="33"/>
  <c r="M443" i="33"/>
  <c r="L445" i="33"/>
  <c r="H273" i="33"/>
  <c r="H306" i="33"/>
  <c r="I338" i="33"/>
  <c r="I340" i="33"/>
  <c r="U327" i="33"/>
  <c r="T336" i="33"/>
  <c r="K330" i="33"/>
  <c r="K332" i="33" s="1"/>
  <c r="K333" i="33" s="1"/>
  <c r="L328" i="33"/>
  <c r="K335" i="33"/>
  <c r="K337" i="33" s="1"/>
  <c r="K340" i="33" s="1"/>
  <c r="J338" i="33"/>
  <c r="J332" i="33"/>
  <c r="J333" i="33" s="1"/>
  <c r="EA9" i="33"/>
  <c r="EA11" i="33"/>
  <c r="EA28" i="33"/>
  <c r="EA25" i="33"/>
  <c r="EA14" i="33"/>
  <c r="EA8" i="33"/>
  <c r="EA26" i="33"/>
  <c r="EA23" i="33"/>
  <c r="EA22" i="33"/>
  <c r="EA21" i="33"/>
  <c r="R12" i="26"/>
  <c r="FJ7" i="33" a="1"/>
  <c r="EA10" i="33"/>
  <c r="EA13" i="33"/>
  <c r="EA27" i="33"/>
  <c r="E26" i="35"/>
  <c r="I26" i="35"/>
  <c r="J26" i="35" s="1"/>
  <c r="E73" i="36" a="1"/>
  <c r="E73" i="36" s="1"/>
  <c r="E76" i="36" a="1"/>
  <c r="E76" i="36" s="1"/>
  <c r="E84" i="36" a="1"/>
  <c r="E84" i="36" s="1"/>
  <c r="E85" i="36" a="1"/>
  <c r="E85" i="36" s="1"/>
  <c r="E78" i="36" a="1"/>
  <c r="E78" i="36" s="1"/>
  <c r="E79" i="36" a="1"/>
  <c r="E79" i="36" s="1"/>
  <c r="E72" i="36" a="1"/>
  <c r="E72" i="36" s="1"/>
  <c r="E82" i="36" a="1"/>
  <c r="E82" i="36" s="1"/>
  <c r="E71" i="36" a="1"/>
  <c r="E71" i="36" s="1"/>
  <c r="E88" i="36" a="1"/>
  <c r="E88" i="36" s="1"/>
  <c r="E81" i="36" a="1"/>
  <c r="E81" i="36" s="1"/>
  <c r="E75" i="36" a="1"/>
  <c r="E75" i="36" s="1"/>
  <c r="E83" i="36" a="1"/>
  <c r="E83" i="36" s="1"/>
  <c r="E77" i="36" a="1"/>
  <c r="E77" i="36" s="1"/>
  <c r="E87" i="36" a="1"/>
  <c r="E87" i="36" s="1"/>
  <c r="E80" i="36" a="1"/>
  <c r="E80" i="36" s="1"/>
  <c r="EY13" i="33"/>
  <c r="ER8" i="33"/>
  <c r="ES14" i="33" a="1"/>
  <c r="ES14" i="33" s="1"/>
  <c r="EY26" i="33"/>
  <c r="ER16" i="33"/>
  <c r="ET17" i="33" a="1"/>
  <c r="ET17" i="33" s="1"/>
  <c r="ER15" i="33"/>
  <c r="ER14" i="33"/>
  <c r="EY23" i="33"/>
  <c r="ET23" i="33" a="1"/>
  <c r="ET23" i="33" s="1"/>
  <c r="ER12" i="33"/>
  <c r="ES24" i="33" a="1"/>
  <c r="ES24" i="33" s="1"/>
  <c r="ER11" i="33"/>
  <c r="ES12" i="33" a="1"/>
  <c r="ES12" i="33" s="1"/>
  <c r="ET11" i="33" a="1"/>
  <c r="ET11" i="33" s="1"/>
  <c r="ET10" i="33" a="1"/>
  <c r="ET10" i="33" s="1"/>
  <c r="ER13" i="33"/>
  <c r="ES13" i="33" a="1"/>
  <c r="ES13" i="33" s="1"/>
  <c r="EW10" i="33"/>
  <c r="ER27" i="33"/>
  <c r="ES29" i="33" a="1"/>
  <c r="ES29" i="33" s="1"/>
  <c r="DW14" i="33"/>
  <c r="ER26" i="33"/>
  <c r="ET30" i="33" a="1"/>
  <c r="ET30" i="33" s="1"/>
  <c r="ER25" i="33"/>
  <c r="ER24" i="33"/>
  <c r="ER23" i="33"/>
  <c r="ET25" i="33" a="1"/>
  <c r="ET25" i="33" s="1"/>
  <c r="ER17" i="33"/>
  <c r="ES15" i="33" a="1"/>
  <c r="ES15" i="33" s="1"/>
  <c r="ER32" i="33"/>
  <c r="ET20" i="33" a="1"/>
  <c r="ET20" i="33" s="1"/>
  <c r="ES20" i="33" a="1"/>
  <c r="ES20" i="33" s="1"/>
  <c r="ER31" i="33"/>
  <c r="ET28" i="33" a="1"/>
  <c r="ET28" i="33" s="1"/>
  <c r="ES28" i="33" a="1"/>
  <c r="ES28" i="33" s="1"/>
  <c r="ER28" i="33"/>
  <c r="EY30" i="33"/>
  <c r="EY32" i="33"/>
  <c r="ES10" i="33" a="1"/>
  <c r="ES10" i="33" s="1"/>
  <c r="EY18" i="33"/>
  <c r="ES18" i="33" a="1"/>
  <c r="ES18" i="33" s="1"/>
  <c r="ER30" i="33"/>
  <c r="ER29" i="33"/>
  <c r="ES8" i="33" a="1"/>
  <c r="ES8" i="33" s="1"/>
  <c r="ES31" i="33" a="1"/>
  <c r="ES31" i="33" s="1"/>
  <c r="ET8" i="33" a="1"/>
  <c r="ET8" i="33" s="1"/>
  <c r="ET32" i="33" a="1"/>
  <c r="ET32" i="33" s="1"/>
  <c r="ET19" i="33" a="1"/>
  <c r="ET19" i="33" s="1"/>
  <c r="ES16" i="33" a="1"/>
  <c r="ES16" i="33" s="1"/>
  <c r="ER22" i="33"/>
  <c r="ET22" i="33" a="1"/>
  <c r="ET22" i="33" s="1"/>
  <c r="ER20" i="33"/>
  <c r="ET31" i="33" a="1"/>
  <c r="ET31" i="33" s="1"/>
  <c r="ET18" i="33" a="1"/>
  <c r="ET18" i="33" s="1"/>
  <c r="ER21" i="33"/>
  <c r="ET21" i="33" a="1"/>
  <c r="ET21" i="33" s="1"/>
  <c r="ER9" i="33"/>
  <c r="ET9" i="33" a="1"/>
  <c r="ET9" i="33" s="1"/>
  <c r="ER19" i="33"/>
  <c r="ES27" i="33" a="1"/>
  <c r="ES27" i="33" s="1"/>
  <c r="ES26" i="33" a="1"/>
  <c r="ES26" i="33" s="1"/>
  <c r="ES25" i="33" a="1"/>
  <c r="ES25" i="33" s="1"/>
  <c r="EW14" i="33"/>
  <c r="EW32" i="33"/>
  <c r="DW11" i="33"/>
  <c r="EW31" i="33"/>
  <c r="EW15" i="33"/>
  <c r="DW22" i="33"/>
  <c r="EW8" i="33"/>
  <c r="EW30" i="33"/>
  <c r="EW18" i="33"/>
  <c r="EW13" i="33"/>
  <c r="EW11" i="33"/>
  <c r="EW29" i="33"/>
  <c r="EW16" i="33"/>
  <c r="EW26" i="33"/>
  <c r="EW19" i="33"/>
  <c r="DW21" i="33"/>
  <c r="EW22" i="33"/>
  <c r="EW20" i="33"/>
  <c r="EW27" i="33"/>
  <c r="EW17" i="33"/>
  <c r="EW25" i="33"/>
  <c r="EW9" i="33"/>
  <c r="EW21" i="33"/>
  <c r="EW28" i="33"/>
  <c r="EW12" i="33"/>
  <c r="DW23" i="33"/>
  <c r="EW24" i="33"/>
  <c r="EW23" i="33"/>
  <c r="DW13" i="33"/>
  <c r="E25" i="35"/>
  <c r="EY20" i="33"/>
  <c r="EY9" i="33"/>
  <c r="EY16" i="33"/>
  <c r="EY21" i="33"/>
  <c r="EY17" i="33"/>
  <c r="EY28" i="33"/>
  <c r="EY29" i="33"/>
  <c r="EY11" i="33"/>
  <c r="EY24" i="33"/>
  <c r="EY12" i="33"/>
  <c r="EY14" i="33"/>
  <c r="EY19" i="33"/>
  <c r="EY10" i="33"/>
  <c r="EY15" i="33"/>
  <c r="EY22" i="33"/>
  <c r="EY27" i="33"/>
  <c r="EA19" i="33"/>
  <c r="EA16" i="33"/>
  <c r="EA15" i="33"/>
  <c r="EA20" i="33"/>
  <c r="EA31" i="33"/>
  <c r="EA18" i="33"/>
  <c r="EA29" i="33"/>
  <c r="EA17" i="33"/>
  <c r="EA30" i="33"/>
  <c r="EA32" i="33"/>
  <c r="DW26" i="33"/>
  <c r="DW24" i="33"/>
  <c r="DW25" i="33"/>
  <c r="DW12" i="33"/>
  <c r="DW10" i="33"/>
  <c r="EE10" i="33" s="1"/>
  <c r="EH10" i="33" s="1"/>
  <c r="DW30" i="33"/>
  <c r="DW29" i="33"/>
  <c r="DW32" i="33"/>
  <c r="DW20" i="33"/>
  <c r="DW31" i="33"/>
  <c r="DW18" i="33"/>
  <c r="DW8" i="33"/>
  <c r="DW19" i="33"/>
  <c r="DW17" i="33"/>
  <c r="DW15" i="33"/>
  <c r="DW27" i="33"/>
  <c r="DW9" i="33"/>
  <c r="DW28" i="33"/>
  <c r="DW16" i="33"/>
  <c r="EA24" i="33"/>
  <c r="EA12" i="33"/>
  <c r="F311" i="33" l="1"/>
  <c r="N73" i="36"/>
  <c r="M73" i="36"/>
  <c r="EE28" i="33"/>
  <c r="EH28" i="33" s="1"/>
  <c r="F96" i="34"/>
  <c r="X71" i="35"/>
  <c r="K96" i="34" s="1"/>
  <c r="H190" i="33"/>
  <c r="H176" i="33"/>
  <c r="I177" i="33" s="1"/>
  <c r="F294" i="33"/>
  <c r="F293" i="33" s="1"/>
  <c r="W13" i="26"/>
  <c r="W527" i="26" s="1"/>
  <c r="P25" i="42" s="1"/>
  <c r="Q25" i="42" s="1"/>
  <c r="Q27" i="42" s="1"/>
  <c r="I27" i="34"/>
  <c r="X56" i="35" s="1"/>
  <c r="X60" i="35" s="1"/>
  <c r="AM24" i="35" s="1"/>
  <c r="X18" i="35"/>
  <c r="EE21" i="33"/>
  <c r="EH21" i="33" s="1"/>
  <c r="V13" i="26"/>
  <c r="V527" i="26" s="1"/>
  <c r="X13" i="26"/>
  <c r="X527" i="26" s="1"/>
  <c r="R25" i="42" s="1"/>
  <c r="S25" i="42" s="1"/>
  <c r="S27" i="42" s="1"/>
  <c r="H279" i="33"/>
  <c r="H282" i="33" s="1"/>
  <c r="N368" i="33"/>
  <c r="EE11" i="33"/>
  <c r="EH11" i="33" s="1"/>
  <c r="H281" i="33"/>
  <c r="I272" i="33" s="1"/>
  <c r="I273" i="33" s="1"/>
  <c r="J446" i="33"/>
  <c r="I447" i="33"/>
  <c r="I448" i="33" s="1"/>
  <c r="M287" i="33"/>
  <c r="K219" i="33"/>
  <c r="K220" i="33" s="1"/>
  <c r="K223" i="33" s="1"/>
  <c r="L210" i="33"/>
  <c r="Q451" i="33"/>
  <c r="R442" i="33"/>
  <c r="N443" i="33"/>
  <c r="M445" i="33"/>
  <c r="K338" i="33"/>
  <c r="V327" i="33"/>
  <c r="U336" i="33"/>
  <c r="M328" i="33"/>
  <c r="L330" i="33"/>
  <c r="L332" i="33" s="1"/>
  <c r="L333" i="33" s="1"/>
  <c r="L335" i="33"/>
  <c r="EE9" i="33"/>
  <c r="EH9" i="33" s="1"/>
  <c r="E66" i="36" s="1" a="1"/>
  <c r="E66" i="36" s="1"/>
  <c r="F66" i="36" s="1"/>
  <c r="EE22" i="33"/>
  <c r="EH22" i="33" s="1"/>
  <c r="EE27" i="33"/>
  <c r="EH27" i="33" s="1"/>
  <c r="EE25" i="33"/>
  <c r="EH25" i="33" s="1"/>
  <c r="EE14" i="33"/>
  <c r="EH14" i="33" s="1"/>
  <c r="EE23" i="33"/>
  <c r="EH23" i="33" s="1"/>
  <c r="EE13" i="33"/>
  <c r="EH13" i="33" s="1"/>
  <c r="E70" i="36" s="1" a="1"/>
  <c r="E70" i="36" s="1"/>
  <c r="EE26" i="33"/>
  <c r="EH26" i="33" s="1"/>
  <c r="EE19" i="33"/>
  <c r="EH19" i="33" s="1"/>
  <c r="FJ7" i="33"/>
  <c r="N72" i="36"/>
  <c r="M72" i="36"/>
  <c r="EE29" i="33"/>
  <c r="EH29" i="33" s="1"/>
  <c r="E86" i="36" s="1" a="1"/>
  <c r="E86" i="36" s="1"/>
  <c r="EE15" i="33"/>
  <c r="EH15" i="33" s="1"/>
  <c r="EE20" i="33"/>
  <c r="EH20" i="33" s="1"/>
  <c r="F72" i="36"/>
  <c r="F79" i="36"/>
  <c r="F71" i="36"/>
  <c r="EE17" i="33"/>
  <c r="EH17" i="33" s="1"/>
  <c r="E74" i="36" s="1" a="1"/>
  <c r="E74" i="36" s="1"/>
  <c r="F76" i="36"/>
  <c r="F78" i="36"/>
  <c r="FA13" i="33"/>
  <c r="FB13" i="33" s="1"/>
  <c r="FA30" i="33"/>
  <c r="FB30" i="33" s="1"/>
  <c r="FA32" i="33"/>
  <c r="FB32" i="33" s="1"/>
  <c r="FA25" i="33"/>
  <c r="FB25" i="33" s="1"/>
  <c r="FA10" i="33"/>
  <c r="FB10" i="33" s="1"/>
  <c r="FA8" i="33"/>
  <c r="FB8" i="33" s="1"/>
  <c r="FA18" i="33"/>
  <c r="FB18" i="33" s="1"/>
  <c r="FA22" i="33"/>
  <c r="FB22" i="33" s="1"/>
  <c r="FA11" i="33"/>
  <c r="FB11" i="33" s="1"/>
  <c r="FA15" i="33"/>
  <c r="FB15" i="33" s="1"/>
  <c r="FA17" i="33"/>
  <c r="FB17" i="33" s="1"/>
  <c r="EE12" i="33"/>
  <c r="EH12" i="33" s="1"/>
  <c r="E69" i="36" s="1" a="1"/>
  <c r="E69" i="36" s="1"/>
  <c r="FA20" i="33"/>
  <c r="FB20" i="33" s="1"/>
  <c r="FA12" i="33"/>
  <c r="FB12" i="33" s="1"/>
  <c r="FA26" i="33"/>
  <c r="FB26" i="33" s="1"/>
  <c r="FA16" i="33"/>
  <c r="FB16" i="33" s="1"/>
  <c r="FA31" i="33"/>
  <c r="FB31" i="33" s="1"/>
  <c r="FA19" i="33"/>
  <c r="FB19" i="33" s="1"/>
  <c r="FA24" i="33"/>
  <c r="FB24" i="33" s="1"/>
  <c r="FA23" i="33"/>
  <c r="FB23" i="33" s="1"/>
  <c r="FA29" i="33"/>
  <c r="FB29" i="33" s="1"/>
  <c r="FA28" i="33"/>
  <c r="FB28" i="33" s="1"/>
  <c r="FA9" i="33"/>
  <c r="FB9" i="33" s="1"/>
  <c r="FA14" i="33"/>
  <c r="FB14" i="33" s="1"/>
  <c r="FA27" i="33"/>
  <c r="FB27" i="33" s="1"/>
  <c r="FA21" i="33"/>
  <c r="FB21" i="33" s="1"/>
  <c r="EE18" i="33"/>
  <c r="EH18" i="33" s="1"/>
  <c r="EE16" i="33"/>
  <c r="EH16" i="33" s="1"/>
  <c r="EE31" i="33"/>
  <c r="EH31" i="33" s="1"/>
  <c r="EE8" i="33"/>
  <c r="EH8" i="33" s="1"/>
  <c r="E65" i="36" s="1" a="1"/>
  <c r="E65" i="36" s="1"/>
  <c r="EE32" i="33"/>
  <c r="EH32" i="33" s="1"/>
  <c r="E89" i="36" s="1" a="1"/>
  <c r="E89" i="36" s="1"/>
  <c r="EE30" i="33"/>
  <c r="EH30" i="33" s="1"/>
  <c r="EE24" i="33"/>
  <c r="EH24" i="33" s="1"/>
  <c r="P95" i="36" l="1"/>
  <c r="P107" i="36"/>
  <c r="P96" i="36"/>
  <c r="P108" i="36"/>
  <c r="P97" i="36"/>
  <c r="P109" i="36"/>
  <c r="P89" i="36"/>
  <c r="P101" i="36"/>
  <c r="P113" i="36"/>
  <c r="P90" i="36"/>
  <c r="P102" i="36"/>
  <c r="P114" i="36"/>
  <c r="P91" i="36"/>
  <c r="P103" i="36"/>
  <c r="P104" i="36"/>
  <c r="P105" i="36"/>
  <c r="P106" i="36"/>
  <c r="P98" i="36"/>
  <c r="P110" i="36"/>
  <c r="P99" i="36"/>
  <c r="P111" i="36"/>
  <c r="P100" i="36"/>
  <c r="P112" i="36"/>
  <c r="P92" i="36"/>
  <c r="P93" i="36"/>
  <c r="P94" i="36"/>
  <c r="F296" i="33"/>
  <c r="F299" i="33" s="1"/>
  <c r="F313" i="33"/>
  <c r="F298" i="33"/>
  <c r="G260" i="33"/>
  <c r="G259" i="33" s="1"/>
  <c r="V528" i="26"/>
  <c r="N25" i="42"/>
  <c r="H179" i="33"/>
  <c r="H182" i="33" s="1"/>
  <c r="G289" i="33"/>
  <c r="H181" i="33"/>
  <c r="I172" i="33" s="1"/>
  <c r="I176" i="33" s="1"/>
  <c r="J177" i="33" s="1"/>
  <c r="G61" i="34"/>
  <c r="X42" i="35"/>
  <c r="X30" i="35"/>
  <c r="J96" i="34"/>
  <c r="E110" i="34" s="1"/>
  <c r="BK12" i="35" s="1"/>
  <c r="L96" i="34"/>
  <c r="E68" i="36" a="1"/>
  <c r="E68" i="36" s="1"/>
  <c r="F68" i="36" s="1"/>
  <c r="F317" i="33"/>
  <c r="F314" i="33"/>
  <c r="F316" i="33"/>
  <c r="I32" i="34"/>
  <c r="X17" i="35"/>
  <c r="X21" i="35" s="1"/>
  <c r="G77" i="34"/>
  <c r="G81" i="34" s="1"/>
  <c r="X528" i="26"/>
  <c r="O368" i="33"/>
  <c r="I306" i="33"/>
  <c r="I276" i="33"/>
  <c r="J277" i="33" s="1"/>
  <c r="K446" i="33"/>
  <c r="J447" i="33"/>
  <c r="J448" i="33" s="1"/>
  <c r="N287" i="33"/>
  <c r="L219" i="33"/>
  <c r="L220" i="33" s="1"/>
  <c r="L223" i="33" s="1"/>
  <c r="M210" i="33"/>
  <c r="N445" i="33"/>
  <c r="O443" i="33"/>
  <c r="R451" i="33"/>
  <c r="S442" i="33"/>
  <c r="L337" i="33"/>
  <c r="W327" i="33"/>
  <c r="V336" i="33"/>
  <c r="N328" i="33"/>
  <c r="M330" i="33"/>
  <c r="M335" i="33"/>
  <c r="M337" i="33" s="1"/>
  <c r="M340" i="33" s="1"/>
  <c r="E67" i="36" a="1"/>
  <c r="E67" i="36" s="1"/>
  <c r="F67" i="36" s="1"/>
  <c r="P79" i="36"/>
  <c r="P73" i="36"/>
  <c r="P78" i="36"/>
  <c r="P74" i="36"/>
  <c r="P80" i="36"/>
  <c r="P86" i="36"/>
  <c r="P77" i="36"/>
  <c r="P84" i="36"/>
  <c r="P76" i="36"/>
  <c r="P85" i="36"/>
  <c r="P83" i="36"/>
  <c r="P81" i="36"/>
  <c r="P75" i="36"/>
  <c r="P82" i="36"/>
  <c r="F65" i="36"/>
  <c r="P88" i="36"/>
  <c r="P72" i="36"/>
  <c r="P87" i="36"/>
  <c r="F70" i="36"/>
  <c r="F69" i="36"/>
  <c r="F77" i="36"/>
  <c r="F74" i="36"/>
  <c r="F73" i="36"/>
  <c r="F75" i="36"/>
  <c r="H19" i="35"/>
  <c r="J17" i="34"/>
  <c r="D18" i="35"/>
  <c r="Q16" i="33"/>
  <c r="C2" i="22"/>
  <c r="C2" i="25"/>
  <c r="C2" i="26"/>
  <c r="C2" i="19"/>
  <c r="G264" i="33" l="1"/>
  <c r="H255" i="33" s="1"/>
  <c r="H256" i="33" s="1"/>
  <c r="G262" i="33"/>
  <c r="G265" i="33" s="1"/>
  <c r="G307" i="33"/>
  <c r="G304" i="33" s="1"/>
  <c r="G290" i="33"/>
  <c r="G309" i="33" s="1"/>
  <c r="G310" i="33" s="1"/>
  <c r="O25" i="42"/>
  <c r="O27" i="42" s="1"/>
  <c r="G45" i="34" s="1"/>
  <c r="H305" i="33"/>
  <c r="X46" i="35"/>
  <c r="AH24" i="35" s="1"/>
  <c r="X70" i="35"/>
  <c r="X74" i="35" s="1"/>
  <c r="BW15" i="35" s="1"/>
  <c r="I181" i="33"/>
  <c r="J172" i="33" s="1"/>
  <c r="J190" i="33" s="1"/>
  <c r="I173" i="33"/>
  <c r="I179" i="33" s="1"/>
  <c r="I182" i="33" s="1"/>
  <c r="I190" i="33"/>
  <c r="W528" i="26"/>
  <c r="X34" i="35"/>
  <c r="AD24" i="35" s="1"/>
  <c r="F318" i="33"/>
  <c r="F347" i="33"/>
  <c r="F348" i="33" s="1"/>
  <c r="I281" i="33"/>
  <c r="J272" i="33" s="1"/>
  <c r="J273" i="33" s="1"/>
  <c r="P368" i="33"/>
  <c r="I279" i="33"/>
  <c r="I282" i="33" s="1"/>
  <c r="L446" i="33"/>
  <c r="K447" i="33"/>
  <c r="K448" i="33" s="1"/>
  <c r="O287" i="33"/>
  <c r="M219" i="33"/>
  <c r="M220" i="33" s="1"/>
  <c r="M223" i="33" s="1"/>
  <c r="N210" i="33"/>
  <c r="T442" i="33"/>
  <c r="S451" i="33"/>
  <c r="O445" i="33"/>
  <c r="P443" i="33"/>
  <c r="L338" i="33"/>
  <c r="L340" i="33"/>
  <c r="M338" i="33"/>
  <c r="X327" i="33"/>
  <c r="W336" i="33"/>
  <c r="O328" i="33"/>
  <c r="N330" i="33"/>
  <c r="N335" i="33"/>
  <c r="N337" i="33" s="1"/>
  <c r="N340" i="33" s="1"/>
  <c r="M332" i="33"/>
  <c r="M333" i="33" s="1"/>
  <c r="AK118" i="33"/>
  <c r="D101" i="33"/>
  <c r="D108" i="33" s="1"/>
  <c r="H126" i="34"/>
  <c r="M17" i="34"/>
  <c r="Q17" i="33"/>
  <c r="Q15" i="33"/>
  <c r="Q14" i="33"/>
  <c r="Q12" i="33"/>
  <c r="Q11" i="33"/>
  <c r="Q10" i="33"/>
  <c r="Q9" i="33"/>
  <c r="Q8" i="33"/>
  <c r="Q7" i="33"/>
  <c r="Q13" i="33"/>
  <c r="Q6" i="33"/>
  <c r="Q5" i="33"/>
  <c r="Q4" i="33"/>
  <c r="Q3" i="33"/>
  <c r="F95" i="34" l="1"/>
  <c r="J95" i="34" s="1"/>
  <c r="E109" i="34" s="1"/>
  <c r="BK11" i="35" s="1"/>
  <c r="G53" i="34"/>
  <c r="G311" i="33"/>
  <c r="P122" i="34"/>
  <c r="K95" i="34"/>
  <c r="K99" i="34" s="1"/>
  <c r="K104" i="34" s="1"/>
  <c r="J173" i="33"/>
  <c r="J176" i="33"/>
  <c r="K177" i="33" s="1"/>
  <c r="J276" i="33"/>
  <c r="K277" i="33" s="1"/>
  <c r="J306" i="33"/>
  <c r="Q368" i="33"/>
  <c r="M446" i="33"/>
  <c r="L447" i="33"/>
  <c r="L448" i="33" s="1"/>
  <c r="N219" i="33"/>
  <c r="N220" i="33" s="1"/>
  <c r="N223" i="33" s="1"/>
  <c r="O210" i="33"/>
  <c r="P287" i="33"/>
  <c r="T451" i="33"/>
  <c r="U442" i="33"/>
  <c r="P445" i="33"/>
  <c r="Q443" i="33"/>
  <c r="D339" i="33"/>
  <c r="T339" i="33"/>
  <c r="W339" i="33"/>
  <c r="G222" i="33"/>
  <c r="G224" i="33" s="1"/>
  <c r="G225" i="33" s="1"/>
  <c r="G226" i="33" s="1"/>
  <c r="M222" i="33"/>
  <c r="U339" i="33"/>
  <c r="N339" i="33"/>
  <c r="N341" i="33" s="1"/>
  <c r="N342" i="33" s="1"/>
  <c r="N343" i="33" s="1"/>
  <c r="K339" i="33"/>
  <c r="F339" i="33"/>
  <c r="J339" i="33"/>
  <c r="E339" i="33"/>
  <c r="K222" i="33"/>
  <c r="Q222" i="33"/>
  <c r="H222" i="33"/>
  <c r="H224" i="33" s="1"/>
  <c r="H225" i="33" s="1"/>
  <c r="H226" i="33" s="1"/>
  <c r="O339" i="33"/>
  <c r="S339" i="33"/>
  <c r="V339" i="33"/>
  <c r="R339" i="33"/>
  <c r="T222" i="33"/>
  <c r="N222" i="33"/>
  <c r="S222" i="33"/>
  <c r="P339" i="33"/>
  <c r="G339" i="33"/>
  <c r="O222" i="33"/>
  <c r="U222" i="33"/>
  <c r="F222" i="33"/>
  <c r="F224" i="33" s="1"/>
  <c r="F225" i="33" s="1"/>
  <c r="F226" i="33" s="1"/>
  <c r="M339" i="33"/>
  <c r="M341" i="33" s="1"/>
  <c r="M342" i="33" s="1"/>
  <c r="M343" i="33" s="1"/>
  <c r="W222" i="33"/>
  <c r="R222" i="33"/>
  <c r="I339" i="33"/>
  <c r="J222" i="33"/>
  <c r="Q339" i="33"/>
  <c r="V222" i="33"/>
  <c r="H339" i="33"/>
  <c r="L222" i="33"/>
  <c r="P222" i="33"/>
  <c r="E222" i="33"/>
  <c r="E224" i="33" s="1"/>
  <c r="E225" i="33" s="1"/>
  <c r="E226" i="33" s="1"/>
  <c r="I222" i="33"/>
  <c r="I224" i="33" s="1"/>
  <c r="I225" i="33" s="1"/>
  <c r="I226" i="33" s="1"/>
  <c r="L339" i="33"/>
  <c r="L341" i="33" s="1"/>
  <c r="L342" i="33" s="1"/>
  <c r="L343" i="33" s="1"/>
  <c r="U112" i="33"/>
  <c r="J112" i="33"/>
  <c r="W112" i="33"/>
  <c r="R112" i="33"/>
  <c r="L112" i="33"/>
  <c r="G112" i="33"/>
  <c r="M112" i="33"/>
  <c r="S112" i="33"/>
  <c r="N112" i="33"/>
  <c r="H112" i="33"/>
  <c r="P112" i="33"/>
  <c r="T112" i="33"/>
  <c r="F112" i="33"/>
  <c r="D112" i="33"/>
  <c r="O112" i="33"/>
  <c r="I112" i="33"/>
  <c r="Q112" i="33"/>
  <c r="V112" i="33"/>
  <c r="K112" i="33"/>
  <c r="N338" i="33"/>
  <c r="X336" i="33"/>
  <c r="Y327" i="33"/>
  <c r="O330" i="33"/>
  <c r="O332" i="33" s="1"/>
  <c r="O333" i="33" s="1"/>
  <c r="P328" i="33"/>
  <c r="O335" i="33"/>
  <c r="O337" i="33" s="1"/>
  <c r="O340" i="33" s="1"/>
  <c r="N332" i="33"/>
  <c r="N333" i="33" s="1"/>
  <c r="E112" i="33"/>
  <c r="D110" i="33"/>
  <c r="D21" i="35"/>
  <c r="E104" i="33"/>
  <c r="E101" i="33"/>
  <c r="D103" i="33"/>
  <c r="L95" i="34" l="1"/>
  <c r="H260" i="33"/>
  <c r="H259" i="33" s="1"/>
  <c r="J179" i="33"/>
  <c r="J182" i="33" s="1"/>
  <c r="J181" i="33"/>
  <c r="K172" i="33" s="1"/>
  <c r="K176" i="33" s="1"/>
  <c r="L177" i="33" s="1"/>
  <c r="F104" i="33"/>
  <c r="G104" i="33" s="1"/>
  <c r="H104" i="33" s="1"/>
  <c r="I104" i="33" s="1"/>
  <c r="J104" i="33" s="1"/>
  <c r="K104" i="33" s="1"/>
  <c r="L104" i="33" s="1"/>
  <c r="M104" i="33" s="1"/>
  <c r="N104" i="33" s="1"/>
  <c r="O104" i="33" s="1"/>
  <c r="P104" i="33" s="1"/>
  <c r="Q104" i="33" s="1"/>
  <c r="R104" i="33" s="1"/>
  <c r="S104" i="33" s="1"/>
  <c r="T104" i="33" s="1"/>
  <c r="U104" i="33" s="1"/>
  <c r="V104" i="33" s="1"/>
  <c r="W104" i="33" s="1"/>
  <c r="X104" i="33" s="1"/>
  <c r="Y104" i="33" s="1"/>
  <c r="Z104" i="33" s="1"/>
  <c r="AA104" i="33" s="1"/>
  <c r="AB104" i="33" s="1"/>
  <c r="AC104" i="33" s="1"/>
  <c r="AD104" i="33" s="1"/>
  <c r="AE104" i="33" s="1"/>
  <c r="AF104" i="33" s="1"/>
  <c r="C478" i="33"/>
  <c r="F478" i="33" s="1"/>
  <c r="BS36" i="35"/>
  <c r="BS38" i="35" s="1"/>
  <c r="D113" i="33"/>
  <c r="D111" i="33"/>
  <c r="J279" i="33"/>
  <c r="J282" i="33" s="1"/>
  <c r="J281" i="33"/>
  <c r="K272" i="33" s="1"/>
  <c r="K306" i="33" s="1"/>
  <c r="R368" i="33"/>
  <c r="N446" i="33"/>
  <c r="M447" i="33"/>
  <c r="M448" i="33" s="1"/>
  <c r="L344" i="33"/>
  <c r="L345" i="33" s="1"/>
  <c r="O341" i="33"/>
  <c r="O342" i="33" s="1"/>
  <c r="O343" i="33" s="1"/>
  <c r="O219" i="33"/>
  <c r="O220" i="33" s="1"/>
  <c r="O223" i="33" s="1"/>
  <c r="P210" i="33"/>
  <c r="Q287" i="33"/>
  <c r="R443" i="33"/>
  <c r="Q445" i="33"/>
  <c r="V442" i="33"/>
  <c r="U451" i="33"/>
  <c r="F341" i="33"/>
  <c r="F342" i="33" s="1"/>
  <c r="F343" i="33" s="1"/>
  <c r="F344" i="33"/>
  <c r="D227" i="33"/>
  <c r="D224" i="33"/>
  <c r="D225" i="33" s="1"/>
  <c r="D226" i="33" s="1"/>
  <c r="D344" i="33"/>
  <c r="AI339" i="33"/>
  <c r="D341" i="33"/>
  <c r="D342" i="33" s="1"/>
  <c r="D343" i="33" s="1"/>
  <c r="K344" i="33"/>
  <c r="K341" i="33"/>
  <c r="K342" i="33" s="1"/>
  <c r="K343" i="33" s="1"/>
  <c r="I341" i="33"/>
  <c r="I342" i="33" s="1"/>
  <c r="I343" i="33" s="1"/>
  <c r="I344" i="33"/>
  <c r="N344" i="33"/>
  <c r="N349" i="33" s="1"/>
  <c r="G341" i="33"/>
  <c r="G342" i="33" s="1"/>
  <c r="G343" i="33" s="1"/>
  <c r="G344" i="33"/>
  <c r="M344" i="33"/>
  <c r="J341" i="33"/>
  <c r="J342" i="33" s="1"/>
  <c r="J343" i="33" s="1"/>
  <c r="J344" i="33"/>
  <c r="H341" i="33"/>
  <c r="H342" i="33" s="1"/>
  <c r="H343" i="33" s="1"/>
  <c r="H344" i="33"/>
  <c r="E344" i="33"/>
  <c r="E341" i="33"/>
  <c r="E342" i="33" s="1"/>
  <c r="E343" i="33" s="1"/>
  <c r="O338" i="33"/>
  <c r="O344" i="33"/>
  <c r="O349" i="33" s="1"/>
  <c r="Z327" i="33"/>
  <c r="Y336" i="33"/>
  <c r="P330" i="33"/>
  <c r="Q328" i="33"/>
  <c r="P335" i="33"/>
  <c r="P337" i="33" s="1"/>
  <c r="P340" i="33" s="1"/>
  <c r="P341" i="33" s="1"/>
  <c r="P342" i="33" s="1"/>
  <c r="P343" i="33" s="1"/>
  <c r="AI222" i="33"/>
  <c r="E213" i="33"/>
  <c r="E108" i="33"/>
  <c r="E103" i="33"/>
  <c r="E100" i="33"/>
  <c r="E109" i="33" s="1"/>
  <c r="AI112" i="33"/>
  <c r="F101" i="33"/>
  <c r="H264" i="33" l="1"/>
  <c r="I255" i="33" s="1"/>
  <c r="H262" i="33"/>
  <c r="H265" i="33" s="1"/>
  <c r="K181" i="33"/>
  <c r="L172" i="33" s="1"/>
  <c r="L190" i="33" s="1"/>
  <c r="K173" i="33"/>
  <c r="K179" i="33" s="1"/>
  <c r="K182" i="33" s="1"/>
  <c r="K190" i="33"/>
  <c r="E110" i="33"/>
  <c r="E113" i="33" s="1"/>
  <c r="AR24" i="35"/>
  <c r="BS39" i="35"/>
  <c r="AG104" i="33"/>
  <c r="AI104" i="33" s="1"/>
  <c r="C479" i="33"/>
  <c r="M465" i="33" s="1"/>
  <c r="E494" i="33"/>
  <c r="AN449" i="33"/>
  <c r="AN107" i="33"/>
  <c r="K273" i="33"/>
  <c r="K276" i="33"/>
  <c r="L277" i="33" s="1"/>
  <c r="S368" i="33"/>
  <c r="L349" i="33"/>
  <c r="O446" i="33"/>
  <c r="N447" i="33"/>
  <c r="N448" i="33" s="1"/>
  <c r="N345" i="33"/>
  <c r="R287" i="33"/>
  <c r="P219" i="33"/>
  <c r="P220" i="33" s="1"/>
  <c r="P223" i="33" s="1"/>
  <c r="Q210" i="33"/>
  <c r="W442" i="33"/>
  <c r="V451" i="33"/>
  <c r="R445" i="33"/>
  <c r="S443" i="33"/>
  <c r="I349" i="33"/>
  <c r="I345" i="33"/>
  <c r="E349" i="33"/>
  <c r="E350" i="33" s="1"/>
  <c r="E351" i="33" s="1"/>
  <c r="E345" i="33"/>
  <c r="K349" i="33"/>
  <c r="K345" i="33"/>
  <c r="J345" i="33"/>
  <c r="J349" i="33"/>
  <c r="D349" i="33"/>
  <c r="D350" i="33" s="1"/>
  <c r="D351" i="33" s="1"/>
  <c r="D345" i="33"/>
  <c r="M345" i="33"/>
  <c r="M349" i="33"/>
  <c r="D228" i="33"/>
  <c r="D232" i="33"/>
  <c r="D233" i="33" s="1"/>
  <c r="D234" i="33" s="1"/>
  <c r="H345" i="33"/>
  <c r="H349" i="33"/>
  <c r="G345" i="33"/>
  <c r="G349" i="33"/>
  <c r="F349" i="33"/>
  <c r="F350" i="33" s="1"/>
  <c r="F351" i="33" s="1"/>
  <c r="F345" i="33"/>
  <c r="O345" i="33"/>
  <c r="P338" i="33"/>
  <c r="AA327" i="33"/>
  <c r="Z336" i="33"/>
  <c r="Q330" i="33"/>
  <c r="Q332" i="33" s="1"/>
  <c r="Q333" i="33" s="1"/>
  <c r="R328" i="33"/>
  <c r="Q335" i="33"/>
  <c r="Q337" i="33" s="1"/>
  <c r="Q340" i="33" s="1"/>
  <c r="Q341" i="33" s="1"/>
  <c r="Q342" i="33" s="1"/>
  <c r="Q343" i="33" s="1"/>
  <c r="P332" i="33"/>
  <c r="F213" i="33"/>
  <c r="E221" i="33"/>
  <c r="E215" i="33"/>
  <c r="G101" i="33"/>
  <c r="F108" i="33"/>
  <c r="D105" i="33"/>
  <c r="F100" i="33"/>
  <c r="F103" i="33"/>
  <c r="I256" i="33" l="1"/>
  <c r="I305" i="33"/>
  <c r="L173" i="33"/>
  <c r="L176" i="33"/>
  <c r="M177" i="33" s="1"/>
  <c r="H465" i="33"/>
  <c r="G465" i="33"/>
  <c r="L465" i="33"/>
  <c r="I465" i="33"/>
  <c r="N465" i="33"/>
  <c r="F465" i="33"/>
  <c r="K465" i="33"/>
  <c r="E465" i="33"/>
  <c r="D465" i="33"/>
  <c r="J465" i="33"/>
  <c r="P344" i="33"/>
  <c r="P349" i="33" s="1"/>
  <c r="P333" i="33"/>
  <c r="E227" i="33"/>
  <c r="E228" i="33" s="1"/>
  <c r="E216" i="33"/>
  <c r="D117" i="33"/>
  <c r="D106" i="33"/>
  <c r="K279" i="33"/>
  <c r="K282" i="33" s="1"/>
  <c r="K281" i="33"/>
  <c r="L272" i="33" s="1"/>
  <c r="L276" i="33" s="1"/>
  <c r="M277" i="33" s="1"/>
  <c r="T368" i="33"/>
  <c r="P446" i="33"/>
  <c r="O447" i="33"/>
  <c r="O448" i="33" s="1"/>
  <c r="O465" i="33" s="1"/>
  <c r="Q219" i="33"/>
  <c r="Q220" i="33" s="1"/>
  <c r="Q223" i="33" s="1"/>
  <c r="R210" i="33"/>
  <c r="S287" i="33"/>
  <c r="X442" i="33"/>
  <c r="W451" i="33"/>
  <c r="T443" i="33"/>
  <c r="S445" i="33"/>
  <c r="Q338" i="33"/>
  <c r="I260" i="33"/>
  <c r="I259" i="33" s="1"/>
  <c r="I264" i="33" s="1"/>
  <c r="J255" i="33" s="1"/>
  <c r="Q344" i="33"/>
  <c r="AA336" i="33"/>
  <c r="AB327" i="33"/>
  <c r="R330" i="33"/>
  <c r="S328" i="33"/>
  <c r="R335" i="33"/>
  <c r="R337" i="33" s="1"/>
  <c r="R340" i="33" s="1"/>
  <c r="R341" i="33" s="1"/>
  <c r="R342" i="33" s="1"/>
  <c r="R343" i="33" s="1"/>
  <c r="G213" i="33"/>
  <c r="F221" i="33"/>
  <c r="F215" i="33"/>
  <c r="G103" i="33"/>
  <c r="G108" i="33"/>
  <c r="G100" i="33"/>
  <c r="G109" i="33" s="1"/>
  <c r="F109" i="33"/>
  <c r="F110" i="33" s="1"/>
  <c r="F113" i="33" s="1"/>
  <c r="E105" i="33"/>
  <c r="H101" i="33"/>
  <c r="I262" i="33" l="1"/>
  <c r="I265" i="33" s="1"/>
  <c r="L181" i="33"/>
  <c r="M172" i="33" s="1"/>
  <c r="M190" i="33" s="1"/>
  <c r="L179" i="33"/>
  <c r="L182" i="33" s="1"/>
  <c r="L306" i="33"/>
  <c r="E232" i="33"/>
  <c r="P345" i="33"/>
  <c r="L281" i="33"/>
  <c r="M272" i="33" s="1"/>
  <c r="M276" i="33" s="1"/>
  <c r="N277" i="33" s="1"/>
  <c r="F227" i="33"/>
  <c r="F228" i="33" s="1"/>
  <c r="F216" i="33"/>
  <c r="E117" i="33"/>
  <c r="E106" i="33"/>
  <c r="L273" i="33"/>
  <c r="L279" i="33" s="1"/>
  <c r="L282" i="33" s="1"/>
  <c r="U368" i="33"/>
  <c r="Q446" i="33"/>
  <c r="P447" i="33"/>
  <c r="P448" i="33" s="1"/>
  <c r="P465" i="33" s="1"/>
  <c r="Q349" i="33"/>
  <c r="R219" i="33"/>
  <c r="R220" i="33" s="1"/>
  <c r="R223" i="33" s="1"/>
  <c r="S210" i="33"/>
  <c r="T287" i="33"/>
  <c r="X451" i="33"/>
  <c r="Y442" i="33"/>
  <c r="T445" i="33"/>
  <c r="U443" i="33"/>
  <c r="G110" i="33"/>
  <c r="G113" i="33" s="1"/>
  <c r="R338" i="33"/>
  <c r="Q345" i="33"/>
  <c r="AC327" i="33"/>
  <c r="AB336" i="33"/>
  <c r="J256" i="33"/>
  <c r="R332" i="33"/>
  <c r="T328" i="33"/>
  <c r="S330" i="33"/>
  <c r="S332" i="33" s="1"/>
  <c r="S333" i="33" s="1"/>
  <c r="S335" i="33"/>
  <c r="S337" i="33" s="1"/>
  <c r="S340" i="33" s="1"/>
  <c r="S341" i="33" s="1"/>
  <c r="S342" i="33" s="1"/>
  <c r="S343" i="33" s="1"/>
  <c r="H213" i="33"/>
  <c r="G221" i="33"/>
  <c r="G215" i="33"/>
  <c r="H108" i="33"/>
  <c r="H100" i="33"/>
  <c r="H109" i="33" s="1"/>
  <c r="F105" i="33"/>
  <c r="H103" i="33"/>
  <c r="I101" i="33"/>
  <c r="M176" i="33" l="1"/>
  <c r="N177" i="33" s="1"/>
  <c r="M173" i="33"/>
  <c r="M273" i="33"/>
  <c r="M279" i="33" s="1"/>
  <c r="M282" i="33" s="1"/>
  <c r="M306" i="33"/>
  <c r="F232" i="33"/>
  <c r="M281" i="33"/>
  <c r="N272" i="33" s="1"/>
  <c r="N276" i="33" s="1"/>
  <c r="N281" i="33" s="1"/>
  <c r="O272" i="33" s="1"/>
  <c r="O273" i="33" s="1"/>
  <c r="R344" i="33"/>
  <c r="R349" i="33" s="1"/>
  <c r="R333" i="33"/>
  <c r="G227" i="33"/>
  <c r="G228" i="33" s="1"/>
  <c r="G216" i="33"/>
  <c r="F117" i="33"/>
  <c r="F106" i="33"/>
  <c r="V368" i="33"/>
  <c r="W368" i="33" s="1"/>
  <c r="X368" i="33" s="1"/>
  <c r="Y368" i="33" s="1"/>
  <c r="Z368" i="33" s="1"/>
  <c r="AA368" i="33" s="1"/>
  <c r="AB368" i="33" s="1"/>
  <c r="AC368" i="33" s="1"/>
  <c r="AD368" i="33" s="1"/>
  <c r="AE368" i="33" s="1"/>
  <c r="AF368" i="33" s="1"/>
  <c r="AG368" i="33" s="1"/>
  <c r="AH368" i="33" s="1"/>
  <c r="R446" i="33"/>
  <c r="Q447" i="33"/>
  <c r="Q448" i="33" s="1"/>
  <c r="Q465" i="33" s="1"/>
  <c r="S219" i="33"/>
  <c r="S220" i="33" s="1"/>
  <c r="S223" i="33" s="1"/>
  <c r="T210" i="33"/>
  <c r="U287" i="33"/>
  <c r="Y451" i="33"/>
  <c r="Z442" i="33"/>
  <c r="U445" i="33"/>
  <c r="V443" i="33"/>
  <c r="H110" i="33"/>
  <c r="H113" i="33" s="1"/>
  <c r="S338" i="33"/>
  <c r="J305" i="33"/>
  <c r="AC336" i="33"/>
  <c r="AD327" i="33"/>
  <c r="S344" i="33"/>
  <c r="T330" i="33"/>
  <c r="U328" i="33"/>
  <c r="T335" i="33"/>
  <c r="T337" i="33" s="1"/>
  <c r="T340" i="33" s="1"/>
  <c r="T341" i="33" s="1"/>
  <c r="T342" i="33" s="1"/>
  <c r="T343" i="33" s="1"/>
  <c r="H221" i="33"/>
  <c r="H215" i="33"/>
  <c r="I213" i="33"/>
  <c r="I108" i="33"/>
  <c r="I100" i="33"/>
  <c r="I109" i="33" s="1"/>
  <c r="G105" i="33"/>
  <c r="J101" i="33"/>
  <c r="I103" i="33"/>
  <c r="M181" i="33" l="1"/>
  <c r="N172" i="33" s="1"/>
  <c r="N176" i="33" s="1"/>
  <c r="O177" i="33" s="1"/>
  <c r="M179" i="33"/>
  <c r="M182" i="33" s="1"/>
  <c r="O277" i="33"/>
  <c r="O276" i="33" s="1"/>
  <c r="P277" i="33" s="1"/>
  <c r="N306" i="33"/>
  <c r="N273" i="33"/>
  <c r="N279" i="33" s="1"/>
  <c r="N282" i="33" s="1"/>
  <c r="R345" i="33"/>
  <c r="O306" i="33"/>
  <c r="G232" i="33"/>
  <c r="H227" i="33"/>
  <c r="H232" i="33" s="1"/>
  <c r="H216" i="33"/>
  <c r="G117" i="33"/>
  <c r="G106" i="33"/>
  <c r="N181" i="33"/>
  <c r="O172" i="33" s="1"/>
  <c r="O173" i="33" s="1"/>
  <c r="S446" i="33"/>
  <c r="R447" i="33"/>
  <c r="R448" i="33" s="1"/>
  <c r="R465" i="33" s="1"/>
  <c r="T219" i="33"/>
  <c r="T220" i="33" s="1"/>
  <c r="T223" i="33" s="1"/>
  <c r="U210" i="33"/>
  <c r="V287" i="33"/>
  <c r="Z451" i="33"/>
  <c r="AA442" i="33"/>
  <c r="V445" i="33"/>
  <c r="W443" i="33"/>
  <c r="I110" i="33"/>
  <c r="I113" i="33" s="1"/>
  <c r="T338" i="33"/>
  <c r="J260" i="33"/>
  <c r="J259" i="33" s="1"/>
  <c r="J262" i="33" s="1"/>
  <c r="J265" i="33" s="1"/>
  <c r="AE327" i="33"/>
  <c r="AD336" i="33"/>
  <c r="S349" i="33"/>
  <c r="S345" i="33"/>
  <c r="V328" i="33"/>
  <c r="U330" i="33"/>
  <c r="U335" i="33"/>
  <c r="U337" i="33" s="1"/>
  <c r="U340" i="33" s="1"/>
  <c r="U341" i="33" s="1"/>
  <c r="U342" i="33" s="1"/>
  <c r="U343" i="33" s="1"/>
  <c r="T332" i="33"/>
  <c r="J213" i="33"/>
  <c r="J224" i="33"/>
  <c r="J225" i="33" s="1"/>
  <c r="J226" i="33" s="1"/>
  <c r="I221" i="33"/>
  <c r="I215" i="33"/>
  <c r="J108" i="33"/>
  <c r="J100" i="33"/>
  <c r="J109" i="33" s="1"/>
  <c r="J103" i="33"/>
  <c r="H105" i="33"/>
  <c r="K101" i="33"/>
  <c r="J264" i="33" l="1"/>
  <c r="K255" i="33" s="1"/>
  <c r="K305" i="33" s="1"/>
  <c r="N173" i="33"/>
  <c r="N179" i="33" s="1"/>
  <c r="N182" i="33" s="1"/>
  <c r="N190" i="33"/>
  <c r="O190" i="33"/>
  <c r="H228" i="33"/>
  <c r="T344" i="33"/>
  <c r="T349" i="33" s="1"/>
  <c r="T333" i="33"/>
  <c r="I227" i="33"/>
  <c r="I232" i="33" s="1"/>
  <c r="I216" i="33"/>
  <c r="H117" i="33"/>
  <c r="H106" i="33"/>
  <c r="O176" i="33"/>
  <c r="O181" i="33" s="1"/>
  <c r="P172" i="33" s="1"/>
  <c r="P190" i="33" s="1"/>
  <c r="O281" i="33"/>
  <c r="P272" i="33" s="1"/>
  <c r="P273" i="33" s="1"/>
  <c r="O279" i="33"/>
  <c r="O282" i="33" s="1"/>
  <c r="T446" i="33"/>
  <c r="S447" i="33"/>
  <c r="S448" i="33" s="1"/>
  <c r="S465" i="33" s="1"/>
  <c r="U219" i="33"/>
  <c r="U220" i="33" s="1"/>
  <c r="U223" i="33" s="1"/>
  <c r="V210" i="33"/>
  <c r="W287" i="33"/>
  <c r="X443" i="33"/>
  <c r="W445" i="33"/>
  <c r="AB442" i="33"/>
  <c r="AA451" i="33"/>
  <c r="J110" i="33"/>
  <c r="J113" i="33" s="1"/>
  <c r="U338" i="33"/>
  <c r="AF327" i="33"/>
  <c r="AE336" i="33"/>
  <c r="W328" i="33"/>
  <c r="V330" i="33"/>
  <c r="V335" i="33"/>
  <c r="V337" i="33" s="1"/>
  <c r="V340" i="33" s="1"/>
  <c r="V341" i="33" s="1"/>
  <c r="V342" i="33" s="1"/>
  <c r="V343" i="33" s="1"/>
  <c r="U332" i="33"/>
  <c r="K213" i="33"/>
  <c r="K224" i="33"/>
  <c r="K225" i="33" s="1"/>
  <c r="K226" i="33" s="1"/>
  <c r="J221" i="33"/>
  <c r="J215" i="33"/>
  <c r="K108" i="33"/>
  <c r="K100" i="33"/>
  <c r="K109" i="33" s="1"/>
  <c r="K103" i="33"/>
  <c r="L101" i="33"/>
  <c r="I105" i="33"/>
  <c r="K256" i="33" l="1"/>
  <c r="I228" i="33"/>
  <c r="T345" i="33"/>
  <c r="O179" i="33"/>
  <c r="O182" i="33" s="1"/>
  <c r="P177" i="33"/>
  <c r="P176" i="33" s="1"/>
  <c r="Q177" i="33" s="1"/>
  <c r="U344" i="33"/>
  <c r="U349" i="33" s="1"/>
  <c r="U333" i="33"/>
  <c r="J227" i="33"/>
  <c r="J232" i="33" s="1"/>
  <c r="J216" i="33"/>
  <c r="I117" i="33"/>
  <c r="I106" i="33"/>
  <c r="P276" i="33"/>
  <c r="Q277" i="33" s="1"/>
  <c r="P306" i="33"/>
  <c r="U446" i="33"/>
  <c r="T447" i="33"/>
  <c r="T448" i="33" s="1"/>
  <c r="T465" i="33" s="1"/>
  <c r="X287" i="33"/>
  <c r="V219" i="33"/>
  <c r="V220" i="33" s="1"/>
  <c r="V223" i="33" s="1"/>
  <c r="W210" i="33"/>
  <c r="AB451" i="33"/>
  <c r="AC442" i="33"/>
  <c r="Y443" i="33"/>
  <c r="X445" i="33"/>
  <c r="K110" i="33"/>
  <c r="K113" i="33" s="1"/>
  <c r="V338" i="33"/>
  <c r="AG327" i="33"/>
  <c r="AG336" i="33" s="1"/>
  <c r="AF336" i="33"/>
  <c r="P173" i="33"/>
  <c r="X328" i="33"/>
  <c r="W330" i="33"/>
  <c r="W332" i="33" s="1"/>
  <c r="W333" i="33" s="1"/>
  <c r="W335" i="33"/>
  <c r="W337" i="33" s="1"/>
  <c r="W340" i="33" s="1"/>
  <c r="W341" i="33" s="1"/>
  <c r="W342" i="33" s="1"/>
  <c r="W343" i="33" s="1"/>
  <c r="V332" i="33"/>
  <c r="K221" i="33"/>
  <c r="K215" i="33"/>
  <c r="L224" i="33"/>
  <c r="L225" i="33" s="1"/>
  <c r="L226" i="33" s="1"/>
  <c r="L213" i="33"/>
  <c r="L108" i="33"/>
  <c r="L100" i="33"/>
  <c r="L109" i="33" s="1"/>
  <c r="M101" i="33"/>
  <c r="L103" i="33"/>
  <c r="J105" i="33"/>
  <c r="U345" i="33" l="1"/>
  <c r="J228" i="33"/>
  <c r="V344" i="33"/>
  <c r="V349" i="33" s="1"/>
  <c r="V333" i="33"/>
  <c r="K227" i="33"/>
  <c r="K228" i="33" s="1"/>
  <c r="K216" i="33"/>
  <c r="J117" i="33"/>
  <c r="J106" i="33"/>
  <c r="P281" i="33"/>
  <c r="Q272" i="33" s="1"/>
  <c r="Q306" i="33" s="1"/>
  <c r="P279" i="33"/>
  <c r="P282" i="33" s="1"/>
  <c r="K260" i="33"/>
  <c r="K259" i="33" s="1"/>
  <c r="V446" i="33"/>
  <c r="U447" i="33"/>
  <c r="U448" i="33" s="1"/>
  <c r="U465" i="33" s="1"/>
  <c r="Y287" i="33"/>
  <c r="W219" i="33"/>
  <c r="W220" i="33" s="1"/>
  <c r="W223" i="33" s="1"/>
  <c r="X210" i="33"/>
  <c r="AD442" i="33"/>
  <c r="AC451" i="33"/>
  <c r="Y445" i="33"/>
  <c r="Z443" i="33"/>
  <c r="L110" i="33"/>
  <c r="L113" i="33" s="1"/>
  <c r="W338" i="33"/>
  <c r="W344" i="33"/>
  <c r="AI336" i="33"/>
  <c r="P179" i="33"/>
  <c r="P182" i="33" s="1"/>
  <c r="P181" i="33"/>
  <c r="Q172" i="33" s="1"/>
  <c r="Q173" i="33" s="1"/>
  <c r="Y328" i="33"/>
  <c r="X330" i="33"/>
  <c r="X332" i="33" s="1"/>
  <c r="X333" i="33" s="1"/>
  <c r="X335" i="33"/>
  <c r="X337" i="33" s="1"/>
  <c r="X340" i="33" s="1"/>
  <c r="X341" i="33" s="1"/>
  <c r="X342" i="33" s="1"/>
  <c r="X343" i="33" s="1"/>
  <c r="M213" i="33"/>
  <c r="M224" i="33"/>
  <c r="M225" i="33" s="1"/>
  <c r="M226" i="33" s="1"/>
  <c r="L221" i="33"/>
  <c r="L215" i="33"/>
  <c r="M108" i="33"/>
  <c r="M100" i="33"/>
  <c r="M109" i="33" s="1"/>
  <c r="M103" i="33"/>
  <c r="N101" i="33"/>
  <c r="K105" i="33"/>
  <c r="K264" i="33" l="1"/>
  <c r="L255" i="33" s="1"/>
  <c r="K262" i="33"/>
  <c r="K265" i="33" s="1"/>
  <c r="K232" i="33"/>
  <c r="Q273" i="33"/>
  <c r="Q276" i="33"/>
  <c r="R277" i="33" s="1"/>
  <c r="V345" i="33"/>
  <c r="L227" i="33"/>
  <c r="L228" i="33" s="1"/>
  <c r="L216" i="33"/>
  <c r="K117" i="33"/>
  <c r="K106" i="33"/>
  <c r="W446" i="33"/>
  <c r="V447" i="33"/>
  <c r="V448" i="33" s="1"/>
  <c r="V465" i="33" s="1"/>
  <c r="W349" i="33"/>
  <c r="X219" i="33"/>
  <c r="X220" i="33" s="1"/>
  <c r="X223" i="33" s="1"/>
  <c r="Y210" i="33"/>
  <c r="Z287" i="33"/>
  <c r="AD451" i="33"/>
  <c r="AE442" i="33"/>
  <c r="Z445" i="33"/>
  <c r="AA443" i="33"/>
  <c r="M110" i="33"/>
  <c r="M113" i="33" s="1"/>
  <c r="X338" i="33"/>
  <c r="X344" i="33"/>
  <c r="X349" i="33" s="1"/>
  <c r="W345" i="33"/>
  <c r="Q176" i="33"/>
  <c r="R177" i="33" s="1"/>
  <c r="Q190" i="33"/>
  <c r="Z328" i="33"/>
  <c r="Y330" i="33"/>
  <c r="Y332" i="33" s="1"/>
  <c r="Y333" i="33" s="1"/>
  <c r="Y335" i="33"/>
  <c r="Y337" i="33" s="1"/>
  <c r="Y340" i="33" s="1"/>
  <c r="Y341" i="33" s="1"/>
  <c r="Y342" i="33" s="1"/>
  <c r="Y343" i="33" s="1"/>
  <c r="N213" i="33"/>
  <c r="N224" i="33"/>
  <c r="N225" i="33" s="1"/>
  <c r="N226" i="33" s="1"/>
  <c r="M221" i="33"/>
  <c r="M215" i="33"/>
  <c r="N100" i="33"/>
  <c r="N109" i="33" s="1"/>
  <c r="N108" i="33"/>
  <c r="O101" i="33"/>
  <c r="N103" i="33"/>
  <c r="L105" i="33"/>
  <c r="L305" i="33" l="1"/>
  <c r="L256" i="33"/>
  <c r="Q279" i="33"/>
  <c r="Q282" i="33" s="1"/>
  <c r="Q281" i="33"/>
  <c r="R272" i="33" s="1"/>
  <c r="R273" i="33" s="1"/>
  <c r="L232" i="33"/>
  <c r="M227" i="33"/>
  <c r="M228" i="33" s="1"/>
  <c r="M216" i="33"/>
  <c r="L117" i="33"/>
  <c r="L106" i="33"/>
  <c r="X446" i="33"/>
  <c r="W447" i="33"/>
  <c r="W448" i="33" s="1"/>
  <c r="W465" i="33" s="1"/>
  <c r="AA287" i="33"/>
  <c r="Y219" i="33"/>
  <c r="Y220" i="33" s="1"/>
  <c r="Y223" i="33" s="1"/>
  <c r="Z210" i="33"/>
  <c r="AB443" i="33"/>
  <c r="AA445" i="33"/>
  <c r="AF442" i="33"/>
  <c r="AE451" i="33"/>
  <c r="N110" i="33"/>
  <c r="N113" i="33" s="1"/>
  <c r="Y338" i="33"/>
  <c r="X345" i="33"/>
  <c r="L260" i="33"/>
  <c r="L259" i="33" s="1"/>
  <c r="L264" i="33" s="1"/>
  <c r="M255" i="33" s="1"/>
  <c r="Y344" i="33"/>
  <c r="Y349" i="33" s="1"/>
  <c r="Q179" i="33"/>
  <c r="Q182" i="33" s="1"/>
  <c r="Q181" i="33"/>
  <c r="R172" i="33" s="1"/>
  <c r="R190" i="33" s="1"/>
  <c r="Z330" i="33"/>
  <c r="Z332" i="33" s="1"/>
  <c r="Z333" i="33" s="1"/>
  <c r="AA328" i="33"/>
  <c r="Z335" i="33"/>
  <c r="Z337" i="33" s="1"/>
  <c r="Z340" i="33" s="1"/>
  <c r="Z341" i="33" s="1"/>
  <c r="Z342" i="33" s="1"/>
  <c r="Z343" i="33" s="1"/>
  <c r="O224" i="33"/>
  <c r="O225" i="33" s="1"/>
  <c r="O226" i="33" s="1"/>
  <c r="O213" i="33"/>
  <c r="N221" i="33"/>
  <c r="N215" i="33"/>
  <c r="O100" i="33"/>
  <c r="O109" i="33" s="1"/>
  <c r="O103" i="33"/>
  <c r="O108" i="33"/>
  <c r="P101" i="33"/>
  <c r="M105" i="33"/>
  <c r="L262" i="33" l="1"/>
  <c r="L265" i="33" s="1"/>
  <c r="O110" i="33"/>
  <c r="O113" i="33" s="1"/>
  <c r="R276" i="33"/>
  <c r="R281" i="33" s="1"/>
  <c r="S272" i="33" s="1"/>
  <c r="S306" i="33" s="1"/>
  <c r="R306" i="33"/>
  <c r="M232" i="33"/>
  <c r="N227" i="33"/>
  <c r="N232" i="33" s="1"/>
  <c r="N216" i="33"/>
  <c r="M117" i="33"/>
  <c r="M106" i="33"/>
  <c r="Y446" i="33"/>
  <c r="X447" i="33"/>
  <c r="X448" i="33" s="1"/>
  <c r="X465" i="33" s="1"/>
  <c r="Z219" i="33"/>
  <c r="Z220" i="33" s="1"/>
  <c r="Z223" i="33" s="1"/>
  <c r="AA210" i="33"/>
  <c r="AB287" i="33"/>
  <c r="AF451" i="33"/>
  <c r="AG442" i="33"/>
  <c r="AG451" i="33" s="1"/>
  <c r="AC443" i="33"/>
  <c r="AB445" i="33"/>
  <c r="P100" i="33"/>
  <c r="P109" i="33" s="1"/>
  <c r="Z338" i="33"/>
  <c r="Y345" i="33"/>
  <c r="Z344" i="33"/>
  <c r="Z345" i="33" s="1"/>
  <c r="R173" i="33"/>
  <c r="R176" i="33"/>
  <c r="S177" i="33" s="1"/>
  <c r="AA330" i="33"/>
  <c r="AB328" i="33"/>
  <c r="AA335" i="33"/>
  <c r="AA337" i="33" s="1"/>
  <c r="AA340" i="33" s="1"/>
  <c r="AA341" i="33" s="1"/>
  <c r="AA342" i="33" s="1"/>
  <c r="AA343" i="33" s="1"/>
  <c r="O221" i="33"/>
  <c r="O215" i="33"/>
  <c r="P224" i="33"/>
  <c r="P225" i="33" s="1"/>
  <c r="P226" i="33" s="1"/>
  <c r="P213" i="33"/>
  <c r="Q101" i="33"/>
  <c r="R101" i="33" s="1"/>
  <c r="P108" i="33"/>
  <c r="P103" i="33"/>
  <c r="N105" i="33"/>
  <c r="P110" i="33" l="1"/>
  <c r="P113" i="33" s="1"/>
  <c r="R279" i="33"/>
  <c r="R282" i="33" s="1"/>
  <c r="S277" i="33"/>
  <c r="S276" i="33" s="1"/>
  <c r="T277" i="33" s="1"/>
  <c r="S273" i="33"/>
  <c r="N228" i="33"/>
  <c r="O227" i="33"/>
  <c r="O228" i="33" s="1"/>
  <c r="O216" i="33"/>
  <c r="N117" i="33"/>
  <c r="N106" i="33"/>
  <c r="Z446" i="33"/>
  <c r="Y447" i="33"/>
  <c r="Y448" i="33" s="1"/>
  <c r="Y465" i="33" s="1"/>
  <c r="AC287" i="33"/>
  <c r="Q100" i="33"/>
  <c r="Q109" i="33" s="1"/>
  <c r="AA219" i="33"/>
  <c r="AA220" i="33" s="1"/>
  <c r="AA223" i="33" s="1"/>
  <c r="AB210" i="33"/>
  <c r="AD443" i="33"/>
  <c r="AC445" i="33"/>
  <c r="AI451" i="33"/>
  <c r="AA338" i="33"/>
  <c r="Z349" i="33"/>
  <c r="M256" i="33"/>
  <c r="M305" i="33"/>
  <c r="R181" i="33"/>
  <c r="S172" i="33" s="1"/>
  <c r="S173" i="33" s="1"/>
  <c r="R179" i="33"/>
  <c r="R182" i="33" s="1"/>
  <c r="AA332" i="33"/>
  <c r="AB330" i="33"/>
  <c r="AC328" i="33"/>
  <c r="AB335" i="33"/>
  <c r="AB337" i="33" s="1"/>
  <c r="AB340" i="33" s="1"/>
  <c r="AB341" i="33" s="1"/>
  <c r="AB342" i="33" s="1"/>
  <c r="AB343" i="33" s="1"/>
  <c r="Q103" i="33"/>
  <c r="P221" i="33"/>
  <c r="P215" i="33"/>
  <c r="Q213" i="33"/>
  <c r="Q224" i="33"/>
  <c r="Q225" i="33" s="1"/>
  <c r="Q226" i="33" s="1"/>
  <c r="R108" i="33"/>
  <c r="Q108" i="33"/>
  <c r="O105" i="33"/>
  <c r="S101" i="33"/>
  <c r="R103" i="33"/>
  <c r="S279" i="33" l="1"/>
  <c r="S282" i="33" s="1"/>
  <c r="S281" i="33"/>
  <c r="T272" i="33" s="1"/>
  <c r="T273" i="33" s="1"/>
  <c r="Q110" i="33"/>
  <c r="Q113" i="33" s="1"/>
  <c r="O232" i="33"/>
  <c r="AA344" i="33"/>
  <c r="AA345" i="33" s="1"/>
  <c r="AA333" i="33"/>
  <c r="P227" i="33"/>
  <c r="P228" i="33" s="1"/>
  <c r="P216" i="33"/>
  <c r="O117" i="33"/>
  <c r="O106" i="33"/>
  <c r="T306" i="33"/>
  <c r="T276" i="33"/>
  <c r="U277" i="33" s="1"/>
  <c r="AA446" i="33"/>
  <c r="Z447" i="33"/>
  <c r="Z448" i="33" s="1"/>
  <c r="Z465" i="33" s="1"/>
  <c r="AB219" i="33"/>
  <c r="AB220" i="33" s="1"/>
  <c r="AB223" i="33" s="1"/>
  <c r="AC210" i="33"/>
  <c r="R100" i="33"/>
  <c r="R109" i="33" s="1"/>
  <c r="R110" i="33" s="1"/>
  <c r="R113" i="33" s="1"/>
  <c r="AD287" i="33"/>
  <c r="AD445" i="33"/>
  <c r="AE443" i="33"/>
  <c r="AB338" i="33"/>
  <c r="S190" i="33"/>
  <c r="S176" i="33"/>
  <c r="T177" i="33" s="1"/>
  <c r="AB332" i="33"/>
  <c r="AD328" i="33"/>
  <c r="AC330" i="33"/>
  <c r="AC335" i="33"/>
  <c r="AC337" i="33" s="1"/>
  <c r="AC340" i="33" s="1"/>
  <c r="AC341" i="33" s="1"/>
  <c r="AC342" i="33" s="1"/>
  <c r="AC343" i="33" s="1"/>
  <c r="Q221" i="33"/>
  <c r="Q215" i="33"/>
  <c r="R224" i="33"/>
  <c r="R225" i="33" s="1"/>
  <c r="R226" i="33" s="1"/>
  <c r="R213" i="33"/>
  <c r="S108" i="33"/>
  <c r="P105" i="33"/>
  <c r="T101" i="33"/>
  <c r="S103" i="33"/>
  <c r="P232" i="33" l="1"/>
  <c r="AA349" i="33"/>
  <c r="T279" i="33"/>
  <c r="T282" i="33" s="1"/>
  <c r="AB344" i="33"/>
  <c r="AB349" i="33" s="1"/>
  <c r="AB333" i="33"/>
  <c r="Q227" i="33"/>
  <c r="Q228" i="33" s="1"/>
  <c r="Q216" i="33"/>
  <c r="P117" i="33"/>
  <c r="P106" i="33"/>
  <c r="T281" i="33"/>
  <c r="U272" i="33" s="1"/>
  <c r="U273" i="33" s="1"/>
  <c r="AB446" i="33"/>
  <c r="AA447" i="33"/>
  <c r="AA448" i="33" s="1"/>
  <c r="AA465" i="33" s="1"/>
  <c r="S100" i="33"/>
  <c r="S109" i="33" s="1"/>
  <c r="S110" i="33" s="1"/>
  <c r="S113" i="33" s="1"/>
  <c r="AC219" i="33"/>
  <c r="AC220" i="33" s="1"/>
  <c r="AC223" i="33" s="1"/>
  <c r="AD210" i="33"/>
  <c r="AE287" i="33"/>
  <c r="AF443" i="33"/>
  <c r="AE445" i="33"/>
  <c r="S179" i="33"/>
  <c r="S182" i="33" s="1"/>
  <c r="S181" i="33"/>
  <c r="T172" i="33" s="1"/>
  <c r="T190" i="33" s="1"/>
  <c r="AC338" i="33"/>
  <c r="M260" i="33"/>
  <c r="M259" i="33" s="1"/>
  <c r="M262" i="33" s="1"/>
  <c r="M265" i="33" s="1"/>
  <c r="AD330" i="33"/>
  <c r="AE328" i="33"/>
  <c r="AD335" i="33"/>
  <c r="AD337" i="33" s="1"/>
  <c r="AD340" i="33" s="1"/>
  <c r="AD341" i="33" s="1"/>
  <c r="AD342" i="33" s="1"/>
  <c r="AD343" i="33" s="1"/>
  <c r="AC332" i="33"/>
  <c r="R221" i="33"/>
  <c r="R215" i="33"/>
  <c r="S213" i="33"/>
  <c r="S224" i="33"/>
  <c r="S225" i="33" s="1"/>
  <c r="S226" i="33" s="1"/>
  <c r="T103" i="33"/>
  <c r="T108" i="33"/>
  <c r="Q105" i="33"/>
  <c r="U101" i="33"/>
  <c r="M264" i="33" l="1"/>
  <c r="N255" i="33" s="1"/>
  <c r="Q232" i="33"/>
  <c r="AB345" i="33"/>
  <c r="AC344" i="33"/>
  <c r="AC349" i="33" s="1"/>
  <c r="AC333" i="33"/>
  <c r="R227" i="33"/>
  <c r="R228" i="33" s="1"/>
  <c r="R216" i="33"/>
  <c r="U306" i="33"/>
  <c r="U276" i="33"/>
  <c r="V277" i="33" s="1"/>
  <c r="Q117" i="33"/>
  <c r="Q106" i="33"/>
  <c r="T176" i="33"/>
  <c r="U177" i="33" s="1"/>
  <c r="T100" i="33"/>
  <c r="T109" i="33" s="1"/>
  <c r="T110" i="33" s="1"/>
  <c r="T113" i="33" s="1"/>
  <c r="AC446" i="33"/>
  <c r="AB447" i="33"/>
  <c r="AB448" i="33" s="1"/>
  <c r="AB465" i="33" s="1"/>
  <c r="AF287" i="33"/>
  <c r="AD219" i="33"/>
  <c r="AD220" i="33" s="1"/>
  <c r="AD223" i="33" s="1"/>
  <c r="AE210" i="33"/>
  <c r="T173" i="33"/>
  <c r="AG443" i="33"/>
  <c r="AF445" i="33"/>
  <c r="AD338" i="33"/>
  <c r="N256" i="33"/>
  <c r="N305" i="33"/>
  <c r="AE330" i="33"/>
  <c r="AF328" i="33"/>
  <c r="AE335" i="33"/>
  <c r="AE337" i="33" s="1"/>
  <c r="AE340" i="33" s="1"/>
  <c r="AE341" i="33" s="1"/>
  <c r="AE342" i="33" s="1"/>
  <c r="AE343" i="33" s="1"/>
  <c r="AD332" i="33"/>
  <c r="T213" i="33"/>
  <c r="T224" i="33"/>
  <c r="T225" i="33" s="1"/>
  <c r="T226" i="33" s="1"/>
  <c r="S221" i="33"/>
  <c r="S215" i="33"/>
  <c r="U108" i="33"/>
  <c r="R105" i="33"/>
  <c r="V101" i="33"/>
  <c r="U103" i="33"/>
  <c r="U279" i="33" l="1"/>
  <c r="U282" i="33" s="1"/>
  <c r="AC345" i="33"/>
  <c r="R232" i="33"/>
  <c r="AD344" i="33"/>
  <c r="AD349" i="33" s="1"/>
  <c r="AD333" i="33"/>
  <c r="S227" i="33"/>
  <c r="S232" i="33" s="1"/>
  <c r="S216" i="33"/>
  <c r="U281" i="33"/>
  <c r="V272" i="33" s="1"/>
  <c r="V276" i="33" s="1"/>
  <c r="R117" i="33"/>
  <c r="R106" i="33"/>
  <c r="T181" i="33"/>
  <c r="U172" i="33" s="1"/>
  <c r="U176" i="33" s="1"/>
  <c r="V177" i="33" s="1"/>
  <c r="U100" i="33"/>
  <c r="U109" i="33" s="1"/>
  <c r="U110" i="33" s="1"/>
  <c r="U113" i="33" s="1"/>
  <c r="T179" i="33"/>
  <c r="T182" i="33" s="1"/>
  <c r="AD446" i="33"/>
  <c r="AC447" i="33"/>
  <c r="AC448" i="33" s="1"/>
  <c r="AC465" i="33" s="1"/>
  <c r="AG287" i="33"/>
  <c r="AE219" i="33"/>
  <c r="AE220" i="33" s="1"/>
  <c r="AE223" i="33" s="1"/>
  <c r="AF210" i="33"/>
  <c r="AG445" i="33"/>
  <c r="AE338" i="33"/>
  <c r="AF330" i="33"/>
  <c r="AF332" i="33" s="1"/>
  <c r="AF333" i="33" s="1"/>
  <c r="AG328" i="33"/>
  <c r="AF335" i="33"/>
  <c r="AF337" i="33" s="1"/>
  <c r="AF340" i="33" s="1"/>
  <c r="AF341" i="33" s="1"/>
  <c r="AF342" i="33" s="1"/>
  <c r="AF343" i="33" s="1"/>
  <c r="AE332" i="33"/>
  <c r="U213" i="33"/>
  <c r="U224" i="33"/>
  <c r="U225" i="33" s="1"/>
  <c r="U226" i="33" s="1"/>
  <c r="T221" i="33"/>
  <c r="T215" i="33"/>
  <c r="V108" i="33"/>
  <c r="S105" i="33"/>
  <c r="W101" i="33"/>
  <c r="V103" i="33"/>
  <c r="AD345" i="33" l="1"/>
  <c r="S228" i="33"/>
  <c r="U181" i="33"/>
  <c r="V172" i="33" s="1"/>
  <c r="V176" i="33" s="1"/>
  <c r="W177" i="33" s="1"/>
  <c r="V306" i="33"/>
  <c r="V273" i="33"/>
  <c r="V279" i="33" s="1"/>
  <c r="V282" i="33" s="1"/>
  <c r="AE344" i="33"/>
  <c r="AE349" i="33" s="1"/>
  <c r="AE333" i="33"/>
  <c r="T227" i="33"/>
  <c r="T228" i="33" s="1"/>
  <c r="T216" i="33"/>
  <c r="S117" i="33"/>
  <c r="S106" i="33"/>
  <c r="U173" i="33"/>
  <c r="U179" i="33" s="1"/>
  <c r="U182" i="33" s="1"/>
  <c r="U190" i="33"/>
  <c r="V100" i="33"/>
  <c r="V109" i="33" s="1"/>
  <c r="V110" i="33" s="1"/>
  <c r="V113" i="33" s="1"/>
  <c r="AE446" i="33"/>
  <c r="AD447" i="33"/>
  <c r="AD448" i="33" s="1"/>
  <c r="AD465" i="33" s="1"/>
  <c r="W277" i="33"/>
  <c r="AF219" i="33"/>
  <c r="AF220" i="33" s="1"/>
  <c r="AF223" i="33" s="1"/>
  <c r="AG210" i="33"/>
  <c r="AG219" i="33" s="1"/>
  <c r="AG220" i="33" s="1"/>
  <c r="AG223" i="33" s="1"/>
  <c r="AH287" i="33"/>
  <c r="V281" i="33"/>
  <c r="W272" i="33" s="1"/>
  <c r="AI445" i="33"/>
  <c r="AF338" i="33"/>
  <c r="N260" i="33"/>
  <c r="N259" i="33" s="1"/>
  <c r="AI331" i="33"/>
  <c r="AG330" i="33"/>
  <c r="AG335" i="33"/>
  <c r="AF344" i="33"/>
  <c r="U221" i="33"/>
  <c r="U215" i="33"/>
  <c r="V213" i="33"/>
  <c r="V224" i="33"/>
  <c r="V225" i="33" s="1"/>
  <c r="V226" i="33" s="1"/>
  <c r="W108" i="33"/>
  <c r="T105" i="33"/>
  <c r="X101" i="33"/>
  <c r="W103" i="33"/>
  <c r="N264" i="33" l="1"/>
  <c r="O255" i="33" s="1"/>
  <c r="N262" i="33"/>
  <c r="N265" i="33" s="1"/>
  <c r="T232" i="33"/>
  <c r="V181" i="33"/>
  <c r="W172" i="33" s="1"/>
  <c r="W173" i="33" s="1"/>
  <c r="V173" i="33"/>
  <c r="V179" i="33" s="1"/>
  <c r="V182" i="33" s="1"/>
  <c r="V190" i="33"/>
  <c r="AE345" i="33"/>
  <c r="U227" i="33"/>
  <c r="U228" i="33" s="1"/>
  <c r="U216" i="33"/>
  <c r="T117" i="33"/>
  <c r="T106" i="33"/>
  <c r="W100" i="33"/>
  <c r="W109" i="33" s="1"/>
  <c r="W110" i="33" s="1"/>
  <c r="W113" i="33" s="1"/>
  <c r="AF446" i="33"/>
  <c r="AE447" i="33"/>
  <c r="AE448" i="33" s="1"/>
  <c r="AE465" i="33" s="1"/>
  <c r="AI219" i="33"/>
  <c r="W276" i="33"/>
  <c r="W281" i="33" s="1"/>
  <c r="X272" i="33" s="1"/>
  <c r="W273" i="33"/>
  <c r="W306" i="33"/>
  <c r="AG337" i="33"/>
  <c r="AG338" i="33" s="1"/>
  <c r="AI338" i="33" s="1"/>
  <c r="AI335" i="33"/>
  <c r="O305" i="33"/>
  <c r="O256" i="33"/>
  <c r="W190" i="33"/>
  <c r="AI330" i="33"/>
  <c r="AF345" i="33"/>
  <c r="AF349" i="33"/>
  <c r="AG332" i="33"/>
  <c r="AG333" i="33" s="1"/>
  <c r="W224" i="33"/>
  <c r="W225" i="33" s="1"/>
  <c r="W226" i="33" s="1"/>
  <c r="W213" i="33"/>
  <c r="V221" i="33"/>
  <c r="V215" i="33"/>
  <c r="X108" i="33"/>
  <c r="U105" i="33"/>
  <c r="Y101" i="33"/>
  <c r="X103" i="33"/>
  <c r="X100" i="33" l="1"/>
  <c r="X109" i="33" s="1"/>
  <c r="W176" i="33"/>
  <c r="X177" i="33" s="1"/>
  <c r="U232" i="33"/>
  <c r="V227" i="33"/>
  <c r="V228" i="33" s="1"/>
  <c r="V216" i="33"/>
  <c r="U117" i="33"/>
  <c r="U106" i="33"/>
  <c r="W279" i="33"/>
  <c r="W282" i="33" s="1"/>
  <c r="AG446" i="33"/>
  <c r="AG447" i="33" s="1"/>
  <c r="AG448" i="33" s="1"/>
  <c r="AG465" i="33" s="1"/>
  <c r="AF447" i="33"/>
  <c r="AF448" i="33" s="1"/>
  <c r="AF465" i="33" s="1"/>
  <c r="X277" i="33"/>
  <c r="X306" i="33"/>
  <c r="X273" i="33"/>
  <c r="X110" i="33"/>
  <c r="X113" i="33" s="1"/>
  <c r="AI337" i="33"/>
  <c r="AG340" i="33"/>
  <c r="AG344" i="33" s="1"/>
  <c r="AJ345" i="33" s="1"/>
  <c r="AN331" i="33" s="1"/>
  <c r="AI332" i="33"/>
  <c r="AI214" i="33"/>
  <c r="X224" i="33"/>
  <c r="X225" i="33" s="1"/>
  <c r="X226" i="33" s="1"/>
  <c r="X213" i="33"/>
  <c r="W215" i="33"/>
  <c r="W221" i="33"/>
  <c r="Y108" i="33"/>
  <c r="V105" i="33"/>
  <c r="Z101" i="33"/>
  <c r="Y103" i="33"/>
  <c r="W181" i="33" l="1"/>
  <c r="X172" i="33" s="1"/>
  <c r="X176" i="33" s="1"/>
  <c r="Y177" i="33" s="1"/>
  <c r="Y100" i="33"/>
  <c r="Y109" i="33" s="1"/>
  <c r="Y110" i="33" s="1"/>
  <c r="Y113" i="33" s="1"/>
  <c r="W179" i="33"/>
  <c r="W182" i="33" s="1"/>
  <c r="AL29" i="35"/>
  <c r="F85" i="34"/>
  <c r="AN335" i="33" s="1"/>
  <c r="AM14" i="35"/>
  <c r="V232" i="33"/>
  <c r="W227" i="33"/>
  <c r="W216" i="33"/>
  <c r="V117" i="33"/>
  <c r="V106" i="33"/>
  <c r="AH98" i="35"/>
  <c r="AI447" i="33"/>
  <c r="J33" i="35" s="1"/>
  <c r="X276" i="33"/>
  <c r="X281" i="33" s="1"/>
  <c r="Y272" i="33" s="1"/>
  <c r="AI446" i="33"/>
  <c r="AI340" i="33"/>
  <c r="AI341" i="33" s="1"/>
  <c r="AI345" i="33" s="1"/>
  <c r="AG341" i="33"/>
  <c r="AG342" i="33" s="1"/>
  <c r="AG343" i="33" s="1"/>
  <c r="O260" i="33"/>
  <c r="O259" i="33" s="1"/>
  <c r="O262" i="33" s="1"/>
  <c r="O265" i="33" s="1"/>
  <c r="AJ338" i="33"/>
  <c r="AG349" i="33"/>
  <c r="AI349" i="33" s="1"/>
  <c r="AG345" i="33"/>
  <c r="X221" i="33"/>
  <c r="X215" i="33"/>
  <c r="Y213" i="33"/>
  <c r="Y224" i="33"/>
  <c r="Y225" i="33" s="1"/>
  <c r="Y226" i="33" s="1"/>
  <c r="Z108" i="33"/>
  <c r="W105" i="33"/>
  <c r="AA101" i="33"/>
  <c r="Z103" i="33"/>
  <c r="O264" i="33" l="1"/>
  <c r="P255" i="33" s="1"/>
  <c r="P305" i="33" s="1"/>
  <c r="Z100" i="33"/>
  <c r="Z109" i="33" s="1"/>
  <c r="X190" i="33"/>
  <c r="X181" i="33"/>
  <c r="Y172" i="33" s="1"/>
  <c r="Y176" i="33" s="1"/>
  <c r="Z177" i="33" s="1"/>
  <c r="X173" i="33"/>
  <c r="X179" i="33" s="1"/>
  <c r="X182" i="33" s="1"/>
  <c r="AM15" i="35"/>
  <c r="X227" i="33"/>
  <c r="X228" i="33" s="1"/>
  <c r="X216" i="33"/>
  <c r="W117" i="33"/>
  <c r="W106" i="33"/>
  <c r="Y277" i="33"/>
  <c r="Y276" i="33" s="1"/>
  <c r="Y306" i="33"/>
  <c r="Y273" i="33"/>
  <c r="X279" i="33"/>
  <c r="X282" i="33" s="1"/>
  <c r="Z110" i="33"/>
  <c r="Z113" i="33" s="1"/>
  <c r="AJ341" i="33"/>
  <c r="AJ340" i="33"/>
  <c r="P256" i="33"/>
  <c r="Z213" i="33"/>
  <c r="W228" i="33"/>
  <c r="W232" i="33"/>
  <c r="Y221" i="33"/>
  <c r="Y215" i="33"/>
  <c r="AA108" i="33"/>
  <c r="X105" i="33"/>
  <c r="AB101" i="33"/>
  <c r="AA103" i="33"/>
  <c r="AA100" i="33" l="1"/>
  <c r="AA109" i="33" s="1"/>
  <c r="AA110" i="33" s="1"/>
  <c r="AA113" i="33" s="1"/>
  <c r="Y173" i="33"/>
  <c r="Y179" i="33" s="1"/>
  <c r="Y182" i="33" s="1"/>
  <c r="Y181" i="33"/>
  <c r="Z172" i="33" s="1"/>
  <c r="Z190" i="33" s="1"/>
  <c r="Y190" i="33"/>
  <c r="AM31" i="35"/>
  <c r="X232" i="33"/>
  <c r="Y227" i="33"/>
  <c r="Y228" i="33" s="1"/>
  <c r="Y216" i="33"/>
  <c r="X117" i="33"/>
  <c r="X106" i="33"/>
  <c r="Z277" i="33"/>
  <c r="Y281" i="33"/>
  <c r="Z272" i="33" s="1"/>
  <c r="Y279" i="33"/>
  <c r="Y282" i="33" s="1"/>
  <c r="Z221" i="33"/>
  <c r="Z224" i="33"/>
  <c r="Z225" i="33" s="1"/>
  <c r="Z226" i="33" s="1"/>
  <c r="AA224" i="33"/>
  <c r="AA225" i="33" s="1"/>
  <c r="AA226" i="33" s="1"/>
  <c r="AA213" i="33"/>
  <c r="Z215" i="33"/>
  <c r="AB108" i="33"/>
  <c r="Y105" i="33"/>
  <c r="AC101" i="33"/>
  <c r="AB103" i="33"/>
  <c r="Z173" i="33" l="1"/>
  <c r="AB100" i="33"/>
  <c r="AB109" i="33" s="1"/>
  <c r="Z176" i="33"/>
  <c r="Z181" i="33" s="1"/>
  <c r="AA172" i="33" s="1"/>
  <c r="AA173" i="33" s="1"/>
  <c r="Y232" i="33"/>
  <c r="Z227" i="33"/>
  <c r="Z216" i="33"/>
  <c r="Y117" i="33"/>
  <c r="Y106" i="33"/>
  <c r="Z273" i="33"/>
  <c r="Z306" i="33"/>
  <c r="Z276" i="33"/>
  <c r="Z281" i="33" s="1"/>
  <c r="AA272" i="33" s="1"/>
  <c r="P260" i="33"/>
  <c r="P259" i="33" s="1"/>
  <c r="P262" i="33" s="1"/>
  <c r="P265" i="33" s="1"/>
  <c r="AB110" i="33"/>
  <c r="AB113" i="33" s="1"/>
  <c r="AB224" i="33"/>
  <c r="AB225" i="33" s="1"/>
  <c r="AB226" i="33" s="1"/>
  <c r="AB213" i="33"/>
  <c r="AA221" i="33"/>
  <c r="AA215" i="33"/>
  <c r="AC108" i="33"/>
  <c r="Z105" i="33"/>
  <c r="AD101" i="33"/>
  <c r="AC103" i="33"/>
  <c r="P264" i="33" l="1"/>
  <c r="Q255" i="33" s="1"/>
  <c r="Q256" i="33" s="1"/>
  <c r="AC100" i="33"/>
  <c r="AC109" i="33" s="1"/>
  <c r="AC110" i="33" s="1"/>
  <c r="AC113" i="33" s="1"/>
  <c r="AA177" i="33"/>
  <c r="AA176" i="33" s="1"/>
  <c r="AB177" i="33" s="1"/>
  <c r="Z179" i="33"/>
  <c r="Z182" i="33" s="1"/>
  <c r="AA190" i="33"/>
  <c r="AA227" i="33"/>
  <c r="AA232" i="33" s="1"/>
  <c r="AA216" i="33"/>
  <c r="Z117" i="33"/>
  <c r="Z106" i="33"/>
  <c r="AA277" i="33"/>
  <c r="Z279" i="33"/>
  <c r="Z282" i="33" s="1"/>
  <c r="AA273" i="33"/>
  <c r="AA306" i="33"/>
  <c r="AB221" i="33"/>
  <c r="AB215" i="33"/>
  <c r="AC213" i="33"/>
  <c r="AC224" i="33"/>
  <c r="AC225" i="33" s="1"/>
  <c r="AC226" i="33" s="1"/>
  <c r="Z232" i="33"/>
  <c r="Z228" i="33"/>
  <c r="AD108" i="33"/>
  <c r="AA105" i="33"/>
  <c r="AE101" i="33"/>
  <c r="AD103" i="33"/>
  <c r="Q305" i="33" l="1"/>
  <c r="AA179" i="33"/>
  <c r="AA182" i="33" s="1"/>
  <c r="AA181" i="33"/>
  <c r="AB172" i="33" s="1"/>
  <c r="AB190" i="33" s="1"/>
  <c r="AD100" i="33"/>
  <c r="AD109" i="33" s="1"/>
  <c r="AD110" i="33" s="1"/>
  <c r="AD113" i="33" s="1"/>
  <c r="AA228" i="33"/>
  <c r="AB227" i="33"/>
  <c r="AB232" i="33" s="1"/>
  <c r="AB216" i="33"/>
  <c r="AA117" i="33"/>
  <c r="AA106" i="33"/>
  <c r="AB176" i="33"/>
  <c r="AC177" i="33" s="1"/>
  <c r="AB173" i="33"/>
  <c r="AA276" i="33"/>
  <c r="AA281" i="33" s="1"/>
  <c r="AB272" i="33" s="1"/>
  <c r="AD224" i="33"/>
  <c r="AD225" i="33" s="1"/>
  <c r="AD226" i="33" s="1"/>
  <c r="AD213" i="33"/>
  <c r="AC215" i="33"/>
  <c r="AE108" i="33"/>
  <c r="AB105" i="33"/>
  <c r="AF101" i="33"/>
  <c r="AE103" i="33"/>
  <c r="AE100" i="33" l="1"/>
  <c r="AE109" i="33" s="1"/>
  <c r="AB179" i="33"/>
  <c r="AB182" i="33" s="1"/>
  <c r="AB228" i="33"/>
  <c r="AB181" i="33"/>
  <c r="AC172" i="33" s="1"/>
  <c r="AC190" i="33" s="1"/>
  <c r="AC227" i="33"/>
  <c r="AC216" i="33"/>
  <c r="AB117" i="33"/>
  <c r="AB106" i="33"/>
  <c r="AB277" i="33"/>
  <c r="AB306" i="33"/>
  <c r="AA279" i="33"/>
  <c r="AA282" i="33" s="1"/>
  <c r="AB273" i="33"/>
  <c r="Q260" i="33"/>
  <c r="Q259" i="33" s="1"/>
  <c r="AE110" i="33"/>
  <c r="AE113" i="33" s="1"/>
  <c r="AD221" i="33"/>
  <c r="AD215" i="33"/>
  <c r="AC221" i="33"/>
  <c r="AE213" i="33"/>
  <c r="AE224" i="33"/>
  <c r="AE225" i="33" s="1"/>
  <c r="AE226" i="33" s="1"/>
  <c r="AF108" i="33"/>
  <c r="AC105" i="33"/>
  <c r="AF100" i="33"/>
  <c r="AF109" i="33" s="1"/>
  <c r="AG101" i="33"/>
  <c r="AF103" i="33"/>
  <c r="AF105" i="33" s="1"/>
  <c r="Q264" i="33" l="1"/>
  <c r="R255" i="33" s="1"/>
  <c r="Q262" i="33"/>
  <c r="Q265" i="33" s="1"/>
  <c r="AC173" i="33"/>
  <c r="AF110" i="33"/>
  <c r="AF113" i="33" s="1"/>
  <c r="AC176" i="33"/>
  <c r="AC181" i="33" s="1"/>
  <c r="AD172" i="33" s="1"/>
  <c r="AD173" i="33" s="1"/>
  <c r="AD227" i="33"/>
  <c r="AD232" i="33" s="1"/>
  <c r="AD216" i="33"/>
  <c r="AC117" i="33"/>
  <c r="AC106" i="33"/>
  <c r="AB276" i="33"/>
  <c r="AB281" i="33" s="1"/>
  <c r="AC272" i="33" s="1"/>
  <c r="AF213" i="33"/>
  <c r="AF224" i="33"/>
  <c r="AF225" i="33" s="1"/>
  <c r="AF226" i="33" s="1"/>
  <c r="AE221" i="33"/>
  <c r="AE215" i="33"/>
  <c r="AC232" i="33"/>
  <c r="AC228" i="33"/>
  <c r="AG108" i="33"/>
  <c r="AD105" i="33"/>
  <c r="AG100" i="33"/>
  <c r="AG109" i="33" s="1"/>
  <c r="AG103" i="33"/>
  <c r="AI103" i="33" s="1"/>
  <c r="R256" i="33" l="1"/>
  <c r="R305" i="33"/>
  <c r="AG110" i="33"/>
  <c r="AG113" i="33" s="1"/>
  <c r="AD177" i="33"/>
  <c r="AD176" i="33" s="1"/>
  <c r="AE177" i="33" s="1"/>
  <c r="AD190" i="33"/>
  <c r="AC179" i="33"/>
  <c r="AC182" i="33" s="1"/>
  <c r="AD228" i="33"/>
  <c r="AE227" i="33"/>
  <c r="AE232" i="33" s="1"/>
  <c r="AE216" i="33"/>
  <c r="AD117" i="33"/>
  <c r="AD106" i="33"/>
  <c r="AC277" i="33"/>
  <c r="AC276" i="33" s="1"/>
  <c r="AC281" i="33" s="1"/>
  <c r="AD272" i="33" s="1"/>
  <c r="AB279" i="33"/>
  <c r="AB282" i="33" s="1"/>
  <c r="AC273" i="33"/>
  <c r="AC306" i="33"/>
  <c r="R260" i="33"/>
  <c r="R259" i="33" s="1"/>
  <c r="R264" i="33" s="1"/>
  <c r="S255" i="33" s="1"/>
  <c r="AF221" i="33"/>
  <c r="AF215" i="33"/>
  <c r="AG213" i="33"/>
  <c r="AE105" i="33"/>
  <c r="R262" i="33" l="1"/>
  <c r="R265" i="33" s="1"/>
  <c r="AD179" i="33"/>
  <c r="AD182" i="33" s="1"/>
  <c r="AD181" i="33"/>
  <c r="AE172" i="33" s="1"/>
  <c r="AE176" i="33" s="1"/>
  <c r="AF177" i="33" s="1"/>
  <c r="AE228" i="33"/>
  <c r="AF227" i="33"/>
  <c r="AF228" i="33" s="1"/>
  <c r="AF216" i="33"/>
  <c r="AE117" i="33"/>
  <c r="AE106" i="33"/>
  <c r="AE173" i="33"/>
  <c r="AE179" i="33" s="1"/>
  <c r="AE182" i="33" s="1"/>
  <c r="AE181" i="33"/>
  <c r="AF172" i="33" s="1"/>
  <c r="AF173" i="33" s="1"/>
  <c r="AD306" i="33"/>
  <c r="AD273" i="33"/>
  <c r="AD277" i="33"/>
  <c r="AC279" i="33"/>
  <c r="AC282" i="33" s="1"/>
  <c r="S305" i="33"/>
  <c r="S256" i="33"/>
  <c r="AG224" i="33"/>
  <c r="AG225" i="33" s="1"/>
  <c r="AG226" i="33" s="1"/>
  <c r="AI223" i="33"/>
  <c r="AI224" i="33" s="1"/>
  <c r="AI228" i="33" s="1"/>
  <c r="AG215" i="33"/>
  <c r="AG216" i="33" s="1"/>
  <c r="AI213" i="33"/>
  <c r="AG221" i="33"/>
  <c r="AI221" i="33" s="1"/>
  <c r="AE190" i="33" l="1"/>
  <c r="AF232" i="33"/>
  <c r="AF117" i="33"/>
  <c r="AF106" i="33"/>
  <c r="AF176" i="33"/>
  <c r="AG177" i="33" s="1"/>
  <c r="AF190" i="33"/>
  <c r="AD276" i="33"/>
  <c r="AI215" i="33"/>
  <c r="AJ223" i="33" s="1"/>
  <c r="AG227" i="33"/>
  <c r="AI220" i="33"/>
  <c r="AG105" i="33"/>
  <c r="AI105" i="33" s="1"/>
  <c r="AG117" i="33" l="1"/>
  <c r="AG106" i="33"/>
  <c r="AF181" i="33"/>
  <c r="AG172" i="33" s="1"/>
  <c r="AG176" i="33" s="1"/>
  <c r="AH177" i="33" s="1"/>
  <c r="AF179" i="33"/>
  <c r="AF182" i="33" s="1"/>
  <c r="AJ221" i="33"/>
  <c r="AJ224" i="33"/>
  <c r="AE277" i="33"/>
  <c r="AD281" i="33"/>
  <c r="AE272" i="33" s="1"/>
  <c r="AD279" i="33"/>
  <c r="AD282" i="33" s="1"/>
  <c r="S260" i="33"/>
  <c r="S259" i="33" s="1"/>
  <c r="S262" i="33" s="1"/>
  <c r="S265" i="33" s="1"/>
  <c r="AG228" i="33"/>
  <c r="AG232" i="33"/>
  <c r="AI232" i="33" s="1"/>
  <c r="AJ228" i="33"/>
  <c r="AN214" i="33" s="1"/>
  <c r="S264" i="33" l="1"/>
  <c r="T255" i="33" s="1"/>
  <c r="AG29" i="35"/>
  <c r="F69" i="34"/>
  <c r="AN218" i="33" s="1"/>
  <c r="AH14" i="35"/>
  <c r="AH15" i="35" s="1"/>
  <c r="AG181" i="33"/>
  <c r="AH172" i="33" s="1"/>
  <c r="AH173" i="33" s="1"/>
  <c r="AG173" i="33"/>
  <c r="AG179" i="33" s="1"/>
  <c r="AG182" i="33" s="1"/>
  <c r="AG190" i="33"/>
  <c r="AH79" i="35"/>
  <c r="AE306" i="33"/>
  <c r="AE273" i="33"/>
  <c r="AE276" i="33"/>
  <c r="T305" i="33"/>
  <c r="T256" i="33"/>
  <c r="D68" i="33"/>
  <c r="D63" i="33"/>
  <c r="O61" i="33"/>
  <c r="P61" i="33" s="1"/>
  <c r="Q61" i="33" s="1"/>
  <c r="R61" i="33" s="1"/>
  <c r="S61" i="33" s="1"/>
  <c r="T61" i="33" s="1"/>
  <c r="U61" i="33" s="1"/>
  <c r="V61" i="33" s="1"/>
  <c r="W61" i="33" s="1"/>
  <c r="X61" i="33" s="1"/>
  <c r="Y61" i="33" s="1"/>
  <c r="Z61" i="33" s="1"/>
  <c r="AA61" i="33" s="1"/>
  <c r="AB61" i="33" s="1"/>
  <c r="AC61" i="33" s="1"/>
  <c r="AD61" i="33" s="1"/>
  <c r="AE61" i="33" s="1"/>
  <c r="AF61" i="33" s="1"/>
  <c r="AG61" i="33" s="1"/>
  <c r="AH61" i="33" s="1"/>
  <c r="B58" i="33"/>
  <c r="D51" i="33"/>
  <c r="D46" i="33"/>
  <c r="Q44" i="33"/>
  <c r="R44" i="33" s="1"/>
  <c r="S44" i="33" s="1"/>
  <c r="T44" i="33" s="1"/>
  <c r="U44" i="33" s="1"/>
  <c r="V44" i="33" s="1"/>
  <c r="W44" i="33" s="1"/>
  <c r="X44" i="33" s="1"/>
  <c r="Y44" i="33" s="1"/>
  <c r="Z44" i="33" s="1"/>
  <c r="AA44" i="33" s="1"/>
  <c r="AB44" i="33" s="1"/>
  <c r="AC44" i="33" s="1"/>
  <c r="AD44" i="33" s="1"/>
  <c r="AE44" i="33" s="1"/>
  <c r="AF44" i="33" s="1"/>
  <c r="AG44" i="33" s="1"/>
  <c r="AH44" i="33" s="1"/>
  <c r="B41" i="33"/>
  <c r="B24" i="33"/>
  <c r="M53" i="34"/>
  <c r="L53" i="34"/>
  <c r="O45" i="34"/>
  <c r="M54" i="34"/>
  <c r="L54" i="34"/>
  <c r="O54" i="34" l="1"/>
  <c r="AD19" i="35" s="1"/>
  <c r="AH31" i="35"/>
  <c r="AH190" i="33"/>
  <c r="AH176" i="33"/>
  <c r="AH181" i="33" s="1"/>
  <c r="AE279" i="33"/>
  <c r="AE282" i="33" s="1"/>
  <c r="AF277" i="33"/>
  <c r="AE281" i="33"/>
  <c r="AF272" i="33" s="1"/>
  <c r="G437" i="33"/>
  <c r="C137" i="34"/>
  <c r="O53" i="34"/>
  <c r="O27" i="33"/>
  <c r="P27" i="33" s="1"/>
  <c r="Q27" i="33" s="1"/>
  <c r="R27" i="33" s="1"/>
  <c r="S27" i="33" s="1"/>
  <c r="T27" i="33" s="1"/>
  <c r="U27" i="33" s="1"/>
  <c r="V27" i="33" s="1"/>
  <c r="W27" i="33" s="1"/>
  <c r="X27" i="33" s="1"/>
  <c r="Y27" i="33" s="1"/>
  <c r="Z27" i="33" s="1"/>
  <c r="AA27" i="33" s="1"/>
  <c r="AB27" i="33" s="1"/>
  <c r="AC27" i="33" s="1"/>
  <c r="AD27" i="33" s="1"/>
  <c r="AE27" i="33" s="1"/>
  <c r="AF27" i="33" s="1"/>
  <c r="AG27" i="33" s="1"/>
  <c r="AH27" i="33" s="1"/>
  <c r="D50" i="33"/>
  <c r="D67" i="33"/>
  <c r="D64" i="33"/>
  <c r="D47" i="33"/>
  <c r="D81" i="33"/>
  <c r="D33" i="33"/>
  <c r="E34" i="33" s="1"/>
  <c r="D30" i="33"/>
  <c r="D80" i="33"/>
  <c r="AH179" i="33" l="1"/>
  <c r="AH182" i="33" s="1"/>
  <c r="AF276" i="33"/>
  <c r="AG277" i="33" s="1"/>
  <c r="P436" i="33"/>
  <c r="AG450" i="33"/>
  <c r="AG452" i="33" s="1"/>
  <c r="D450" i="33"/>
  <c r="D452" i="33" s="1"/>
  <c r="E450" i="33"/>
  <c r="E452" i="33" s="1"/>
  <c r="E453" i="33" s="1"/>
  <c r="F450" i="33"/>
  <c r="F452" i="33" s="1"/>
  <c r="F453" i="33" s="1"/>
  <c r="G450" i="33"/>
  <c r="G452" i="33" s="1"/>
  <c r="G453" i="33" s="1"/>
  <c r="H450" i="33"/>
  <c r="H452" i="33" s="1"/>
  <c r="H453" i="33" s="1"/>
  <c r="I450" i="33"/>
  <c r="I452" i="33" s="1"/>
  <c r="I453" i="33" s="1"/>
  <c r="J450" i="33"/>
  <c r="J452" i="33" s="1"/>
  <c r="J453" i="33" s="1"/>
  <c r="K450" i="33"/>
  <c r="K452" i="33" s="1"/>
  <c r="K453" i="33" s="1"/>
  <c r="L450" i="33"/>
  <c r="L452" i="33" s="1"/>
  <c r="L453" i="33" s="1"/>
  <c r="M450" i="33"/>
  <c r="M452" i="33" s="1"/>
  <c r="M453" i="33" s="1"/>
  <c r="N450" i="33"/>
  <c r="N452" i="33" s="1"/>
  <c r="N453" i="33" s="1"/>
  <c r="O450" i="33"/>
  <c r="O452" i="33" s="1"/>
  <c r="O453" i="33" s="1"/>
  <c r="P450" i="33"/>
  <c r="P452" i="33" s="1"/>
  <c r="P453" i="33" s="1"/>
  <c r="Q450" i="33"/>
  <c r="Q452" i="33" s="1"/>
  <c r="Q453" i="33" s="1"/>
  <c r="R450" i="33"/>
  <c r="R452" i="33" s="1"/>
  <c r="R453" i="33" s="1"/>
  <c r="S450" i="33"/>
  <c r="S452" i="33" s="1"/>
  <c r="S453" i="33" s="1"/>
  <c r="T450" i="33"/>
  <c r="T452" i="33" s="1"/>
  <c r="T453" i="33" s="1"/>
  <c r="U450" i="33"/>
  <c r="U452" i="33" s="1"/>
  <c r="U453" i="33" s="1"/>
  <c r="V450" i="33"/>
  <c r="V452" i="33" s="1"/>
  <c r="V453" i="33" s="1"/>
  <c r="W450" i="33"/>
  <c r="W452" i="33" s="1"/>
  <c r="W453" i="33" s="1"/>
  <c r="X450" i="33"/>
  <c r="X452" i="33" s="1"/>
  <c r="X453" i="33" s="1"/>
  <c r="Y450" i="33"/>
  <c r="Y452" i="33" s="1"/>
  <c r="Y453" i="33" s="1"/>
  <c r="Z450" i="33"/>
  <c r="Z452" i="33" s="1"/>
  <c r="Z453" i="33" s="1"/>
  <c r="AA450" i="33"/>
  <c r="AA452" i="33" s="1"/>
  <c r="AA453" i="33" s="1"/>
  <c r="AB450" i="33"/>
  <c r="AB452" i="33" s="1"/>
  <c r="AB453" i="33" s="1"/>
  <c r="AC450" i="33"/>
  <c r="AC452" i="33" s="1"/>
  <c r="AC453" i="33" s="1"/>
  <c r="AD450" i="33"/>
  <c r="AD452" i="33" s="1"/>
  <c r="AD453" i="33" s="1"/>
  <c r="AE450" i="33"/>
  <c r="AE452" i="33" s="1"/>
  <c r="AE453" i="33" s="1"/>
  <c r="AF450" i="33"/>
  <c r="AF452" i="33" s="1"/>
  <c r="AF453" i="33" s="1"/>
  <c r="AF273" i="33"/>
  <c r="AF279" i="33" s="1"/>
  <c r="AF282" i="33" s="1"/>
  <c r="AF306" i="33"/>
  <c r="T260" i="33"/>
  <c r="T259" i="33" s="1"/>
  <c r="T262" i="33" s="1"/>
  <c r="T265" i="33" s="1"/>
  <c r="D55" i="33"/>
  <c r="E159" i="33"/>
  <c r="F160" i="33" s="1"/>
  <c r="E189" i="33"/>
  <c r="E187" i="33" s="1"/>
  <c r="AI109" i="33"/>
  <c r="H127" i="34"/>
  <c r="H128" i="34" s="1"/>
  <c r="H134" i="34" s="1"/>
  <c r="H137" i="34" s="1"/>
  <c r="D53" i="33"/>
  <c r="D56" i="33" s="1"/>
  <c r="D70" i="33"/>
  <c r="D73" i="33" s="1"/>
  <c r="D72" i="33"/>
  <c r="D83" i="33"/>
  <c r="D84" i="33" s="1"/>
  <c r="D36" i="33"/>
  <c r="D39" i="33" s="1"/>
  <c r="D87" i="33"/>
  <c r="D78" i="33"/>
  <c r="D38" i="33"/>
  <c r="T264" i="33" l="1"/>
  <c r="U255" i="33" s="1"/>
  <c r="E29" i="33"/>
  <c r="E46" i="33"/>
  <c r="E47" i="33" s="1"/>
  <c r="D453" i="33"/>
  <c r="AF281" i="33"/>
  <c r="AG272" i="33" s="1"/>
  <c r="AG306" i="33" s="1"/>
  <c r="H143" i="34"/>
  <c r="H142" i="34"/>
  <c r="AI452" i="33"/>
  <c r="AG453" i="33"/>
  <c r="AI450" i="33"/>
  <c r="U305" i="33"/>
  <c r="U256" i="33"/>
  <c r="E196" i="33"/>
  <c r="E200" i="33" s="1"/>
  <c r="E162" i="33"/>
  <c r="E165" i="33" s="1"/>
  <c r="E192" i="33"/>
  <c r="E164" i="33"/>
  <c r="F155" i="33" s="1"/>
  <c r="F156" i="33" s="1"/>
  <c r="AE111" i="33"/>
  <c r="S111" i="33"/>
  <c r="G111" i="33"/>
  <c r="AD111" i="33"/>
  <c r="R111" i="33"/>
  <c r="F111" i="33"/>
  <c r="AC111" i="33"/>
  <c r="Q111" i="33"/>
  <c r="E111" i="33"/>
  <c r="AB111" i="33"/>
  <c r="P111" i="33"/>
  <c r="AA111" i="33"/>
  <c r="O111" i="33"/>
  <c r="Z111" i="33"/>
  <c r="N111" i="33"/>
  <c r="Y111" i="33"/>
  <c r="M111" i="33"/>
  <c r="X111" i="33"/>
  <c r="L111" i="33"/>
  <c r="W111" i="33"/>
  <c r="K111" i="33"/>
  <c r="V111" i="33"/>
  <c r="J111" i="33"/>
  <c r="AG111" i="33"/>
  <c r="U111" i="33"/>
  <c r="I111" i="33"/>
  <c r="AF111" i="33"/>
  <c r="T111" i="33"/>
  <c r="H111" i="33"/>
  <c r="E63" i="33"/>
  <c r="AI110" i="33"/>
  <c r="D90" i="33"/>
  <c r="D91" i="33"/>
  <c r="D88" i="33"/>
  <c r="D85" i="33"/>
  <c r="E80" i="33" l="1"/>
  <c r="AI453" i="33"/>
  <c r="AJ453" i="33" s="1"/>
  <c r="AG273" i="33"/>
  <c r="AG276" i="33"/>
  <c r="AH277" i="33" s="1"/>
  <c r="E64" i="33"/>
  <c r="H144" i="34"/>
  <c r="E194" i="33"/>
  <c r="E199" i="33"/>
  <c r="E230" i="33" s="1"/>
  <c r="E197" i="33"/>
  <c r="F189" i="33"/>
  <c r="F187" i="33" s="1"/>
  <c r="E193" i="33"/>
  <c r="F159" i="33"/>
  <c r="G160" i="33" s="1"/>
  <c r="E81" i="33"/>
  <c r="AI111" i="33"/>
  <c r="AJ111" i="33" s="1"/>
  <c r="Q118" i="33"/>
  <c r="N118" i="33"/>
  <c r="Z114" i="33"/>
  <c r="Z115" i="33" s="1"/>
  <c r="Z116" i="33" s="1"/>
  <c r="W114" i="33"/>
  <c r="W115" i="33" s="1"/>
  <c r="W116" i="33" s="1"/>
  <c r="E114" i="33"/>
  <c r="E115" i="33" s="1"/>
  <c r="E116" i="33" s="1"/>
  <c r="AE114" i="33"/>
  <c r="AE115" i="33" s="1"/>
  <c r="AE116" i="33" s="1"/>
  <c r="AD122" i="33"/>
  <c r="AB114" i="33"/>
  <c r="AB115" i="33" s="1"/>
  <c r="AB116" i="33" s="1"/>
  <c r="K122" i="33"/>
  <c r="G114" i="33"/>
  <c r="G115" i="33" s="1"/>
  <c r="G116" i="33" s="1"/>
  <c r="AF114" i="33"/>
  <c r="AF115" i="33" s="1"/>
  <c r="AF116" i="33" s="1"/>
  <c r="L114" i="33"/>
  <c r="L115" i="33" s="1"/>
  <c r="L116" i="33" s="1"/>
  <c r="N436" i="33"/>
  <c r="U436" i="33" s="1"/>
  <c r="P114" i="33"/>
  <c r="P115" i="33" s="1"/>
  <c r="P116" i="33" s="1"/>
  <c r="M114" i="33"/>
  <c r="M115" i="33" s="1"/>
  <c r="M116" i="33" s="1"/>
  <c r="J114" i="33"/>
  <c r="J115" i="33" s="1"/>
  <c r="J116" i="33" s="1"/>
  <c r="I122" i="33"/>
  <c r="H114" i="33"/>
  <c r="H115" i="33" s="1"/>
  <c r="H116" i="33" s="1"/>
  <c r="V114" i="33"/>
  <c r="V115" i="33" s="1"/>
  <c r="V116" i="33" s="1"/>
  <c r="U114" i="33"/>
  <c r="U115" i="33" s="1"/>
  <c r="U116" i="33" s="1"/>
  <c r="R118" i="33"/>
  <c r="O114" i="33"/>
  <c r="O115" i="33" s="1"/>
  <c r="O116" i="33" s="1"/>
  <c r="AC122" i="33"/>
  <c r="AA122" i="33"/>
  <c r="Y118" i="33"/>
  <c r="X114" i="33"/>
  <c r="X115" i="33" s="1"/>
  <c r="X116" i="33" s="1"/>
  <c r="F114" i="33"/>
  <c r="F115" i="33" s="1"/>
  <c r="F116" i="33" s="1"/>
  <c r="T114" i="33"/>
  <c r="T115" i="33" s="1"/>
  <c r="T116" i="33" s="1"/>
  <c r="AG122" i="33"/>
  <c r="D92" i="33"/>
  <c r="D120" i="33"/>
  <c r="D121" i="33" s="1"/>
  <c r="E30" i="33"/>
  <c r="E79" i="33"/>
  <c r="AG281" i="33" l="1"/>
  <c r="AH272" i="33" s="1"/>
  <c r="AH276" i="33" s="1"/>
  <c r="AH281" i="33" s="1"/>
  <c r="E83" i="33"/>
  <c r="E84" i="33" s="1"/>
  <c r="E233" i="33"/>
  <c r="E234" i="33" s="1"/>
  <c r="E231" i="33"/>
  <c r="AG279" i="33"/>
  <c r="AG282" i="33" s="1"/>
  <c r="S436" i="33"/>
  <c r="S437" i="33"/>
  <c r="U260" i="33"/>
  <c r="U259" i="33" s="1"/>
  <c r="U262" i="33" s="1"/>
  <c r="U265" i="33" s="1"/>
  <c r="E201" i="33"/>
  <c r="F164" i="33"/>
  <c r="G155" i="33" s="1"/>
  <c r="G156" i="33" s="1"/>
  <c r="F162" i="33"/>
  <c r="F165" i="33" s="1"/>
  <c r="F192" i="33"/>
  <c r="E78" i="33"/>
  <c r="J122" i="33"/>
  <c r="Q114" i="33"/>
  <c r="Q115" i="33" s="1"/>
  <c r="Q116" i="33" s="1"/>
  <c r="W118" i="33"/>
  <c r="I114" i="33"/>
  <c r="I115" i="33" s="1"/>
  <c r="I116" i="33" s="1"/>
  <c r="E118" i="33"/>
  <c r="Z118" i="33"/>
  <c r="AD114" i="33"/>
  <c r="AD115" i="33" s="1"/>
  <c r="AD116" i="33" s="1"/>
  <c r="K114" i="33"/>
  <c r="K115" i="33" s="1"/>
  <c r="K116" i="33" s="1"/>
  <c r="H118" i="33"/>
  <c r="S114" i="33"/>
  <c r="S115" i="33" s="1"/>
  <c r="S116" i="33" s="1"/>
  <c r="AE118" i="33"/>
  <c r="V118" i="33"/>
  <c r="R114" i="33"/>
  <c r="R115" i="33" s="1"/>
  <c r="R116" i="33" s="1"/>
  <c r="U122" i="33"/>
  <c r="AI113" i="33"/>
  <c r="AI114" i="33" s="1"/>
  <c r="AI118" i="33" s="1"/>
  <c r="G118" i="33"/>
  <c r="M118" i="33"/>
  <c r="P122" i="33"/>
  <c r="X118" i="33"/>
  <c r="D122" i="33"/>
  <c r="D123" i="33" s="1"/>
  <c r="D114" i="33"/>
  <c r="D115" i="33" s="1"/>
  <c r="D116" i="33" s="1"/>
  <c r="S118" i="33"/>
  <c r="S122" i="33"/>
  <c r="AG114" i="33"/>
  <c r="AG115" i="33" s="1"/>
  <c r="AG116" i="33" s="1"/>
  <c r="AF118" i="33"/>
  <c r="AA114" i="33"/>
  <c r="AA115" i="33" s="1"/>
  <c r="AA116" i="33" s="1"/>
  <c r="AC114" i="33"/>
  <c r="AC115" i="33" s="1"/>
  <c r="AC116" i="33" s="1"/>
  <c r="Y114" i="33"/>
  <c r="Y115" i="33" s="1"/>
  <c r="Y116" i="33" s="1"/>
  <c r="N114" i="33"/>
  <c r="N115" i="33" s="1"/>
  <c r="N116" i="33" s="1"/>
  <c r="AB118" i="33"/>
  <c r="T118" i="33"/>
  <c r="F122" i="33"/>
  <c r="O118" i="33"/>
  <c r="L118" i="33"/>
  <c r="R122" i="33"/>
  <c r="Y122" i="33"/>
  <c r="N122" i="33"/>
  <c r="AG118" i="33"/>
  <c r="AD118" i="33"/>
  <c r="K118" i="33"/>
  <c r="I118" i="33"/>
  <c r="AA118" i="33"/>
  <c r="AC118" i="33"/>
  <c r="Q122" i="33"/>
  <c r="U264" i="33" l="1"/>
  <c r="V255" i="33" s="1"/>
  <c r="V256" i="33" s="1"/>
  <c r="AH306" i="33"/>
  <c r="AH273" i="33"/>
  <c r="AH279" i="33" s="1"/>
  <c r="AH282" i="33" s="1"/>
  <c r="E85" i="33"/>
  <c r="D455" i="33"/>
  <c r="E455" i="33"/>
  <c r="F455" i="33"/>
  <c r="G455" i="33"/>
  <c r="H455" i="33"/>
  <c r="I455" i="33"/>
  <c r="J455" i="33"/>
  <c r="K455" i="33"/>
  <c r="L455" i="33"/>
  <c r="M455" i="33"/>
  <c r="N455" i="33"/>
  <c r="O455" i="33"/>
  <c r="P455" i="33"/>
  <c r="Q455" i="33"/>
  <c r="R455" i="33"/>
  <c r="S455" i="33"/>
  <c r="T455" i="33"/>
  <c r="U455" i="33"/>
  <c r="V455" i="33"/>
  <c r="W455" i="33"/>
  <c r="X455" i="33"/>
  <c r="Y455" i="33"/>
  <c r="Z455" i="33"/>
  <c r="AA455" i="33"/>
  <c r="AB455" i="33"/>
  <c r="AC455" i="33"/>
  <c r="AD455" i="33"/>
  <c r="AE455" i="33"/>
  <c r="AF455" i="33"/>
  <c r="AG455" i="33"/>
  <c r="D454" i="33"/>
  <c r="T454" i="33"/>
  <c r="Y454" i="33"/>
  <c r="AG454" i="33"/>
  <c r="V454" i="33"/>
  <c r="P454" i="33"/>
  <c r="AF454" i="33"/>
  <c r="I454" i="33"/>
  <c r="O454" i="33"/>
  <c r="E454" i="33"/>
  <c r="Z454" i="33"/>
  <c r="AC454" i="33"/>
  <c r="L454" i="33"/>
  <c r="M454" i="33"/>
  <c r="N454" i="33"/>
  <c r="S454" i="33"/>
  <c r="J454" i="33"/>
  <c r="R454" i="33"/>
  <c r="AB454" i="33"/>
  <c r="F454" i="33"/>
  <c r="AA454" i="33"/>
  <c r="G454" i="33"/>
  <c r="AD454" i="33"/>
  <c r="W454" i="33"/>
  <c r="AE454" i="33"/>
  <c r="H454" i="33"/>
  <c r="X454" i="33"/>
  <c r="U454" i="33"/>
  <c r="K454" i="33"/>
  <c r="Q454" i="33"/>
  <c r="G159" i="33"/>
  <c r="H160" i="33" s="1"/>
  <c r="G189" i="33"/>
  <c r="F193" i="33"/>
  <c r="F194" i="33"/>
  <c r="H122" i="33"/>
  <c r="J118" i="33"/>
  <c r="W122" i="33"/>
  <c r="E122" i="33"/>
  <c r="V122" i="33"/>
  <c r="U118" i="33"/>
  <c r="Z122" i="33"/>
  <c r="AE122" i="33"/>
  <c r="P118" i="33"/>
  <c r="G122" i="33"/>
  <c r="M122" i="33"/>
  <c r="X122" i="33"/>
  <c r="O122" i="33"/>
  <c r="D118" i="33"/>
  <c r="AJ114" i="33"/>
  <c r="AJ113" i="33"/>
  <c r="T122" i="33"/>
  <c r="AF122" i="33"/>
  <c r="AJ118" i="33"/>
  <c r="AN104" i="33" s="1"/>
  <c r="L122" i="33"/>
  <c r="AB122" i="33"/>
  <c r="F118" i="33"/>
  <c r="V305" i="33" l="1"/>
  <c r="AH57" i="35"/>
  <c r="F53" i="34"/>
  <c r="AN108" i="33" s="1"/>
  <c r="AD14" i="35"/>
  <c r="AD15" i="35" s="1"/>
  <c r="AD31" i="35" s="1"/>
  <c r="AC29" i="35"/>
  <c r="O456" i="33"/>
  <c r="O457" i="33" s="1"/>
  <c r="O458" i="33" s="1"/>
  <c r="O459" i="33"/>
  <c r="N456" i="33"/>
  <c r="N457" i="33" s="1"/>
  <c r="N458" i="33" s="1"/>
  <c r="N459" i="33"/>
  <c r="L456" i="33"/>
  <c r="L457" i="33" s="1"/>
  <c r="L458" i="33" s="1"/>
  <c r="L459" i="33"/>
  <c r="K456" i="33"/>
  <c r="K457" i="33" s="1"/>
  <c r="K458" i="33" s="1"/>
  <c r="K459" i="33"/>
  <c r="V456" i="33"/>
  <c r="V457" i="33" s="1"/>
  <c r="V458" i="33" s="1"/>
  <c r="V459" i="33"/>
  <c r="AG456" i="33"/>
  <c r="AG457" i="33" s="1"/>
  <c r="AG458" i="33" s="1"/>
  <c r="AG459" i="33"/>
  <c r="U456" i="33"/>
  <c r="U457" i="33" s="1"/>
  <c r="U458" i="33" s="1"/>
  <c r="U459" i="33"/>
  <c r="I456" i="33"/>
  <c r="I457" i="33" s="1"/>
  <c r="I458" i="33" s="1"/>
  <c r="I459" i="33"/>
  <c r="Y456" i="33"/>
  <c r="Y457" i="33" s="1"/>
  <c r="Y458" i="33" s="1"/>
  <c r="Y459" i="33"/>
  <c r="X456" i="33"/>
  <c r="X457" i="33" s="1"/>
  <c r="X458" i="33" s="1"/>
  <c r="X459" i="33"/>
  <c r="W456" i="33"/>
  <c r="W457" i="33" s="1"/>
  <c r="W458" i="33" s="1"/>
  <c r="W459" i="33"/>
  <c r="AI454" i="33"/>
  <c r="J456" i="33"/>
  <c r="J457" i="33" s="1"/>
  <c r="J458" i="33" s="1"/>
  <c r="J459" i="33"/>
  <c r="AF456" i="33"/>
  <c r="AF457" i="33" s="1"/>
  <c r="AF458" i="33" s="1"/>
  <c r="AF459" i="33"/>
  <c r="T456" i="33"/>
  <c r="T457" i="33" s="1"/>
  <c r="T458" i="33" s="1"/>
  <c r="T459" i="33"/>
  <c r="H456" i="33"/>
  <c r="H457" i="33" s="1"/>
  <c r="H458" i="33" s="1"/>
  <c r="H459" i="33"/>
  <c r="AA456" i="33"/>
  <c r="AA457" i="33" s="1"/>
  <c r="AA458" i="33" s="1"/>
  <c r="AA459" i="33"/>
  <c r="G164" i="33"/>
  <c r="H155" i="33" s="1"/>
  <c r="H156" i="33" s="1"/>
  <c r="AE456" i="33"/>
  <c r="AE457" i="33" s="1"/>
  <c r="AE458" i="33" s="1"/>
  <c r="AE459" i="33"/>
  <c r="AD456" i="33"/>
  <c r="AD457" i="33" s="1"/>
  <c r="AD458" i="33" s="1"/>
  <c r="AD459" i="33"/>
  <c r="R456" i="33"/>
  <c r="R457" i="33" s="1"/>
  <c r="R458" i="33" s="1"/>
  <c r="R459" i="33"/>
  <c r="F456" i="33"/>
  <c r="F457" i="33" s="1"/>
  <c r="F458" i="33" s="1"/>
  <c r="F459" i="33"/>
  <c r="Z456" i="33"/>
  <c r="Z457" i="33" s="1"/>
  <c r="Z458" i="33" s="1"/>
  <c r="Z459" i="33"/>
  <c r="S456" i="33"/>
  <c r="S457" i="33" s="1"/>
  <c r="S458" i="33" s="1"/>
  <c r="S459" i="33"/>
  <c r="AC456" i="33"/>
  <c r="AC457" i="33" s="1"/>
  <c r="AC458" i="33" s="1"/>
  <c r="AC459" i="33"/>
  <c r="Q456" i="33"/>
  <c r="Q457" i="33" s="1"/>
  <c r="Q458" i="33" s="1"/>
  <c r="Q459" i="33"/>
  <c r="E456" i="33"/>
  <c r="E457" i="33" s="1"/>
  <c r="E458" i="33" s="1"/>
  <c r="E459" i="33"/>
  <c r="M456" i="33"/>
  <c r="M457" i="33" s="1"/>
  <c r="M458" i="33" s="1"/>
  <c r="M459" i="33"/>
  <c r="G456" i="33"/>
  <c r="G457" i="33" s="1"/>
  <c r="G458" i="33" s="1"/>
  <c r="G459" i="33"/>
  <c r="AB456" i="33"/>
  <c r="AB457" i="33" s="1"/>
  <c r="AB458" i="33" s="1"/>
  <c r="AB459" i="33"/>
  <c r="P456" i="33"/>
  <c r="P457" i="33" s="1"/>
  <c r="P458" i="33" s="1"/>
  <c r="P459" i="33"/>
  <c r="D456" i="33"/>
  <c r="D457" i="33" s="1"/>
  <c r="D458" i="33" s="1"/>
  <c r="BT37" i="35" s="1"/>
  <c r="D459" i="33"/>
  <c r="AI455" i="33"/>
  <c r="G162" i="33"/>
  <c r="G165" i="33" s="1"/>
  <c r="AI122" i="33"/>
  <c r="D464" i="33" l="1"/>
  <c r="Z472" i="33"/>
  <c r="Z460" i="33"/>
  <c r="X472" i="33"/>
  <c r="X460" i="33"/>
  <c r="L460" i="33"/>
  <c r="L472" i="33"/>
  <c r="AJ460" i="33"/>
  <c r="AG472" i="33"/>
  <c r="AG460" i="33"/>
  <c r="M472" i="33"/>
  <c r="M460" i="33"/>
  <c r="V460" i="33"/>
  <c r="V472" i="33"/>
  <c r="H460" i="33"/>
  <c r="H472" i="33"/>
  <c r="AI456" i="33"/>
  <c r="AJ455" i="33"/>
  <c r="D460" i="33"/>
  <c r="E500" i="33" s="1"/>
  <c r="D472" i="33"/>
  <c r="D473" i="33" s="1"/>
  <c r="D474" i="33" s="1"/>
  <c r="Q472" i="33"/>
  <c r="Q460" i="33"/>
  <c r="R472" i="33"/>
  <c r="R460" i="33"/>
  <c r="T472" i="33"/>
  <c r="T460" i="33"/>
  <c r="Y460" i="33"/>
  <c r="Y472" i="33"/>
  <c r="AD472" i="33"/>
  <c r="AD460" i="33"/>
  <c r="H189" i="33"/>
  <c r="G460" i="33"/>
  <c r="G472" i="33"/>
  <c r="W472" i="33"/>
  <c r="W460" i="33"/>
  <c r="F460" i="33"/>
  <c r="F472" i="33"/>
  <c r="AC472" i="33"/>
  <c r="AC460" i="33"/>
  <c r="AF460" i="33"/>
  <c r="AF472" i="33"/>
  <c r="N472" i="33"/>
  <c r="N460" i="33"/>
  <c r="H159" i="33"/>
  <c r="H164" i="33" s="1"/>
  <c r="AB472" i="33"/>
  <c r="AB460" i="33"/>
  <c r="AE460" i="33"/>
  <c r="AE472" i="33"/>
  <c r="U460" i="33"/>
  <c r="U472" i="33"/>
  <c r="O472" i="33"/>
  <c r="O460" i="33"/>
  <c r="S460" i="33"/>
  <c r="S472" i="33"/>
  <c r="AA472" i="33"/>
  <c r="AA460" i="33"/>
  <c r="E472" i="33"/>
  <c r="E460" i="33"/>
  <c r="K472" i="33"/>
  <c r="K460" i="33"/>
  <c r="P472" i="33"/>
  <c r="P460" i="33"/>
  <c r="I472" i="33"/>
  <c r="I460" i="33"/>
  <c r="J472" i="33"/>
  <c r="J460" i="33"/>
  <c r="V260" i="33"/>
  <c r="V259" i="33" s="1"/>
  <c r="V262" i="33" s="1"/>
  <c r="V265" i="33" s="1"/>
  <c r="V264" i="33" l="1"/>
  <c r="W255" i="33" s="1"/>
  <c r="W305" i="33" s="1"/>
  <c r="AN446" i="33"/>
  <c r="AR14" i="35" s="1"/>
  <c r="J31" i="35"/>
  <c r="I160" i="33"/>
  <c r="AI472" i="33"/>
  <c r="AI460" i="33"/>
  <c r="J34" i="35" s="1"/>
  <c r="AJ456" i="33"/>
  <c r="H162" i="33"/>
  <c r="H165" i="33" s="1"/>
  <c r="I155" i="33"/>
  <c r="W256" i="33" l="1"/>
  <c r="AR15" i="35"/>
  <c r="AQ29" i="35"/>
  <c r="N123" i="34"/>
  <c r="I508" i="33"/>
  <c r="I189" i="33"/>
  <c r="I156" i="33"/>
  <c r="I159" i="33"/>
  <c r="AR31" i="35" l="1"/>
  <c r="W260" i="33"/>
  <c r="I164" i="33"/>
  <c r="J155" i="33" s="1"/>
  <c r="J160" i="33"/>
  <c r="I162" i="33"/>
  <c r="I165" i="33" s="1"/>
  <c r="W259" i="33" l="1"/>
  <c r="J189" i="33"/>
  <c r="J156" i="33"/>
  <c r="J159" i="33"/>
  <c r="K160" i="33" s="1"/>
  <c r="W262" i="33" l="1"/>
  <c r="W265" i="33" s="1"/>
  <c r="W264" i="33"/>
  <c r="X255" i="33" s="1"/>
  <c r="J164" i="33"/>
  <c r="J162" i="33"/>
  <c r="J165" i="33" s="1"/>
  <c r="X305" i="33" l="1"/>
  <c r="X256" i="33"/>
  <c r="X260" i="33"/>
  <c r="K155" i="33"/>
  <c r="K156" i="33" s="1"/>
  <c r="X259" i="33" l="1"/>
  <c r="X262" i="33" s="1"/>
  <c r="X265" i="33" s="1"/>
  <c r="K159" i="33"/>
  <c r="L160" i="33" s="1"/>
  <c r="K189" i="33"/>
  <c r="X264" i="33" l="1"/>
  <c r="Y255" i="33" s="1"/>
  <c r="K164" i="33"/>
  <c r="K162" i="33"/>
  <c r="K165" i="33" s="1"/>
  <c r="Y256" i="33" l="1"/>
  <c r="Y305" i="33"/>
  <c r="Y260" i="33"/>
  <c r="L155" i="33"/>
  <c r="L156" i="33" s="1"/>
  <c r="Y259" i="33" l="1"/>
  <c r="Y262" i="33" s="1"/>
  <c r="Y265" i="33" s="1"/>
  <c r="L189" i="33"/>
  <c r="L159" i="33"/>
  <c r="M160" i="33" s="1"/>
  <c r="Y264" i="33" l="1"/>
  <c r="Z255" i="33" s="1"/>
  <c r="L162" i="33"/>
  <c r="L165" i="33" s="1"/>
  <c r="L164" i="33"/>
  <c r="M155" i="33" s="1"/>
  <c r="M156" i="33" s="1"/>
  <c r="Z256" i="33" l="1"/>
  <c r="Z305" i="33"/>
  <c r="Z260" i="33"/>
  <c r="M159" i="33"/>
  <c r="M189" i="33"/>
  <c r="Z259" i="33" l="1"/>
  <c r="Z262" i="33" s="1"/>
  <c r="Z265" i="33" s="1"/>
  <c r="M164" i="33"/>
  <c r="N155" i="33" s="1"/>
  <c r="N189" i="33" s="1"/>
  <c r="N160" i="33"/>
  <c r="M162" i="33"/>
  <c r="M165" i="33" s="1"/>
  <c r="Z264" i="33" l="1"/>
  <c r="AA255" i="33" s="1"/>
  <c r="N159" i="33"/>
  <c r="O160" i="33" s="1"/>
  <c r="N156" i="33"/>
  <c r="AA305" i="33" l="1"/>
  <c r="AA256" i="33"/>
  <c r="N164" i="33"/>
  <c r="O155" i="33" s="1"/>
  <c r="O189" i="33" s="1"/>
  <c r="AA260" i="33"/>
  <c r="N162" i="33"/>
  <c r="N165" i="33" s="1"/>
  <c r="AA259" i="33" l="1"/>
  <c r="AA262" i="33" s="1"/>
  <c r="AA265" i="33" s="1"/>
  <c r="O159" i="33"/>
  <c r="O156" i="33"/>
  <c r="O162" i="33" l="1"/>
  <c r="O165" i="33" s="1"/>
  <c r="O164" i="33"/>
  <c r="P155" i="33" s="1"/>
  <c r="P189" i="33" s="1"/>
  <c r="P160" i="33"/>
  <c r="AA264" i="33"/>
  <c r="AB255" i="33" s="1"/>
  <c r="P159" i="33" l="1"/>
  <c r="Q160" i="33" s="1"/>
  <c r="P156" i="33"/>
  <c r="AB256" i="33"/>
  <c r="AB305" i="33"/>
  <c r="AB260" i="33"/>
  <c r="P164" i="33" l="1"/>
  <c r="Q155" i="33" s="1"/>
  <c r="Q159" i="33" s="1"/>
  <c r="P162" i="33"/>
  <c r="P165" i="33" s="1"/>
  <c r="AB259" i="33"/>
  <c r="R160" i="33" l="1"/>
  <c r="Q164" i="33"/>
  <c r="R155" i="33" s="1"/>
  <c r="R189" i="33" s="1"/>
  <c r="Q156" i="33"/>
  <c r="Q189" i="33"/>
  <c r="AB264" i="33"/>
  <c r="AC255" i="33" s="1"/>
  <c r="AB262" i="33"/>
  <c r="AB265" i="33" s="1"/>
  <c r="R156" i="33" l="1"/>
  <c r="R159" i="33"/>
  <c r="R164" i="33" s="1"/>
  <c r="S155" i="33" s="1"/>
  <c r="S189" i="33" s="1"/>
  <c r="Q162" i="33"/>
  <c r="Q165" i="33" s="1"/>
  <c r="AC305" i="33"/>
  <c r="AC256" i="33"/>
  <c r="AC260" i="33"/>
  <c r="R162" i="33" l="1"/>
  <c r="R165" i="33" s="1"/>
  <c r="S160" i="33"/>
  <c r="S159" i="33" s="1"/>
  <c r="T160" i="33" s="1"/>
  <c r="AC259" i="33"/>
  <c r="AC262" i="33" s="1"/>
  <c r="AC265" i="33" s="1"/>
  <c r="S156" i="33"/>
  <c r="AC264" i="33" l="1"/>
  <c r="AD255" i="33" s="1"/>
  <c r="S164" i="33"/>
  <c r="T155" i="33" s="1"/>
  <c r="T159" i="33" s="1"/>
  <c r="T164" i="33" s="1"/>
  <c r="U155" i="33" s="1"/>
  <c r="S162" i="33"/>
  <c r="S165" i="33" s="1"/>
  <c r="AI108" i="33"/>
  <c r="AD256" i="33" l="1"/>
  <c r="AD305" i="33"/>
  <c r="T156" i="33"/>
  <c r="T162" i="33" s="1"/>
  <c r="T165" i="33" s="1"/>
  <c r="T189" i="33"/>
  <c r="U160" i="33"/>
  <c r="U159" i="33" s="1"/>
  <c r="U189" i="33"/>
  <c r="U156" i="33"/>
  <c r="AD260" i="33" l="1"/>
  <c r="U164" i="33"/>
  <c r="V155" i="33" s="1"/>
  <c r="V160" i="33"/>
  <c r="U162" i="33"/>
  <c r="U165" i="33" s="1"/>
  <c r="AD259" i="33" l="1"/>
  <c r="V159" i="33"/>
  <c r="V156" i="33"/>
  <c r="V189" i="33"/>
  <c r="AD264" i="33" l="1"/>
  <c r="AE255" i="33" s="1"/>
  <c r="AD262" i="33"/>
  <c r="AD265" i="33" s="1"/>
  <c r="AE260" i="33"/>
  <c r="V164" i="33"/>
  <c r="W155" i="33" s="1"/>
  <c r="W189" i="33" s="1"/>
  <c r="W160" i="33"/>
  <c r="V162" i="33"/>
  <c r="V165" i="33" s="1"/>
  <c r="AE259" i="33" l="1"/>
  <c r="AE305" i="33"/>
  <c r="AE256" i="33"/>
  <c r="W159" i="33"/>
  <c r="X160" i="33" s="1"/>
  <c r="W156" i="33"/>
  <c r="AE262" i="33" l="1"/>
  <c r="AE265" i="33" s="1"/>
  <c r="AF260" i="33"/>
  <c r="AE264" i="33"/>
  <c r="AF255" i="33" s="1"/>
  <c r="W164" i="33"/>
  <c r="X155" i="33" s="1"/>
  <c r="X156" i="33" s="1"/>
  <c r="W162" i="33"/>
  <c r="W165" i="33" s="1"/>
  <c r="AF305" i="33" l="1"/>
  <c r="AF256" i="33"/>
  <c r="AF259" i="33"/>
  <c r="X189" i="33"/>
  <c r="X159" i="33"/>
  <c r="AG260" i="33" l="1"/>
  <c r="AF262" i="33"/>
  <c r="AF265" i="33" s="1"/>
  <c r="AF264" i="33"/>
  <c r="AG255" i="33" s="1"/>
  <c r="X164" i="33"/>
  <c r="Y155" i="33" s="1"/>
  <c r="Y156" i="33" s="1"/>
  <c r="Y160" i="33"/>
  <c r="X162" i="33"/>
  <c r="X165" i="33" s="1"/>
  <c r="AG259" i="33" l="1"/>
  <c r="AG264" i="33" s="1"/>
  <c r="AH255" i="33" s="1"/>
  <c r="AG305" i="33"/>
  <c r="AG256" i="33"/>
  <c r="Y159" i="33"/>
  <c r="Z160" i="33" s="1"/>
  <c r="Y189" i="33"/>
  <c r="AH260" i="33" l="1"/>
  <c r="AH259" i="33" s="1"/>
  <c r="AH305" i="33"/>
  <c r="AH256" i="33"/>
  <c r="AG262" i="33"/>
  <c r="AG265" i="33" s="1"/>
  <c r="Y164" i="33"/>
  <c r="Y162" i="33"/>
  <c r="Y165" i="33" s="1"/>
  <c r="AH264" i="33" l="1"/>
  <c r="L84" i="34" s="1"/>
  <c r="AH262" i="33"/>
  <c r="AH265" i="33" s="1"/>
  <c r="Z155" i="33"/>
  <c r="Z189" i="33" l="1"/>
  <c r="Z156" i="33"/>
  <c r="Z159" i="33"/>
  <c r="AA160" i="33" s="1"/>
  <c r="Z162" i="33" l="1"/>
  <c r="Z165" i="33" s="1"/>
  <c r="Z164" i="33"/>
  <c r="AA155" i="33" s="1"/>
  <c r="AA159" i="33" l="1"/>
  <c r="AA189" i="33"/>
  <c r="AA156" i="33"/>
  <c r="AA164" i="33" l="1"/>
  <c r="AB155" i="33" s="1"/>
  <c r="AB189" i="33" s="1"/>
  <c r="AB160" i="33"/>
  <c r="AA162" i="33"/>
  <c r="AA165" i="33" s="1"/>
  <c r="AB156" i="33" l="1"/>
  <c r="AB159" i="33"/>
  <c r="AB164" i="33" l="1"/>
  <c r="AC155" i="33" s="1"/>
  <c r="AC189" i="33" s="1"/>
  <c r="AC160" i="33"/>
  <c r="AB162" i="33"/>
  <c r="AB165" i="33" s="1"/>
  <c r="AC156" i="33" l="1"/>
  <c r="AC159" i="33"/>
  <c r="AC164" i="33" s="1"/>
  <c r="AD155" i="33" s="1"/>
  <c r="AD156" i="33" s="1"/>
  <c r="AD160" i="33" l="1"/>
  <c r="AD159" i="33" s="1"/>
  <c r="AE160" i="33" s="1"/>
  <c r="AC162" i="33"/>
  <c r="AC165" i="33" s="1"/>
  <c r="AD189" i="33"/>
  <c r="AD162" i="33" l="1"/>
  <c r="AD165" i="33" s="1"/>
  <c r="AD164" i="33"/>
  <c r="AE155" i="33" s="1"/>
  <c r="AE189" i="33" l="1"/>
  <c r="AE156" i="33"/>
  <c r="AE159" i="33"/>
  <c r="AE164" i="33" l="1"/>
  <c r="AF155" i="33" s="1"/>
  <c r="AF156" i="33" s="1"/>
  <c r="AF160" i="33"/>
  <c r="AE162" i="33"/>
  <c r="AE165" i="33" s="1"/>
  <c r="AF189" i="33" l="1"/>
  <c r="AF159" i="33"/>
  <c r="AG160" i="33" s="1"/>
  <c r="AF164" i="33" l="1"/>
  <c r="AG155" i="33" s="1"/>
  <c r="AG156" i="33" s="1"/>
  <c r="AF162" i="33"/>
  <c r="AF165" i="33" s="1"/>
  <c r="AG159" i="33" l="1"/>
  <c r="AH160" i="33" s="1"/>
  <c r="AG189" i="33"/>
  <c r="AG162" i="33" l="1"/>
  <c r="AG165" i="33" s="1"/>
  <c r="AG164" i="33"/>
  <c r="AH155" i="33" s="1"/>
  <c r="AH156" i="33" s="1"/>
  <c r="AH159" i="33" l="1"/>
  <c r="AH164" i="33" s="1"/>
  <c r="AH189" i="33"/>
  <c r="AH162" i="33" l="1"/>
  <c r="AH165" i="33" s="1"/>
  <c r="BM37" i="35"/>
  <c r="BM31" i="35"/>
  <c r="BM32" i="35" l="1" a="1"/>
  <c r="BM32" i="35" s="1"/>
  <c r="I118" i="34" l="1"/>
  <c r="N118" i="34" s="1"/>
  <c r="AR19" i="35" s="1"/>
  <c r="P123" i="34" l="1"/>
  <c r="BJ45" i="35"/>
  <c r="AN448" i="33"/>
  <c r="BL38" i="35"/>
  <c r="AN106" i="33"/>
  <c r="R18" i="26"/>
  <c r="P22" i="26"/>
  <c r="R523" i="26" s="1"/>
  <c r="N22" i="26"/>
  <c r="M22" i="26"/>
  <c r="L22" i="26"/>
  <c r="R21" i="26"/>
  <c r="R20" i="26"/>
  <c r="R19" i="26"/>
  <c r="R17" i="26"/>
  <c r="R16" i="26"/>
  <c r="R15" i="26"/>
  <c r="R14" i="26"/>
  <c r="R13" i="26"/>
  <c r="E493" i="33" l="1"/>
  <c r="BS16" i="35"/>
  <c r="R22" i="26"/>
  <c r="W14" i="26" s="1"/>
  <c r="W529" i="26" l="1"/>
  <c r="W530" i="26" s="1"/>
  <c r="V14" i="26"/>
  <c r="V529" i="26" s="1"/>
  <c r="V530" i="26" s="1"/>
  <c r="X14" i="26"/>
  <c r="X529" i="26" l="1"/>
  <c r="X530" i="26" s="1"/>
  <c r="D124" i="33"/>
  <c r="N71" i="36" l="1"/>
  <c r="M71" i="36"/>
  <c r="M70" i="36"/>
  <c r="N70" i="36"/>
  <c r="N66" i="36"/>
  <c r="O66" i="36" s="1" a="1"/>
  <c r="O66" i="36" s="1"/>
  <c r="N65" i="36"/>
  <c r="O65" i="36" s="1" a="1"/>
  <c r="O65" i="36" s="1"/>
  <c r="M67" i="36"/>
  <c r="N69" i="36"/>
  <c r="N67" i="36"/>
  <c r="M66" i="36"/>
  <c r="N68" i="36"/>
  <c r="M68" i="36"/>
  <c r="M69" i="36"/>
  <c r="E51" i="33" l="1"/>
  <c r="E50" i="33" s="1"/>
  <c r="E53" i="33" s="1"/>
  <c r="E56" i="33" s="1"/>
  <c r="P71" i="36"/>
  <c r="P69" i="36"/>
  <c r="P68" i="36"/>
  <c r="P70" i="36"/>
  <c r="P66" i="36"/>
  <c r="P67" i="36"/>
  <c r="M65" i="36"/>
  <c r="P65" i="36" s="1"/>
  <c r="E55" i="33" l="1"/>
  <c r="F89" i="36"/>
  <c r="F46" i="33" l="1"/>
  <c r="F80" i="33" s="1"/>
  <c r="F88" i="36"/>
  <c r="F47" i="33" l="1"/>
  <c r="F86" i="36"/>
  <c r="F87" i="36"/>
  <c r="F82" i="36"/>
  <c r="F80" i="36"/>
  <c r="F83" i="36"/>
  <c r="F85" i="36"/>
  <c r="F81" i="36"/>
  <c r="F84" i="36"/>
  <c r="E33" i="33"/>
  <c r="E38" i="33" l="1"/>
  <c r="F29" i="33"/>
  <c r="E36" i="33"/>
  <c r="E39" i="33" s="1"/>
  <c r="F30" i="33" l="1"/>
  <c r="F79" i="33"/>
  <c r="F34" i="33" l="1"/>
  <c r="F33" i="33" s="1"/>
  <c r="F38" i="33" l="1"/>
  <c r="G29" i="33" s="1"/>
  <c r="F36" i="33"/>
  <c r="F39" i="33" s="1"/>
  <c r="G79" i="33" l="1"/>
  <c r="G30" i="33"/>
  <c r="G34" i="33" l="1"/>
  <c r="G33" i="33" s="1"/>
  <c r="G36" i="33" s="1"/>
  <c r="G39" i="33" s="1"/>
  <c r="G38" i="33" l="1"/>
  <c r="H29" i="33"/>
  <c r="H30" i="33" s="1"/>
  <c r="H79" i="33" l="1"/>
  <c r="H34" i="33" l="1"/>
  <c r="H33" i="33" s="1"/>
  <c r="H38" i="33" l="1"/>
  <c r="I29" i="33" s="1"/>
  <c r="H36" i="33"/>
  <c r="H39" i="33" s="1"/>
  <c r="AM103" i="33"/>
  <c r="I30" i="33" l="1"/>
  <c r="I79" i="33"/>
  <c r="AN334" i="33"/>
  <c r="AN336" i="33" s="1"/>
  <c r="AN109" i="33"/>
  <c r="AN217" i="33"/>
  <c r="AN219" i="33" s="1"/>
  <c r="E392" i="33" l="1"/>
  <c r="E391" i="33" l="1"/>
  <c r="E396" i="33" s="1"/>
  <c r="F387" i="33" l="1"/>
  <c r="F388" i="33" s="1"/>
  <c r="E394" i="33"/>
  <c r="E397" i="33" s="1"/>
  <c r="AI233" i="33" l="1"/>
  <c r="F421" i="33"/>
  <c r="E68" i="33" l="1"/>
  <c r="E88" i="33" l="1"/>
  <c r="G294" i="33" l="1"/>
  <c r="G293" i="33" s="1"/>
  <c r="G298" i="33" s="1"/>
  <c r="G313" i="33" l="1"/>
  <c r="G296" i="33"/>
  <c r="G299" i="33" s="1"/>
  <c r="H289" i="33"/>
  <c r="H307" i="33" s="1"/>
  <c r="H304" i="33" s="1"/>
  <c r="G317" i="33" l="1"/>
  <c r="G314" i="33"/>
  <c r="G316" i="33"/>
  <c r="H290" i="33"/>
  <c r="H309" i="33" s="1"/>
  <c r="H310" i="33" s="1"/>
  <c r="G347" i="33" l="1"/>
  <c r="G318" i="33"/>
  <c r="H311" i="33"/>
  <c r="H294" i="33"/>
  <c r="H293" i="33" s="1"/>
  <c r="H313" i="33" l="1"/>
  <c r="H296" i="33"/>
  <c r="H299" i="33" s="1"/>
  <c r="H298" i="33"/>
  <c r="G350" i="33"/>
  <c r="G351" i="33" s="1"/>
  <c r="G348" i="33"/>
  <c r="I289" i="33"/>
  <c r="I290" i="33" s="1"/>
  <c r="I309" i="33" s="1"/>
  <c r="I310" i="33" s="1"/>
  <c r="H316" i="33" l="1"/>
  <c r="H317" i="33"/>
  <c r="H314" i="33"/>
  <c r="I307" i="33"/>
  <c r="I304" i="33" s="1"/>
  <c r="I311" i="33" s="1"/>
  <c r="H318" i="33" l="1"/>
  <c r="H347" i="33"/>
  <c r="H350" i="33" l="1"/>
  <c r="H351" i="33" s="1"/>
  <c r="H348" i="33"/>
  <c r="I294" i="33"/>
  <c r="I293" i="33" s="1"/>
  <c r="I296" i="33" s="1"/>
  <c r="I299" i="33" s="1"/>
  <c r="I313" i="33" l="1"/>
  <c r="I298" i="33"/>
  <c r="J289" i="33" s="1"/>
  <c r="I314" i="33"/>
  <c r="I317" i="33"/>
  <c r="I316" i="33"/>
  <c r="J290" i="33"/>
  <c r="J309" i="33" s="1"/>
  <c r="J310" i="33" s="1"/>
  <c r="J307" i="33"/>
  <c r="J304" i="33" s="1"/>
  <c r="J311" i="33" l="1"/>
  <c r="I318" i="33"/>
  <c r="I347" i="33"/>
  <c r="I348" i="33" l="1"/>
  <c r="I350" i="33"/>
  <c r="I351" i="33" s="1"/>
  <c r="J294" i="33"/>
  <c r="J293" i="33" s="1"/>
  <c r="J296" i="33" s="1"/>
  <c r="J299" i="33" s="1"/>
  <c r="J313" i="33"/>
  <c r="J298" i="33"/>
  <c r="K289" i="33" s="1"/>
  <c r="K307" i="33" l="1"/>
  <c r="K304" i="33" s="1"/>
  <c r="K290" i="33"/>
  <c r="K309" i="33" s="1"/>
  <c r="K310" i="33" s="1"/>
  <c r="J316" i="33"/>
  <c r="J314" i="33"/>
  <c r="J317" i="33"/>
  <c r="J347" i="33" l="1"/>
  <c r="J318" i="33"/>
  <c r="K311" i="33"/>
  <c r="K294" i="33" l="1"/>
  <c r="K293" i="33" s="1"/>
  <c r="K296" i="33" s="1"/>
  <c r="K299" i="33" s="1"/>
  <c r="J350" i="33"/>
  <c r="J351" i="33" s="1"/>
  <c r="J348" i="33"/>
  <c r="K298" i="33" l="1"/>
  <c r="L289" i="33" s="1"/>
  <c r="K313" i="33"/>
  <c r="L290" i="33"/>
  <c r="L309" i="33" s="1"/>
  <c r="L310" i="33" s="1"/>
  <c r="L307" i="33"/>
  <c r="L304" i="33" s="1"/>
  <c r="K316" i="33"/>
  <c r="K317" i="33"/>
  <c r="K314" i="33"/>
  <c r="L311" i="33" l="1"/>
  <c r="K347" i="33"/>
  <c r="K318" i="33"/>
  <c r="L294" i="33" l="1"/>
  <c r="L293" i="33" s="1"/>
  <c r="L296" i="33" s="1"/>
  <c r="L299" i="33" s="1"/>
  <c r="K348" i="33"/>
  <c r="K350" i="33"/>
  <c r="K351" i="33" s="1"/>
  <c r="L298" i="33" l="1"/>
  <c r="M289" i="33" s="1"/>
  <c r="L313" i="33"/>
  <c r="M290" i="33"/>
  <c r="M309" i="33" s="1"/>
  <c r="M310" i="33" s="1"/>
  <c r="M307" i="33"/>
  <c r="M304" i="33" s="1"/>
  <c r="L317" i="33"/>
  <c r="L316" i="33"/>
  <c r="L314" i="33"/>
  <c r="L318" i="33" l="1"/>
  <c r="L347" i="33"/>
  <c r="M311" i="33"/>
  <c r="M294" i="33" l="1"/>
  <c r="M293" i="33" s="1"/>
  <c r="M296" i="33" s="1"/>
  <c r="M299" i="33" s="1"/>
  <c r="M298" i="33"/>
  <c r="N289" i="33" s="1"/>
  <c r="L348" i="33"/>
  <c r="L350" i="33"/>
  <c r="L351" i="33" s="1"/>
  <c r="M313" i="33" l="1"/>
  <c r="N307" i="33"/>
  <c r="N304" i="33" s="1"/>
  <c r="N290" i="33"/>
  <c r="N309" i="33" s="1"/>
  <c r="N310" i="33" s="1"/>
  <c r="M316" i="33"/>
  <c r="M317" i="33"/>
  <c r="M314" i="33"/>
  <c r="M347" i="33" l="1"/>
  <c r="M318" i="33"/>
  <c r="N311" i="33"/>
  <c r="N294" i="33" l="1"/>
  <c r="N293" i="33" s="1"/>
  <c r="N296" i="33" s="1"/>
  <c r="N299" i="33" s="1"/>
  <c r="M350" i="33"/>
  <c r="M351" i="33" s="1"/>
  <c r="M348" i="33"/>
  <c r="N298" i="33" l="1"/>
  <c r="O289" i="33" s="1"/>
  <c r="N313" i="33"/>
  <c r="O307" i="33"/>
  <c r="O304" i="33" s="1"/>
  <c r="O290" i="33"/>
  <c r="O309" i="33" s="1"/>
  <c r="O310" i="33" s="1"/>
  <c r="N317" i="33"/>
  <c r="N316" i="33"/>
  <c r="N314" i="33"/>
  <c r="N347" i="33" l="1"/>
  <c r="N318" i="33"/>
  <c r="O311" i="33"/>
  <c r="O294" i="33" l="1"/>
  <c r="O293" i="33" s="1"/>
  <c r="O296" i="33" s="1"/>
  <c r="O299" i="33" s="1"/>
  <c r="N350" i="33"/>
  <c r="N351" i="33" s="1"/>
  <c r="N348" i="33"/>
  <c r="O298" i="33" l="1"/>
  <c r="P289" i="33" s="1"/>
  <c r="O313" i="33"/>
  <c r="P290" i="33"/>
  <c r="P309" i="33" s="1"/>
  <c r="P310" i="33" s="1"/>
  <c r="P307" i="33"/>
  <c r="P304" i="33" s="1"/>
  <c r="O316" i="33"/>
  <c r="O317" i="33"/>
  <c r="O314" i="33"/>
  <c r="P311" i="33" l="1"/>
  <c r="O318" i="33"/>
  <c r="O347" i="33"/>
  <c r="P294" i="33" l="1"/>
  <c r="P293" i="33" s="1"/>
  <c r="P296" i="33" s="1"/>
  <c r="P299" i="33" s="1"/>
  <c r="O348" i="33"/>
  <c r="O350" i="33"/>
  <c r="O351" i="33" s="1"/>
  <c r="P298" i="33" l="1"/>
  <c r="Q289" i="33" s="1"/>
  <c r="P313" i="33"/>
  <c r="Q290" i="33"/>
  <c r="Q309" i="33" s="1"/>
  <c r="Q310" i="33" s="1"/>
  <c r="Q307" i="33"/>
  <c r="Q304" i="33" s="1"/>
  <c r="P314" i="33"/>
  <c r="P317" i="33"/>
  <c r="P316" i="33"/>
  <c r="Q311" i="33" l="1"/>
  <c r="P318" i="33"/>
  <c r="P347" i="33"/>
  <c r="Q294" i="33" l="1"/>
  <c r="Q293" i="33" s="1"/>
  <c r="Q296" i="33" s="1"/>
  <c r="Q299" i="33" s="1"/>
  <c r="Q298" i="33"/>
  <c r="R289" i="33" s="1"/>
  <c r="P350" i="33"/>
  <c r="P351" i="33" s="1"/>
  <c r="P348" i="33"/>
  <c r="Q313" i="33" l="1"/>
  <c r="R307" i="33"/>
  <c r="R304" i="33" s="1"/>
  <c r="R290" i="33"/>
  <c r="R309" i="33" s="1"/>
  <c r="R310" i="33" s="1"/>
  <c r="Q314" i="33"/>
  <c r="Q317" i="33"/>
  <c r="Q316" i="33"/>
  <c r="Q347" i="33" l="1"/>
  <c r="Q318" i="33"/>
  <c r="R311" i="33"/>
  <c r="R294" i="33" l="1"/>
  <c r="R293" i="33" s="1"/>
  <c r="R296" i="33" s="1"/>
  <c r="R299" i="33" s="1"/>
  <c r="R298" i="33"/>
  <c r="S289" i="33" s="1"/>
  <c r="Q348" i="33"/>
  <c r="Q350" i="33"/>
  <c r="Q351" i="33" s="1"/>
  <c r="R313" i="33" l="1"/>
  <c r="S307" i="33"/>
  <c r="S304" i="33" s="1"/>
  <c r="S290" i="33"/>
  <c r="S309" i="33" s="1"/>
  <c r="S310" i="33" s="1"/>
  <c r="R316" i="33"/>
  <c r="R317" i="33"/>
  <c r="R314" i="33"/>
  <c r="R347" i="33" l="1"/>
  <c r="R318" i="33"/>
  <c r="S311" i="33"/>
  <c r="S294" i="33" l="1"/>
  <c r="S293" i="33" s="1"/>
  <c r="S296" i="33" s="1"/>
  <c r="S299" i="33" s="1"/>
  <c r="R350" i="33"/>
  <c r="R351" i="33" s="1"/>
  <c r="R348" i="33"/>
  <c r="S298" i="33" l="1"/>
  <c r="T289" i="33" s="1"/>
  <c r="S313" i="33"/>
  <c r="T290" i="33"/>
  <c r="T309" i="33" s="1"/>
  <c r="T310" i="33" s="1"/>
  <c r="T307" i="33"/>
  <c r="T304" i="33" s="1"/>
  <c r="S316" i="33"/>
  <c r="S314" i="33"/>
  <c r="S317" i="33"/>
  <c r="T311" i="33" l="1"/>
  <c r="S318" i="33"/>
  <c r="S347" i="33"/>
  <c r="T294" i="33" l="1"/>
  <c r="T293" i="33" s="1"/>
  <c r="T296" i="33" s="1"/>
  <c r="T299" i="33" s="1"/>
  <c r="T298" i="33"/>
  <c r="U289" i="33" s="1"/>
  <c r="S348" i="33"/>
  <c r="S350" i="33"/>
  <c r="S351" i="33" s="1"/>
  <c r="T313" i="33" l="1"/>
  <c r="U290" i="33"/>
  <c r="U309" i="33" s="1"/>
  <c r="U310" i="33" s="1"/>
  <c r="U307" i="33"/>
  <c r="U304" i="33" s="1"/>
  <c r="T317" i="33"/>
  <c r="T314" i="33"/>
  <c r="T316" i="33"/>
  <c r="U311" i="33" l="1"/>
  <c r="T347" i="33"/>
  <c r="T318" i="33"/>
  <c r="U294" i="33" l="1"/>
  <c r="U293" i="33" s="1"/>
  <c r="U296" i="33" s="1"/>
  <c r="U299" i="33" s="1"/>
  <c r="T348" i="33"/>
  <c r="T350" i="33"/>
  <c r="T351" i="33" s="1"/>
  <c r="U298" i="33" l="1"/>
  <c r="V289" i="33" s="1"/>
  <c r="U313" i="33"/>
  <c r="V307" i="33"/>
  <c r="V304" i="33" s="1"/>
  <c r="V290" i="33"/>
  <c r="V309" i="33" s="1"/>
  <c r="V310" i="33" s="1"/>
  <c r="U316" i="33"/>
  <c r="U314" i="33"/>
  <c r="U317" i="33"/>
  <c r="U347" i="33" l="1"/>
  <c r="U318" i="33"/>
  <c r="V311" i="33"/>
  <c r="V294" i="33" l="1"/>
  <c r="V293" i="33" s="1"/>
  <c r="V296" i="33" s="1"/>
  <c r="V299" i="33" s="1"/>
  <c r="U350" i="33"/>
  <c r="U351" i="33" s="1"/>
  <c r="U348" i="33"/>
  <c r="V298" i="33" l="1"/>
  <c r="W289" i="33" s="1"/>
  <c r="V313" i="33"/>
  <c r="W307" i="33"/>
  <c r="W304" i="33" s="1"/>
  <c r="W290" i="33"/>
  <c r="W309" i="33" s="1"/>
  <c r="W310" i="33" s="1"/>
  <c r="V316" i="33"/>
  <c r="V317" i="33"/>
  <c r="V314" i="33"/>
  <c r="V318" i="33" l="1"/>
  <c r="V347" i="33"/>
  <c r="W311" i="33"/>
  <c r="W294" i="33" l="1"/>
  <c r="W293" i="33" s="1"/>
  <c r="W296" i="33" s="1"/>
  <c r="W299" i="33" s="1"/>
  <c r="W298" i="33"/>
  <c r="X289" i="33" s="1"/>
  <c r="V350" i="33"/>
  <c r="V351" i="33" s="1"/>
  <c r="V348" i="33"/>
  <c r="W313" i="33" l="1"/>
  <c r="X307" i="33"/>
  <c r="X304" i="33" s="1"/>
  <c r="X290" i="33"/>
  <c r="X309" i="33" s="1"/>
  <c r="X310" i="33" s="1"/>
  <c r="W317" i="33"/>
  <c r="W316" i="33"/>
  <c r="W314" i="33"/>
  <c r="W347" i="33" l="1"/>
  <c r="W318" i="33"/>
  <c r="X311" i="33"/>
  <c r="X294" i="33" l="1"/>
  <c r="X293" i="33" s="1"/>
  <c r="X296" i="33" s="1"/>
  <c r="X299" i="33" s="1"/>
  <c r="W350" i="33"/>
  <c r="W351" i="33" s="1"/>
  <c r="W348" i="33"/>
  <c r="X298" i="33" l="1"/>
  <c r="Y289" i="33" s="1"/>
  <c r="X313" i="33"/>
  <c r="Y290" i="33"/>
  <c r="Y309" i="33" s="1"/>
  <c r="Y310" i="33" s="1"/>
  <c r="Y307" i="33"/>
  <c r="Y304" i="33" s="1"/>
  <c r="Y311" i="33" s="1"/>
  <c r="X316" i="33"/>
  <c r="X317" i="33"/>
  <c r="X314" i="33"/>
  <c r="X318" i="33" l="1"/>
  <c r="X347" i="33"/>
  <c r="Y294" i="33" l="1"/>
  <c r="Y293" i="33" s="1"/>
  <c r="Y296" i="33" s="1"/>
  <c r="Y299" i="33" s="1"/>
  <c r="Y298" i="33"/>
  <c r="Z289" i="33" s="1"/>
  <c r="X350" i="33"/>
  <c r="X351" i="33" s="1"/>
  <c r="X348" i="33"/>
  <c r="Y313" i="33" l="1"/>
  <c r="Z307" i="33"/>
  <c r="Z304" i="33" s="1"/>
  <c r="Z290" i="33"/>
  <c r="Z309" i="33" s="1"/>
  <c r="Z310" i="33" s="1"/>
  <c r="Y317" i="33"/>
  <c r="Y314" i="33"/>
  <c r="Y316" i="33"/>
  <c r="Y347" i="33" l="1"/>
  <c r="Y318" i="33"/>
  <c r="Z311" i="33"/>
  <c r="Z294" i="33" l="1"/>
  <c r="Z293" i="33" s="1"/>
  <c r="Z296" i="33" s="1"/>
  <c r="Z299" i="33" s="1"/>
  <c r="Y350" i="33"/>
  <c r="Y351" i="33" s="1"/>
  <c r="Y348" i="33"/>
  <c r="Z298" i="33" l="1"/>
  <c r="AA289" i="33" s="1"/>
  <c r="Z313" i="33"/>
  <c r="AA307" i="33"/>
  <c r="AA304" i="33" s="1"/>
  <c r="AA290" i="33"/>
  <c r="AA309" i="33" s="1"/>
  <c r="AA310" i="33" s="1"/>
  <c r="Z316" i="33"/>
  <c r="Z317" i="33"/>
  <c r="Z314" i="33"/>
  <c r="Z318" i="33" l="1"/>
  <c r="Z347" i="33"/>
  <c r="AA311" i="33"/>
  <c r="AA294" i="33" l="1"/>
  <c r="AA293" i="33" s="1"/>
  <c r="AA296" i="33" s="1"/>
  <c r="AA299" i="33" s="1"/>
  <c r="Z350" i="33"/>
  <c r="Z351" i="33" s="1"/>
  <c r="Z348" i="33"/>
  <c r="AA298" i="33" l="1"/>
  <c r="AB289" i="33" s="1"/>
  <c r="AA313" i="33"/>
  <c r="AB290" i="33"/>
  <c r="AB309" i="33" s="1"/>
  <c r="AB310" i="33" s="1"/>
  <c r="AB307" i="33"/>
  <c r="AB304" i="33" s="1"/>
  <c r="AA316" i="33"/>
  <c r="AA317" i="33"/>
  <c r="AA314" i="33"/>
  <c r="AB311" i="33" l="1"/>
  <c r="AA347" i="33"/>
  <c r="AA318" i="33"/>
  <c r="AB294" i="33" l="1"/>
  <c r="AB293" i="33" s="1"/>
  <c r="AB296" i="33" s="1"/>
  <c r="AB299" i="33" s="1"/>
  <c r="AA350" i="33"/>
  <c r="AA351" i="33" s="1"/>
  <c r="AA348" i="33"/>
  <c r="AB298" i="33" l="1"/>
  <c r="AC289" i="33" s="1"/>
  <c r="AB313" i="33"/>
  <c r="AC290" i="33"/>
  <c r="AC309" i="33" s="1"/>
  <c r="AC310" i="33" s="1"/>
  <c r="AC307" i="33"/>
  <c r="AC304" i="33" s="1"/>
  <c r="AB317" i="33"/>
  <c r="AB316" i="33"/>
  <c r="AB314" i="33"/>
  <c r="AC311" i="33" l="1"/>
  <c r="AB318" i="33"/>
  <c r="AB347" i="33"/>
  <c r="AC294" i="33" l="1"/>
  <c r="AC293" i="33" s="1"/>
  <c r="AC296" i="33" s="1"/>
  <c r="AC299" i="33" s="1"/>
  <c r="AB350" i="33"/>
  <c r="AB351" i="33" s="1"/>
  <c r="AB348" i="33"/>
  <c r="AC298" i="33" l="1"/>
  <c r="AD289" i="33" s="1"/>
  <c r="AC313" i="33"/>
  <c r="AD290" i="33"/>
  <c r="AD309" i="33" s="1"/>
  <c r="AD310" i="33" s="1"/>
  <c r="AD307" i="33"/>
  <c r="AD304" i="33" s="1"/>
  <c r="AC317" i="33"/>
  <c r="AC314" i="33"/>
  <c r="AC316" i="33"/>
  <c r="AD311" i="33" l="1"/>
  <c r="AC347" i="33"/>
  <c r="AC318" i="33"/>
  <c r="AD294" i="33" l="1"/>
  <c r="AD293" i="33" s="1"/>
  <c r="AD296" i="33" s="1"/>
  <c r="AD299" i="33" s="1"/>
  <c r="AC348" i="33"/>
  <c r="AC350" i="33"/>
  <c r="AC351" i="33" s="1"/>
  <c r="AD298" i="33" l="1"/>
  <c r="AE289" i="33" s="1"/>
  <c r="AD313" i="33"/>
  <c r="AE290" i="33"/>
  <c r="AE309" i="33" s="1"/>
  <c r="AE310" i="33" s="1"/>
  <c r="AE307" i="33"/>
  <c r="AE304" i="33" s="1"/>
  <c r="AD317" i="33"/>
  <c r="AD314" i="33"/>
  <c r="AD316" i="33"/>
  <c r="AE311" i="33" l="1"/>
  <c r="AD347" i="33"/>
  <c r="AD318" i="33"/>
  <c r="AE294" i="33" l="1"/>
  <c r="AE293" i="33" s="1"/>
  <c r="AE296" i="33" s="1"/>
  <c r="AE299" i="33" s="1"/>
  <c r="AE298" i="33"/>
  <c r="AF289" i="33" s="1"/>
  <c r="AD350" i="33"/>
  <c r="AD351" i="33" s="1"/>
  <c r="AD348" i="33"/>
  <c r="AE313" i="33" l="1"/>
  <c r="AF307" i="33"/>
  <c r="AF304" i="33" s="1"/>
  <c r="AF290" i="33"/>
  <c r="AF309" i="33" s="1"/>
  <c r="AF310" i="33" s="1"/>
  <c r="AE317" i="33"/>
  <c r="AE314" i="33"/>
  <c r="AE316" i="33"/>
  <c r="AE347" i="33" l="1"/>
  <c r="AE318" i="33"/>
  <c r="AF311" i="33"/>
  <c r="AF294" i="33" l="1"/>
  <c r="AF293" i="33" s="1"/>
  <c r="AF296" i="33" s="1"/>
  <c r="AF299" i="33" s="1"/>
  <c r="AE350" i="33"/>
  <c r="AE351" i="33" s="1"/>
  <c r="AE348" i="33"/>
  <c r="AF298" i="33" l="1"/>
  <c r="AG289" i="33" s="1"/>
  <c r="AF313" i="33"/>
  <c r="AG290" i="33"/>
  <c r="AG307" i="33"/>
  <c r="AG304" i="33" s="1"/>
  <c r="AF316" i="33"/>
  <c r="AF317" i="33"/>
  <c r="AF314" i="33"/>
  <c r="AF318" i="33" l="1"/>
  <c r="AF347" i="33"/>
  <c r="AG309" i="33"/>
  <c r="AG310" i="33" s="1"/>
  <c r="AG311" i="33" l="1"/>
  <c r="AF350" i="33"/>
  <c r="AF351" i="33" s="1"/>
  <c r="AF348" i="33"/>
  <c r="AG294" i="33" l="1"/>
  <c r="AG293" i="33" s="1"/>
  <c r="AG296" i="33" s="1"/>
  <c r="AG299" i="33" s="1"/>
  <c r="AG298" i="33" l="1"/>
  <c r="AH289" i="33" s="1"/>
  <c r="AG313" i="33"/>
  <c r="AH307" i="33"/>
  <c r="AH304" i="33" s="1"/>
  <c r="AH290" i="33"/>
  <c r="AH309" i="33" s="1"/>
  <c r="AH310" i="33" s="1"/>
  <c r="AH294" i="33"/>
  <c r="AG316" i="33"/>
  <c r="AG314" i="33"/>
  <c r="AG317" i="33"/>
  <c r="AG347" i="33" l="1"/>
  <c r="AG318" i="33"/>
  <c r="AH311" i="33"/>
  <c r="AP330" i="33" s="1"/>
  <c r="AH293" i="33"/>
  <c r="AH296" i="33" s="1"/>
  <c r="AH299" i="33" s="1"/>
  <c r="AH313" i="33" l="1"/>
  <c r="AH314" i="33" s="1"/>
  <c r="AH298" i="33"/>
  <c r="N84" i="34" s="1"/>
  <c r="AG350" i="33"/>
  <c r="AG348" i="33"/>
  <c r="AI347" i="33"/>
  <c r="AG351" i="33" l="1"/>
  <c r="AI350" i="33"/>
  <c r="AH316" i="33"/>
  <c r="AH318" i="33" s="1"/>
  <c r="AH317" i="33"/>
  <c r="F51" i="33" l="1"/>
  <c r="F50" i="33" s="1"/>
  <c r="F55" i="33" l="1"/>
  <c r="G46" i="33" s="1"/>
  <c r="F53" i="33"/>
  <c r="F56" i="33" s="1"/>
  <c r="G47" i="33"/>
  <c r="G80" i="33"/>
  <c r="G51" i="33" l="1"/>
  <c r="G50" i="33" s="1"/>
  <c r="G55" i="33" l="1"/>
  <c r="H46" i="33" s="1"/>
  <c r="G53" i="33"/>
  <c r="G56" i="33" s="1"/>
  <c r="H80" i="33"/>
  <c r="H47" i="33"/>
  <c r="H51" i="33" l="1"/>
  <c r="H50" i="33" s="1"/>
  <c r="H53" i="33" s="1"/>
  <c r="H56" i="33" s="1"/>
  <c r="H55" i="33" l="1"/>
  <c r="I46" i="33"/>
  <c r="I47" i="33" l="1"/>
  <c r="I80" i="33"/>
  <c r="I51" i="33" l="1"/>
  <c r="I50" i="33" s="1"/>
  <c r="I53" i="33" s="1"/>
  <c r="I56" i="33" s="1"/>
  <c r="I55" i="33" l="1"/>
  <c r="J46" i="33"/>
  <c r="J80" i="33" l="1"/>
  <c r="J47" i="33"/>
  <c r="J51" i="33" l="1"/>
  <c r="J50" i="33" s="1"/>
  <c r="J53" i="33" s="1"/>
  <c r="J56" i="33" s="1"/>
  <c r="J55" i="33"/>
  <c r="K46" i="33" l="1"/>
  <c r="K47" i="33" l="1"/>
  <c r="K80" i="33"/>
  <c r="K51" i="33" l="1"/>
  <c r="K50" i="33" s="1"/>
  <c r="K53" i="33" s="1"/>
  <c r="K56" i="33" s="1"/>
  <c r="K55" i="33"/>
  <c r="L46" i="33" l="1"/>
  <c r="L80" i="33" l="1"/>
  <c r="L47" i="33"/>
  <c r="L51" i="33" l="1"/>
  <c r="L50" i="33" s="1"/>
  <c r="L53" i="33" s="1"/>
  <c r="L56" i="33" s="1"/>
  <c r="L55" i="33" l="1"/>
  <c r="M46" i="33" s="1"/>
  <c r="M47" i="33"/>
  <c r="M80" i="33"/>
  <c r="M51" i="33" l="1"/>
  <c r="M50" i="33" s="1"/>
  <c r="M53" i="33" s="1"/>
  <c r="M56" i="33" s="1"/>
  <c r="M55" i="33" l="1"/>
  <c r="N46" i="33" s="1"/>
  <c r="N80" i="33"/>
  <c r="N47" i="33"/>
  <c r="N51" i="33" l="1"/>
  <c r="N50" i="33" s="1"/>
  <c r="N53" i="33" s="1"/>
  <c r="N56" i="33" s="1"/>
  <c r="N55" i="33" l="1"/>
  <c r="O46" i="33" s="1"/>
  <c r="O80" i="33"/>
  <c r="O47" i="33"/>
  <c r="O51" i="33" l="1"/>
  <c r="O50" i="33" s="1"/>
  <c r="O53" i="33" s="1"/>
  <c r="O56" i="33" s="1"/>
  <c r="O55" i="33"/>
  <c r="P46" i="33" s="1"/>
  <c r="P80" i="33" l="1"/>
  <c r="P47" i="33"/>
  <c r="P51" i="33" l="1"/>
  <c r="P50" i="33" s="1"/>
  <c r="P53" i="33" s="1"/>
  <c r="P56" i="33" s="1"/>
  <c r="P55" i="33"/>
  <c r="Q46" i="33" s="1"/>
  <c r="Q80" i="33" l="1"/>
  <c r="Q47" i="33"/>
  <c r="Q51" i="33" l="1"/>
  <c r="Q50" i="33" s="1"/>
  <c r="Q53" i="33" s="1"/>
  <c r="Q56" i="33" s="1"/>
  <c r="Q55" i="33" l="1"/>
  <c r="R46" i="33" s="1"/>
  <c r="R80" i="33"/>
  <c r="R47" i="33"/>
  <c r="R51" i="33" l="1"/>
  <c r="R50" i="33" s="1"/>
  <c r="R53" i="33" s="1"/>
  <c r="R56" i="33" s="1"/>
  <c r="R55" i="33" l="1"/>
  <c r="S46" i="33" s="1"/>
  <c r="S47" i="33" s="1"/>
  <c r="S80" i="33" l="1"/>
  <c r="S51" i="33"/>
  <c r="S50" i="33" s="1"/>
  <c r="S53" i="33" s="1"/>
  <c r="S56" i="33" s="1"/>
  <c r="S55" i="33"/>
  <c r="T46" i="33" s="1"/>
  <c r="T47" i="33" s="1"/>
  <c r="T51" i="33" l="1"/>
  <c r="T80" i="33"/>
  <c r="T50" i="33" l="1"/>
  <c r="T55" i="33"/>
  <c r="U46" i="33" s="1"/>
  <c r="U51" i="33" l="1"/>
  <c r="T53" i="33"/>
  <c r="T56" i="33" s="1"/>
  <c r="U47" i="33"/>
  <c r="U80" i="33"/>
  <c r="U50" i="33"/>
  <c r="U53" i="33" l="1"/>
  <c r="U56" i="33" s="1"/>
  <c r="V51" i="33"/>
  <c r="U55" i="33"/>
  <c r="V46" i="33" s="1"/>
  <c r="V50" i="33" l="1"/>
  <c r="V55" i="33" s="1"/>
  <c r="W46" i="33" s="1"/>
  <c r="V47" i="33"/>
  <c r="V80" i="33"/>
  <c r="W51" i="33" l="1"/>
  <c r="W50" i="33" s="1"/>
  <c r="X51" i="33" s="1"/>
  <c r="W47" i="33"/>
  <c r="W80" i="33"/>
  <c r="V53" i="33"/>
  <c r="V56" i="33" s="1"/>
  <c r="W55" i="33" l="1"/>
  <c r="X46" i="33" s="1"/>
  <c r="X50" i="33" s="1"/>
  <c r="W53" i="33"/>
  <c r="W56" i="33" s="1"/>
  <c r="X80" i="33" l="1"/>
  <c r="X47" i="33"/>
  <c r="Y51" i="33"/>
  <c r="X55" i="33"/>
  <c r="Y46" i="33" s="1"/>
  <c r="Y80" i="33" s="1"/>
  <c r="Y47" i="33" l="1"/>
  <c r="Y50" i="33"/>
  <c r="Y55" i="33" s="1"/>
  <c r="Z46" i="33" s="1"/>
  <c r="Z80" i="33" s="1"/>
  <c r="X53" i="33"/>
  <c r="X56" i="33" s="1"/>
  <c r="Z51" i="33"/>
  <c r="Z50" i="33" s="1"/>
  <c r="Z47" i="33" l="1"/>
  <c r="Y53" i="33"/>
  <c r="Y56" i="33" s="1"/>
  <c r="AA51" i="33"/>
  <c r="Z55" i="33"/>
  <c r="AA46" i="33" s="1"/>
  <c r="Z53" i="33" l="1"/>
  <c r="Z56" i="33" s="1"/>
  <c r="AA50" i="33"/>
  <c r="AB51" i="33" s="1"/>
  <c r="AA47" i="33"/>
  <c r="AA80" i="33"/>
  <c r="AA55" i="33" l="1"/>
  <c r="AB46" i="33" s="1"/>
  <c r="AB50" i="33" s="1"/>
  <c r="AB55" i="33" s="1"/>
  <c r="AC46" i="33" s="1"/>
  <c r="AA53" i="33"/>
  <c r="AA56" i="33" s="1"/>
  <c r="AB80" i="33" l="1"/>
  <c r="AB47" i="33"/>
  <c r="AB53" i="33" s="1"/>
  <c r="AB56" i="33" s="1"/>
  <c r="AC51" i="33"/>
  <c r="AC50" i="33" s="1"/>
  <c r="AD51" i="33" s="1"/>
  <c r="AC47" i="33"/>
  <c r="AC80" i="33"/>
  <c r="AC55" i="33" l="1"/>
  <c r="AD46" i="33" s="1"/>
  <c r="AD47" i="33" s="1"/>
  <c r="AC53" i="33"/>
  <c r="AC56" i="33" s="1"/>
  <c r="AD80" i="33" l="1"/>
  <c r="AD50" i="33"/>
  <c r="AD55" i="33" s="1"/>
  <c r="AE46" i="33" s="1"/>
  <c r="AE47" i="33" s="1"/>
  <c r="AD53" i="33" l="1"/>
  <c r="AD56" i="33" s="1"/>
  <c r="AE51" i="33"/>
  <c r="AE50" i="33" s="1"/>
  <c r="AE53" i="33" s="1"/>
  <c r="AE56" i="33" s="1"/>
  <c r="AE80" i="33"/>
  <c r="AE55" i="33" l="1"/>
  <c r="AF46" i="33" s="1"/>
  <c r="AF80" i="33" s="1"/>
  <c r="AF51" i="33"/>
  <c r="AF50" i="33" l="1"/>
  <c r="AF47" i="33"/>
  <c r="AG51" i="33"/>
  <c r="AF55" i="33"/>
  <c r="AG46" i="33" s="1"/>
  <c r="AF53" i="33" l="1"/>
  <c r="AF56" i="33" s="1"/>
  <c r="AG80" i="33"/>
  <c r="AG47" i="33"/>
  <c r="AG50" i="33"/>
  <c r="AG55" i="33" l="1"/>
  <c r="AH46" i="33" s="1"/>
  <c r="AH51" i="33"/>
  <c r="AG53" i="33"/>
  <c r="AG56" i="33" s="1"/>
  <c r="AH50" i="33" l="1"/>
  <c r="AH47" i="33"/>
  <c r="AH80" i="33"/>
  <c r="AH55" i="33" l="1"/>
  <c r="M52" i="34" s="1"/>
  <c r="AH53" i="33"/>
  <c r="AH56" i="33" s="1"/>
  <c r="AI123" i="33" l="1"/>
  <c r="G79" i="34" l="1"/>
  <c r="I83" i="34" s="1"/>
  <c r="G85" i="34" l="1"/>
  <c r="G63" i="34"/>
  <c r="AM18" i="35" l="1"/>
  <c r="AM20" i="35" s="1"/>
  <c r="AM23" i="35" s="1"/>
  <c r="AM25" i="35" s="1"/>
  <c r="AO329" i="33"/>
  <c r="AO336" i="33" s="1"/>
  <c r="AN338" i="33" s="1"/>
  <c r="I84" i="34"/>
  <c r="I67" i="34"/>
  <c r="G69" i="34"/>
  <c r="AM33" i="35" l="1"/>
  <c r="AM32" i="35"/>
  <c r="AM28" i="35"/>
  <c r="AO212" i="33"/>
  <c r="AO219" i="33" s="1"/>
  <c r="AN221" i="33" s="1"/>
  <c r="I68" i="34"/>
  <c r="AH18" i="35"/>
  <c r="AH20" i="35" s="1"/>
  <c r="AH23" i="35" s="1"/>
  <c r="AH25" i="35" s="1"/>
  <c r="AH28" i="35" l="1"/>
  <c r="AH32" i="35"/>
  <c r="AH33" i="35"/>
  <c r="G47" i="34"/>
  <c r="F97" i="34"/>
  <c r="F99" i="34" s="1"/>
  <c r="F104" i="34" s="1"/>
  <c r="J97" i="34" l="1"/>
  <c r="E111" i="34" s="1"/>
  <c r="BK13" i="35" s="1"/>
  <c r="L97" i="34"/>
  <c r="H115" i="34"/>
  <c r="BJ42" i="35" s="1"/>
  <c r="L99" i="34"/>
  <c r="L104" i="34" s="1"/>
  <c r="L123" i="34" s="1"/>
  <c r="J99" i="34"/>
  <c r="J104" i="34" s="1"/>
  <c r="E118" i="34" s="1"/>
  <c r="BK18" i="35" s="1"/>
  <c r="I51" i="34"/>
  <c r="AD18" i="35" l="1"/>
  <c r="AD20" i="35" s="1"/>
  <c r="AD23" i="35" s="1"/>
  <c r="AD25" i="35" s="1"/>
  <c r="I52" i="34"/>
  <c r="AO102" i="33"/>
  <c r="AO109" i="33" s="1"/>
  <c r="AN111" i="33" s="1"/>
  <c r="E113" i="34"/>
  <c r="BJ31" i="35" s="1"/>
  <c r="AN450" i="33"/>
  <c r="AN451" i="33" s="1"/>
  <c r="BS15" i="35"/>
  <c r="BS17" i="35" s="1"/>
  <c r="E489" i="33"/>
  <c r="I509" i="33" s="1"/>
  <c r="I510" i="33" s="1"/>
  <c r="AO444" i="33"/>
  <c r="AO451" i="33" s="1"/>
  <c r="L122" i="34"/>
  <c r="AN453" i="33" l="1"/>
  <c r="E492" i="33"/>
  <c r="E496" i="33" s="1"/>
  <c r="BW14" i="35"/>
  <c r="BW17" i="35" s="1"/>
  <c r="I7" i="34"/>
  <c r="AD33" i="35"/>
  <c r="AR46" i="35" s="1"/>
  <c r="AD32" i="35"/>
  <c r="AD28" i="35"/>
  <c r="H116" i="34" l="1"/>
  <c r="AR18" i="35"/>
  <c r="AR20" i="35" s="1"/>
  <c r="E498" i="33"/>
  <c r="J506" i="33"/>
  <c r="J510" i="33" s="1"/>
  <c r="I512" i="33" s="1"/>
  <c r="E502" i="33" l="1"/>
  <c r="J467" i="33"/>
  <c r="V467" i="33"/>
  <c r="AC467" i="33"/>
  <c r="N467" i="33"/>
  <c r="Z467" i="33"/>
  <c r="D467" i="33"/>
  <c r="AA467" i="33"/>
  <c r="S467" i="33"/>
  <c r="L467" i="33"/>
  <c r="X467" i="33"/>
  <c r="O467" i="33"/>
  <c r="AD467" i="33"/>
  <c r="G467" i="33"/>
  <c r="W467" i="33"/>
  <c r="P467" i="33"/>
  <c r="T467" i="33"/>
  <c r="F467" i="33"/>
  <c r="AG467" i="33"/>
  <c r="U467" i="33"/>
  <c r="Y467" i="33"/>
  <c r="E467" i="33"/>
  <c r="I467" i="33"/>
  <c r="Q467" i="33"/>
  <c r="AF467" i="33"/>
  <c r="K467" i="33"/>
  <c r="AE467" i="33"/>
  <c r="H467" i="33"/>
  <c r="M467" i="33"/>
  <c r="AB467" i="33"/>
  <c r="R467" i="33"/>
  <c r="BT36" i="35"/>
  <c r="BT38" i="35" s="1"/>
  <c r="BT39" i="35" s="1"/>
  <c r="AR23" i="35"/>
  <c r="AR25" i="35" s="1"/>
  <c r="AR33" i="35" l="1"/>
  <c r="AR32" i="35"/>
  <c r="AR28" i="35"/>
  <c r="C99" i="34" l="1"/>
  <c r="AR51" i="35"/>
  <c r="G4" i="25"/>
  <c r="G4" i="43"/>
  <c r="BS28" i="35" l="1"/>
  <c r="F281" i="42" l="1"/>
  <c r="M116" i="34" l="1"/>
  <c r="L116" i="34"/>
  <c r="E409" i="33"/>
  <c r="E408" i="33" s="1"/>
  <c r="F392" i="33"/>
  <c r="F391" i="33" s="1"/>
  <c r="F394" i="33" l="1"/>
  <c r="F397" i="33" s="1"/>
  <c r="G392" i="33"/>
  <c r="F396" i="33"/>
  <c r="G387" i="33" s="1"/>
  <c r="E411" i="33"/>
  <c r="E414" i="33" s="1"/>
  <c r="E413" i="33"/>
  <c r="F404" i="33" s="1"/>
  <c r="E428" i="33"/>
  <c r="E429" i="33" s="1"/>
  <c r="F409" i="33"/>
  <c r="F408" i="33" s="1"/>
  <c r="G391" i="33" l="1"/>
  <c r="H392" i="33" s="1"/>
  <c r="G409" i="33"/>
  <c r="E432" i="33"/>
  <c r="E431" i="33"/>
  <c r="F405" i="33"/>
  <c r="F422" i="33"/>
  <c r="F419" i="33" s="1"/>
  <c r="F413" i="33"/>
  <c r="G404" i="33" s="1"/>
  <c r="G388" i="33"/>
  <c r="G394" i="33" s="1"/>
  <c r="G397" i="33" s="1"/>
  <c r="G396" i="33"/>
  <c r="H387" i="33" s="1"/>
  <c r="G421" i="33"/>
  <c r="H391" i="33" l="1"/>
  <c r="I392" i="33"/>
  <c r="F424" i="33"/>
  <c r="F426" i="33" s="1"/>
  <c r="F411" i="33"/>
  <c r="F414" i="33" s="1"/>
  <c r="G405" i="33"/>
  <c r="G422" i="33"/>
  <c r="E462" i="33"/>
  <c r="E433" i="33"/>
  <c r="G408" i="33"/>
  <c r="G413" i="33" s="1"/>
  <c r="H404" i="33" s="1"/>
  <c r="H388" i="33"/>
  <c r="H394" i="33" s="1"/>
  <c r="H397" i="33" s="1"/>
  <c r="H396" i="33"/>
  <c r="I387" i="33" s="1"/>
  <c r="H421" i="33"/>
  <c r="I391" i="33" l="1"/>
  <c r="J392" i="33"/>
  <c r="I421" i="33"/>
  <c r="I388" i="33"/>
  <c r="I394" i="33" s="1"/>
  <c r="I397" i="33" s="1"/>
  <c r="I396" i="33"/>
  <c r="J387" i="33" s="1"/>
  <c r="H422" i="33"/>
  <c r="H405" i="33"/>
  <c r="G411" i="33"/>
  <c r="G414" i="33" s="1"/>
  <c r="F425" i="33"/>
  <c r="E463" i="33"/>
  <c r="E464" i="33" s="1"/>
  <c r="E473" i="33"/>
  <c r="H409" i="33"/>
  <c r="H408" i="33" s="1"/>
  <c r="J391" i="33" l="1"/>
  <c r="I409" i="33"/>
  <c r="H413" i="33"/>
  <c r="I404" i="33" s="1"/>
  <c r="H411" i="33"/>
  <c r="H414" i="33" s="1"/>
  <c r="K392" i="33"/>
  <c r="J396" i="33"/>
  <c r="K387" i="33" s="1"/>
  <c r="J388" i="33"/>
  <c r="J394" i="33" s="1"/>
  <c r="J397" i="33" s="1"/>
  <c r="J421" i="33"/>
  <c r="E474" i="33"/>
  <c r="I408" i="33" l="1"/>
  <c r="J409" i="33" s="1"/>
  <c r="K391" i="33"/>
  <c r="L392" i="33"/>
  <c r="K388" i="33"/>
  <c r="K394" i="33" s="1"/>
  <c r="K397" i="33" s="1"/>
  <c r="K396" i="33"/>
  <c r="L387" i="33" s="1"/>
  <c r="L391" i="33" s="1"/>
  <c r="K421" i="33"/>
  <c r="I405" i="33"/>
  <c r="I413" i="33"/>
  <c r="J404" i="33" s="1"/>
  <c r="I422" i="33"/>
  <c r="M392" i="33" l="1"/>
  <c r="J405" i="33"/>
  <c r="J422" i="33"/>
  <c r="I411" i="33"/>
  <c r="I414" i="33" s="1"/>
  <c r="J408" i="33"/>
  <c r="J413" i="33" s="1"/>
  <c r="K404" i="33" s="1"/>
  <c r="L421" i="33"/>
  <c r="L388" i="33"/>
  <c r="L394" i="33" s="1"/>
  <c r="L397" i="33" s="1"/>
  <c r="L396" i="33"/>
  <c r="M387" i="33" s="1"/>
  <c r="M391" i="33" l="1"/>
  <c r="N392" i="33"/>
  <c r="M396" i="33"/>
  <c r="N387" i="33" s="1"/>
  <c r="M421" i="33"/>
  <c r="M388" i="33"/>
  <c r="M394" i="33" s="1"/>
  <c r="M397" i="33" s="1"/>
  <c r="J411" i="33"/>
  <c r="J414" i="33" s="1"/>
  <c r="K422" i="33"/>
  <c r="K405" i="33"/>
  <c r="K409" i="33"/>
  <c r="K408" i="33" s="1"/>
  <c r="N391" i="33" l="1"/>
  <c r="O392" i="33"/>
  <c r="L409" i="33"/>
  <c r="K413" i="33"/>
  <c r="L404" i="33" s="1"/>
  <c r="K411" i="33"/>
  <c r="K414" i="33" s="1"/>
  <c r="N388" i="33"/>
  <c r="N394" i="33" s="1"/>
  <c r="N397" i="33" s="1"/>
  <c r="N396" i="33"/>
  <c r="O387" i="33" s="1"/>
  <c r="N421" i="33"/>
  <c r="L408" i="33" l="1"/>
  <c r="M409" i="33"/>
  <c r="O388" i="33"/>
  <c r="O421" i="33"/>
  <c r="L405" i="33"/>
  <c r="L413" i="33"/>
  <c r="M404" i="33" s="1"/>
  <c r="L422" i="33"/>
  <c r="O391" i="33"/>
  <c r="P392" i="33" l="1"/>
  <c r="O396" i="33"/>
  <c r="P387" i="33" s="1"/>
  <c r="M405" i="33"/>
  <c r="M422" i="33"/>
  <c r="L411" i="33"/>
  <c r="L414" i="33" s="1"/>
  <c r="O394" i="33"/>
  <c r="O397" i="33" s="1"/>
  <c r="M408" i="33"/>
  <c r="M413" i="33" s="1"/>
  <c r="N404" i="33" s="1"/>
  <c r="M411" i="33" l="1"/>
  <c r="M414" i="33" s="1"/>
  <c r="N409" i="33"/>
  <c r="N408" i="33" s="1"/>
  <c r="P421" i="33"/>
  <c r="P388" i="33"/>
  <c r="N422" i="33"/>
  <c r="N405" i="33"/>
  <c r="P391" i="33"/>
  <c r="P396" i="33" s="1"/>
  <c r="Q387" i="33" s="1"/>
  <c r="P394" i="33" l="1"/>
  <c r="P397" i="33" s="1"/>
  <c r="O409" i="33"/>
  <c r="N411" i="33"/>
  <c r="N414" i="33" s="1"/>
  <c r="N413" i="33"/>
  <c r="O404" i="33" s="1"/>
  <c r="Q388" i="33"/>
  <c r="Q421" i="33"/>
  <c r="Q392" i="33"/>
  <c r="Q391" i="33" s="1"/>
  <c r="O408" i="33" l="1"/>
  <c r="R392" i="33"/>
  <c r="Q396" i="33"/>
  <c r="R387" i="33" s="1"/>
  <c r="Q394" i="33"/>
  <c r="Q397" i="33" s="1"/>
  <c r="P409" i="33"/>
  <c r="O405" i="33"/>
  <c r="O413" i="33"/>
  <c r="P404" i="33" s="1"/>
  <c r="O422" i="33"/>
  <c r="P408" i="33" l="1"/>
  <c r="R391" i="33"/>
  <c r="R396" i="33" s="1"/>
  <c r="S387" i="33" s="1"/>
  <c r="Q409" i="33"/>
  <c r="S392" i="33"/>
  <c r="S391" i="33" s="1"/>
  <c r="P405" i="33"/>
  <c r="P413" i="33"/>
  <c r="Q404" i="33" s="1"/>
  <c r="P422" i="33"/>
  <c r="O411" i="33"/>
  <c r="O414" i="33" s="1"/>
  <c r="R388" i="33"/>
  <c r="R421" i="33"/>
  <c r="R394" i="33" l="1"/>
  <c r="R397" i="33" s="1"/>
  <c r="T392" i="33"/>
  <c r="S388" i="33"/>
  <c r="S394" i="33" s="1"/>
  <c r="S397" i="33" s="1"/>
  <c r="S421" i="33"/>
  <c r="S396" i="33"/>
  <c r="T387" i="33" s="1"/>
  <c r="Q422" i="33"/>
  <c r="Q405" i="33"/>
  <c r="P411" i="33"/>
  <c r="P414" i="33" s="1"/>
  <c r="Q408" i="33"/>
  <c r="Q413" i="33" s="1"/>
  <c r="R404" i="33" s="1"/>
  <c r="T391" i="33" l="1"/>
  <c r="R405" i="33"/>
  <c r="R422" i="33"/>
  <c r="U392" i="33"/>
  <c r="Q411" i="33"/>
  <c r="Q414" i="33" s="1"/>
  <c r="R409" i="33"/>
  <c r="R408" i="33" s="1"/>
  <c r="T388" i="33"/>
  <c r="T394" i="33" s="1"/>
  <c r="T397" i="33" s="1"/>
  <c r="T396" i="33"/>
  <c r="U387" i="33" s="1"/>
  <c r="T421" i="33"/>
  <c r="U391" i="33" l="1"/>
  <c r="S409" i="33"/>
  <c r="R413" i="33"/>
  <c r="S404" i="33" s="1"/>
  <c r="R411" i="33"/>
  <c r="R414" i="33" s="1"/>
  <c r="V392" i="33"/>
  <c r="U421" i="33"/>
  <c r="U396" i="33"/>
  <c r="V387" i="33" s="1"/>
  <c r="U388" i="33"/>
  <c r="U394" i="33" s="1"/>
  <c r="U397" i="33" s="1"/>
  <c r="V391" i="33" l="1"/>
  <c r="S408" i="33"/>
  <c r="W392" i="33"/>
  <c r="T409" i="33"/>
  <c r="V421" i="33"/>
  <c r="V396" i="33"/>
  <c r="W387" i="33" s="1"/>
  <c r="W391" i="33" s="1"/>
  <c r="V388" i="33"/>
  <c r="V394" i="33" s="1"/>
  <c r="V397" i="33" s="1"/>
  <c r="S405" i="33"/>
  <c r="S413" i="33"/>
  <c r="T404" i="33" s="1"/>
  <c r="S422" i="33"/>
  <c r="T408" i="33" l="1"/>
  <c r="T413" i="33" s="1"/>
  <c r="U404" i="33" s="1"/>
  <c r="X392" i="33"/>
  <c r="U409" i="33"/>
  <c r="S411" i="33"/>
  <c r="S414" i="33" s="1"/>
  <c r="T405" i="33"/>
  <c r="T422" i="33"/>
  <c r="W388" i="33"/>
  <c r="W394" i="33" s="1"/>
  <c r="W397" i="33" s="1"/>
  <c r="W421" i="33"/>
  <c r="W396" i="33"/>
  <c r="X387" i="33" s="1"/>
  <c r="U408" i="33" l="1"/>
  <c r="V409" i="33"/>
  <c r="T411" i="33"/>
  <c r="T414" i="33" s="1"/>
  <c r="U405" i="33"/>
  <c r="U422" i="33"/>
  <c r="U413" i="33"/>
  <c r="V404" i="33" s="1"/>
  <c r="X388" i="33"/>
  <c r="X421" i="33"/>
  <c r="X391" i="33"/>
  <c r="X396" i="33" s="1"/>
  <c r="Y387" i="33" s="1"/>
  <c r="X394" i="33" l="1"/>
  <c r="X397" i="33" s="1"/>
  <c r="V422" i="33"/>
  <c r="V405" i="33"/>
  <c r="Y388" i="33"/>
  <c r="Y421" i="33"/>
  <c r="Y392" i="33"/>
  <c r="Y391" i="33" s="1"/>
  <c r="U411" i="33"/>
  <c r="U414" i="33" s="1"/>
  <c r="V408" i="33"/>
  <c r="V413" i="33" s="1"/>
  <c r="W404" i="33" s="1"/>
  <c r="Z392" i="33" l="1"/>
  <c r="Y396" i="33"/>
  <c r="Z387" i="33" s="1"/>
  <c r="Y394" i="33"/>
  <c r="Y397" i="33" s="1"/>
  <c r="V411" i="33"/>
  <c r="V414" i="33" s="1"/>
  <c r="W422" i="33"/>
  <c r="W405" i="33"/>
  <c r="W409" i="33"/>
  <c r="W408" i="33" s="1"/>
  <c r="X409" i="33" l="1"/>
  <c r="W411" i="33"/>
  <c r="W414" i="33" s="1"/>
  <c r="W413" i="33"/>
  <c r="X404" i="33" s="1"/>
  <c r="Z388" i="33"/>
  <c r="Z421" i="33"/>
  <c r="Z391" i="33"/>
  <c r="Z394" i="33" l="1"/>
  <c r="Z397" i="33" s="1"/>
  <c r="X408" i="33"/>
  <c r="Y409" i="33"/>
  <c r="X413" i="33"/>
  <c r="Y404" i="33" s="1"/>
  <c r="X422" i="33"/>
  <c r="X405" i="33"/>
  <c r="AA392" i="33"/>
  <c r="Z396" i="33"/>
  <c r="AA387" i="33" s="1"/>
  <c r="AA391" i="33" l="1"/>
  <c r="Y408" i="33"/>
  <c r="AB392" i="33"/>
  <c r="Z409" i="33"/>
  <c r="X411" i="33"/>
  <c r="X414" i="33" s="1"/>
  <c r="Y405" i="33"/>
  <c r="Y413" i="33"/>
  <c r="Z404" i="33" s="1"/>
  <c r="Y422" i="33"/>
  <c r="AA396" i="33"/>
  <c r="AB387" i="33" s="1"/>
  <c r="AA421" i="33"/>
  <c r="AA388" i="33"/>
  <c r="AA394" i="33" s="1"/>
  <c r="AA397" i="33" s="1"/>
  <c r="Y411" i="33" l="1"/>
  <c r="Y414" i="33" s="1"/>
  <c r="AB388" i="33"/>
  <c r="AB421" i="33"/>
  <c r="AB391" i="33"/>
  <c r="Z422" i="33"/>
  <c r="Z405" i="33"/>
  <c r="Z408" i="33"/>
  <c r="Z413" i="33" s="1"/>
  <c r="AA404" i="33" s="1"/>
  <c r="AA422" i="33" l="1"/>
  <c r="AA405" i="33"/>
  <c r="AA409" i="33"/>
  <c r="AA408" i="33" s="1"/>
  <c r="Z411" i="33"/>
  <c r="Z414" i="33" s="1"/>
  <c r="AB394" i="33"/>
  <c r="AB397" i="33" s="1"/>
  <c r="AC392" i="33"/>
  <c r="AB396" i="33"/>
  <c r="AC387" i="33" s="1"/>
  <c r="AC391" i="33" l="1"/>
  <c r="AC396" i="33" s="1"/>
  <c r="AD387" i="33" s="1"/>
  <c r="AD392" i="33"/>
  <c r="AB409" i="33"/>
  <c r="AA413" i="33"/>
  <c r="AB404" i="33" s="1"/>
  <c r="AA411" i="33"/>
  <c r="AA414" i="33" s="1"/>
  <c r="AC388" i="33"/>
  <c r="AC394" i="33" s="1"/>
  <c r="AC397" i="33" s="1"/>
  <c r="AC421" i="33"/>
  <c r="AB408" i="33" l="1"/>
  <c r="AC409" i="33"/>
  <c r="AB405" i="33"/>
  <c r="AB413" i="33"/>
  <c r="AC404" i="33" s="1"/>
  <c r="AB422" i="33"/>
  <c r="AD388" i="33"/>
  <c r="AD421" i="33"/>
  <c r="AD391" i="33"/>
  <c r="AD396" i="33" s="1"/>
  <c r="AE387" i="33" s="1"/>
  <c r="AC408" i="33" l="1"/>
  <c r="AD409" i="33" s="1"/>
  <c r="AE421" i="33"/>
  <c r="AE388" i="33"/>
  <c r="AC422" i="33"/>
  <c r="AC405" i="33"/>
  <c r="AC413" i="33"/>
  <c r="AD404" i="33" s="1"/>
  <c r="AD394" i="33"/>
  <c r="AD397" i="33" s="1"/>
  <c r="AE392" i="33"/>
  <c r="AE391" i="33" s="1"/>
  <c r="AB411" i="33"/>
  <c r="AB414" i="33" s="1"/>
  <c r="AF392" i="33" l="1"/>
  <c r="AE396" i="33"/>
  <c r="AF387" i="33" s="1"/>
  <c r="AE394" i="33"/>
  <c r="AE397" i="33" s="1"/>
  <c r="AD422" i="33"/>
  <c r="AD405" i="33"/>
  <c r="AC411" i="33"/>
  <c r="AC414" i="33" s="1"/>
  <c r="AD408" i="33"/>
  <c r="AE409" i="33" l="1"/>
  <c r="AD413" i="33"/>
  <c r="AE404" i="33" s="1"/>
  <c r="AF388" i="33"/>
  <c r="AF421" i="33"/>
  <c r="AF391" i="33"/>
  <c r="AF396" i="33" s="1"/>
  <c r="AG387" i="33" s="1"/>
  <c r="AD411" i="33"/>
  <c r="AD414" i="33" s="1"/>
  <c r="AE408" i="33" l="1"/>
  <c r="AG421" i="33"/>
  <c r="AG388" i="33"/>
  <c r="AF409" i="33"/>
  <c r="AF394" i="33"/>
  <c r="AF397" i="33" s="1"/>
  <c r="AE405" i="33"/>
  <c r="AE422" i="33"/>
  <c r="AE413" i="33"/>
  <c r="AF404" i="33" s="1"/>
  <c r="AG392" i="33"/>
  <c r="AG391" i="33" s="1"/>
  <c r="AF408" i="33" l="1"/>
  <c r="AH392" i="33"/>
  <c r="AG394" i="33"/>
  <c r="AG397" i="33" s="1"/>
  <c r="AG396" i="33"/>
  <c r="AH387" i="33" s="1"/>
  <c r="AG409" i="33"/>
  <c r="AF422" i="33"/>
  <c r="AF405" i="33"/>
  <c r="AF413" i="33"/>
  <c r="AG404" i="33" s="1"/>
  <c r="AE411" i="33"/>
  <c r="AE414" i="33" s="1"/>
  <c r="AH391" i="33" l="1"/>
  <c r="AF411" i="33"/>
  <c r="AF414" i="33" s="1"/>
  <c r="AH388" i="33"/>
  <c r="AH394" i="33" s="1"/>
  <c r="AH397" i="33" s="1"/>
  <c r="AH421" i="33"/>
  <c r="AH396" i="33"/>
  <c r="AG422" i="33"/>
  <c r="AG405" i="33"/>
  <c r="AG408" i="33"/>
  <c r="AG413" i="33" s="1"/>
  <c r="AH404" i="33" s="1"/>
  <c r="AH405" i="33" l="1"/>
  <c r="AH422" i="33"/>
  <c r="AH409" i="33"/>
  <c r="AH408" i="33" s="1"/>
  <c r="AG411" i="33"/>
  <c r="AG414" i="33" s="1"/>
  <c r="AH413" i="33" l="1"/>
  <c r="AH411" i="33"/>
  <c r="AH414" i="33" s="1"/>
  <c r="AI473" i="33" l="1"/>
  <c r="F375" i="33" l="1"/>
  <c r="F374" i="33" s="1"/>
  <c r="F377" i="33" s="1"/>
  <c r="F380" i="33" s="1"/>
  <c r="F428" i="33" l="1"/>
  <c r="F379" i="33"/>
  <c r="G370" i="33" s="1"/>
  <c r="G420" i="33" s="1"/>
  <c r="G419" i="33" s="1"/>
  <c r="F431" i="33"/>
  <c r="F429" i="33"/>
  <c r="F432" i="33"/>
  <c r="G371" i="33"/>
  <c r="G424" i="33" s="1"/>
  <c r="G425" i="33" s="1"/>
  <c r="G426" i="33" l="1"/>
  <c r="F433" i="33"/>
  <c r="F462" i="33"/>
  <c r="F463" i="33" l="1"/>
  <c r="F464" i="33" s="1"/>
  <c r="F473" i="33"/>
  <c r="F474" i="33" s="1"/>
  <c r="G375" i="33"/>
  <c r="G374" i="33" s="1"/>
  <c r="G377" i="33" s="1"/>
  <c r="G380" i="33" s="1"/>
  <c r="G379" i="33" l="1"/>
  <c r="H370" i="33" s="1"/>
  <c r="H420" i="33" s="1"/>
  <c r="H419" i="33" s="1"/>
  <c r="G428" i="33"/>
  <c r="G432" i="33" s="1"/>
  <c r="G431" i="33"/>
  <c r="G429" i="33"/>
  <c r="H371" i="33" l="1"/>
  <c r="H424" i="33" s="1"/>
  <c r="H425" i="33" s="1"/>
  <c r="G433" i="33"/>
  <c r="G462" i="33"/>
  <c r="H426" i="33"/>
  <c r="H375" i="33" l="1"/>
  <c r="H374" i="33" s="1"/>
  <c r="H377" i="33" s="1"/>
  <c r="H380" i="33" s="1"/>
  <c r="G463" i="33"/>
  <c r="G464" i="33" s="1"/>
  <c r="G473" i="33"/>
  <c r="G474" i="33" s="1"/>
  <c r="H379" i="33" l="1"/>
  <c r="I370" i="33" s="1"/>
  <c r="H428" i="33"/>
  <c r="H431" i="33" s="1"/>
  <c r="H432" i="33"/>
  <c r="H429" i="33"/>
  <c r="I371" i="33" l="1"/>
  <c r="I420" i="33"/>
  <c r="I419" i="33" s="1"/>
  <c r="I426" i="33" s="1"/>
  <c r="H462" i="33"/>
  <c r="H433" i="33"/>
  <c r="I375" i="33"/>
  <c r="I374" i="33" s="1"/>
  <c r="I428" i="33" s="1"/>
  <c r="I379" i="33" l="1"/>
  <c r="I424" i="33"/>
  <c r="I425" i="33" s="1"/>
  <c r="I377" i="33"/>
  <c r="I380" i="33" s="1"/>
  <c r="H463" i="33"/>
  <c r="H464" i="33" s="1"/>
  <c r="H473" i="33"/>
  <c r="H474" i="33" s="1"/>
  <c r="J370" i="33"/>
  <c r="I429" i="33"/>
  <c r="I432" i="33"/>
  <c r="I431" i="33"/>
  <c r="I462" i="33" l="1"/>
  <c r="I433" i="33"/>
  <c r="J371" i="33"/>
  <c r="J424" i="33" s="1"/>
  <c r="J420" i="33"/>
  <c r="J419" i="33" s="1"/>
  <c r="J426" i="33" l="1"/>
  <c r="J425" i="33"/>
  <c r="I473" i="33"/>
  <c r="I474" i="33" s="1"/>
  <c r="I463" i="33"/>
  <c r="I464" i="33" s="1"/>
  <c r="J375" i="33" l="1"/>
  <c r="J374" i="33" s="1"/>
  <c r="J377" i="33" s="1"/>
  <c r="J380" i="33" s="1"/>
  <c r="J379" i="33" l="1"/>
  <c r="J428" i="33"/>
  <c r="K370" i="33"/>
  <c r="J429" i="33"/>
  <c r="J432" i="33"/>
  <c r="J431" i="33"/>
  <c r="J433" i="33" l="1"/>
  <c r="J462" i="33"/>
  <c r="K371" i="33"/>
  <c r="K424" i="33" s="1"/>
  <c r="K420" i="33"/>
  <c r="K419" i="33" s="1"/>
  <c r="K426" i="33" l="1"/>
  <c r="K425" i="33"/>
  <c r="J463" i="33"/>
  <c r="J464" i="33" s="1"/>
  <c r="J473" i="33"/>
  <c r="J474" i="33" s="1"/>
  <c r="K375" i="33" l="1"/>
  <c r="K374" i="33" s="1"/>
  <c r="K377" i="33" s="1"/>
  <c r="K380" i="33" s="1"/>
  <c r="K379" i="33" l="1"/>
  <c r="K428" i="33"/>
  <c r="L370" i="33"/>
  <c r="K432" i="33"/>
  <c r="K429" i="33"/>
  <c r="K431" i="33"/>
  <c r="K433" i="33" l="1"/>
  <c r="K462" i="33"/>
  <c r="L420" i="33"/>
  <c r="L419" i="33" s="1"/>
  <c r="L371" i="33"/>
  <c r="L424" i="33" s="1"/>
  <c r="L425" i="33" l="1"/>
  <c r="K473" i="33"/>
  <c r="K474" i="33" s="1"/>
  <c r="K463" i="33"/>
  <c r="K464" i="33" s="1"/>
  <c r="L426" i="33"/>
  <c r="L375" i="33" l="1"/>
  <c r="L374" i="33" s="1"/>
  <c r="L377" i="33" s="1"/>
  <c r="L380" i="33" s="1"/>
  <c r="L379" i="33" l="1"/>
  <c r="M370" i="33" s="1"/>
  <c r="M371" i="33" s="1"/>
  <c r="M424" i="33" s="1"/>
  <c r="L428" i="33"/>
  <c r="L431" i="33" s="1"/>
  <c r="M420" i="33"/>
  <c r="M419" i="33" s="1"/>
  <c r="L429" i="33"/>
  <c r="L432" i="33"/>
  <c r="L462" i="33" l="1"/>
  <c r="L433" i="33"/>
  <c r="M426" i="33"/>
  <c r="M425" i="33"/>
  <c r="L473" i="33" l="1"/>
  <c r="L474" i="33" s="1"/>
  <c r="L463" i="33"/>
  <c r="L464" i="33" s="1"/>
  <c r="M375" i="33"/>
  <c r="M374" i="33" s="1"/>
  <c r="M377" i="33" s="1"/>
  <c r="M380" i="33" s="1"/>
  <c r="M379" i="33" l="1"/>
  <c r="N370" i="33" s="1"/>
  <c r="N420" i="33" s="1"/>
  <c r="N419" i="33" s="1"/>
  <c r="M428" i="33"/>
  <c r="M431" i="33" s="1"/>
  <c r="M429" i="33"/>
  <c r="N371" i="33" l="1"/>
  <c r="N424" i="33" s="1"/>
  <c r="M432" i="33"/>
  <c r="N425" i="33"/>
  <c r="N426" i="33"/>
  <c r="M433" i="33"/>
  <c r="M462" i="33"/>
  <c r="M473" i="33" l="1"/>
  <c r="M474" i="33" s="1"/>
  <c r="M463" i="33"/>
  <c r="M464" i="33" s="1"/>
  <c r="N375" i="33"/>
  <c r="N374" i="33" s="1"/>
  <c r="N377" i="33" s="1"/>
  <c r="N380" i="33" s="1"/>
  <c r="N379" i="33" l="1"/>
  <c r="O370" i="33" s="1"/>
  <c r="O420" i="33" s="1"/>
  <c r="O419" i="33" s="1"/>
  <c r="N428" i="33"/>
  <c r="N431" i="33"/>
  <c r="N432" i="33"/>
  <c r="N429" i="33"/>
  <c r="O371" i="33" l="1"/>
  <c r="O424" i="33" s="1"/>
  <c r="N433" i="33"/>
  <c r="N462" i="33"/>
  <c r="O425" i="33"/>
  <c r="O426" i="33"/>
  <c r="O375" i="33" l="1"/>
  <c r="O374" i="33" s="1"/>
  <c r="O377" i="33" s="1"/>
  <c r="O380" i="33" s="1"/>
  <c r="N463" i="33"/>
  <c r="N464" i="33" s="1"/>
  <c r="N473" i="33"/>
  <c r="N474" i="33" s="1"/>
  <c r="O379" i="33" l="1"/>
  <c r="P370" i="33" s="1"/>
  <c r="O428" i="33"/>
  <c r="P371" i="33"/>
  <c r="P424" i="33" s="1"/>
  <c r="P420" i="33"/>
  <c r="P419" i="33" s="1"/>
  <c r="O431" i="33"/>
  <c r="O429" i="33"/>
  <c r="O432" i="33"/>
  <c r="O433" i="33" l="1"/>
  <c r="O462" i="33"/>
  <c r="P426" i="33"/>
  <c r="P425" i="33"/>
  <c r="O463" i="33" l="1"/>
  <c r="O464" i="33" s="1"/>
  <c r="O473" i="33"/>
  <c r="O474" i="33" s="1"/>
  <c r="P375" i="33"/>
  <c r="P374" i="33" s="1"/>
  <c r="P377" i="33" s="1"/>
  <c r="P380" i="33" s="1"/>
  <c r="P379" i="33" l="1"/>
  <c r="Q370" i="33" s="1"/>
  <c r="P428" i="33"/>
  <c r="Q371" i="33"/>
  <c r="Q424" i="33" s="1"/>
  <c r="Q420" i="33"/>
  <c r="Q419" i="33" s="1"/>
  <c r="P432" i="33"/>
  <c r="P431" i="33"/>
  <c r="P429" i="33"/>
  <c r="Q426" i="33" l="1"/>
  <c r="P462" i="33"/>
  <c r="P433" i="33"/>
  <c r="Q425" i="33"/>
  <c r="P463" i="33" l="1"/>
  <c r="P464" i="33" s="1"/>
  <c r="P473" i="33"/>
  <c r="P474" i="33" s="1"/>
  <c r="Q375" i="33"/>
  <c r="Q374" i="33" s="1"/>
  <c r="Q377" i="33" s="1"/>
  <c r="Q380" i="33" s="1"/>
  <c r="Q379" i="33" l="1"/>
  <c r="R370" i="33" s="1"/>
  <c r="Q428" i="33"/>
  <c r="R420" i="33"/>
  <c r="R419" i="33" s="1"/>
  <c r="R371" i="33"/>
  <c r="R424" i="33" s="1"/>
  <c r="Q429" i="33"/>
  <c r="Q432" i="33"/>
  <c r="Q431" i="33"/>
  <c r="Q462" i="33" l="1"/>
  <c r="Q433" i="33"/>
  <c r="R425" i="33"/>
  <c r="R426" i="33"/>
  <c r="R375" i="33" l="1"/>
  <c r="R374" i="33" s="1"/>
  <c r="R377" i="33" s="1"/>
  <c r="R380" i="33" s="1"/>
  <c r="Q473" i="33"/>
  <c r="Q474" i="33" s="1"/>
  <c r="Q463" i="33"/>
  <c r="Q464" i="33" s="1"/>
  <c r="R379" i="33" l="1"/>
  <c r="S370" i="33" s="1"/>
  <c r="R428" i="33"/>
  <c r="R431" i="33" s="1"/>
  <c r="R429" i="33"/>
  <c r="S371" i="33"/>
  <c r="S424" i="33" s="1"/>
  <c r="S420" i="33"/>
  <c r="S419" i="33" s="1"/>
  <c r="R432" i="33" l="1"/>
  <c r="S426" i="33"/>
  <c r="S425" i="33"/>
  <c r="R433" i="33"/>
  <c r="R462" i="33"/>
  <c r="R473" i="33" l="1"/>
  <c r="R474" i="33" s="1"/>
  <c r="R463" i="33"/>
  <c r="R464" i="33" s="1"/>
  <c r="S375" i="33"/>
  <c r="S374" i="33" s="1"/>
  <c r="S377" i="33" s="1"/>
  <c r="S380" i="33" s="1"/>
  <c r="S379" i="33" l="1"/>
  <c r="T370" i="33" s="1"/>
  <c r="T420" i="33" s="1"/>
  <c r="T419" i="33" s="1"/>
  <c r="S428" i="33"/>
  <c r="S431" i="33" s="1"/>
  <c r="S429" i="33"/>
  <c r="S432" i="33" l="1"/>
  <c r="T371" i="33"/>
  <c r="T424" i="33" s="1"/>
  <c r="T425" i="33" s="1"/>
  <c r="T426" i="33"/>
  <c r="S462" i="33"/>
  <c r="S433" i="33"/>
  <c r="S463" i="33" l="1"/>
  <c r="S464" i="33" s="1"/>
  <c r="S473" i="33"/>
  <c r="S474" i="33" s="1"/>
  <c r="T375" i="33"/>
  <c r="T374" i="33" s="1"/>
  <c r="T377" i="33" s="1"/>
  <c r="T380" i="33" s="1"/>
  <c r="T379" i="33" l="1"/>
  <c r="U370" i="33" s="1"/>
  <c r="T428" i="33"/>
  <c r="U371" i="33"/>
  <c r="U424" i="33" s="1"/>
  <c r="U420" i="33"/>
  <c r="U419" i="33" s="1"/>
  <c r="T431" i="33"/>
  <c r="T429" i="33"/>
  <c r="T432" i="33"/>
  <c r="T462" i="33" l="1"/>
  <c r="T433" i="33"/>
  <c r="U426" i="33"/>
  <c r="U425" i="33"/>
  <c r="U375" i="33" l="1"/>
  <c r="U374" i="33" s="1"/>
  <c r="U377" i="33" s="1"/>
  <c r="U380" i="33" s="1"/>
  <c r="T463" i="33"/>
  <c r="T464" i="33" s="1"/>
  <c r="T473" i="33"/>
  <c r="T474" i="33" s="1"/>
  <c r="U379" i="33" l="1"/>
  <c r="V370" i="33" s="1"/>
  <c r="U428" i="33"/>
  <c r="V371" i="33"/>
  <c r="V424" i="33" s="1"/>
  <c r="V420" i="33"/>
  <c r="V419" i="33" s="1"/>
  <c r="U432" i="33"/>
  <c r="U429" i="33"/>
  <c r="U431" i="33"/>
  <c r="U433" i="33" l="1"/>
  <c r="U462" i="33"/>
  <c r="V426" i="33"/>
  <c r="V425" i="33"/>
  <c r="V375" i="33" l="1"/>
  <c r="V374" i="33" s="1"/>
  <c r="V377" i="33" s="1"/>
  <c r="V380" i="33" s="1"/>
  <c r="U473" i="33"/>
  <c r="U474" i="33" s="1"/>
  <c r="U463" i="33"/>
  <c r="U464" i="33" s="1"/>
  <c r="V379" i="33" l="1"/>
  <c r="W370" i="33" s="1"/>
  <c r="W420" i="33" s="1"/>
  <c r="W419" i="33" s="1"/>
  <c r="V428" i="33"/>
  <c r="V429" i="33"/>
  <c r="V432" i="33"/>
  <c r="V431" i="33"/>
  <c r="W371" i="33" l="1"/>
  <c r="W424" i="33" s="1"/>
  <c r="V433" i="33"/>
  <c r="V462" i="33"/>
  <c r="W425" i="33"/>
  <c r="W426" i="33"/>
  <c r="W375" i="33" l="1"/>
  <c r="W374" i="33" s="1"/>
  <c r="W377" i="33" s="1"/>
  <c r="W380" i="33" s="1"/>
  <c r="V463" i="33"/>
  <c r="V464" i="33" s="1"/>
  <c r="V473" i="33"/>
  <c r="V474" i="33" s="1"/>
  <c r="W379" i="33" l="1"/>
  <c r="X370" i="33" s="1"/>
  <c r="X420" i="33" s="1"/>
  <c r="X419" i="33" s="1"/>
  <c r="W428" i="33"/>
  <c r="W431" i="33" s="1"/>
  <c r="W429" i="33"/>
  <c r="W432" i="33"/>
  <c r="X371" i="33" l="1"/>
  <c r="X424" i="33" s="1"/>
  <c r="X425" i="33" s="1"/>
  <c r="W433" i="33"/>
  <c r="W462" i="33"/>
  <c r="X426" i="33"/>
  <c r="W473" i="33" l="1"/>
  <c r="W474" i="33" s="1"/>
  <c r="W463" i="33"/>
  <c r="W464" i="33" s="1"/>
  <c r="X375" i="33" l="1"/>
  <c r="X374" i="33" s="1"/>
  <c r="X377" i="33" s="1"/>
  <c r="X380" i="33" s="1"/>
  <c r="X379" i="33" l="1"/>
  <c r="Y370" i="33" s="1"/>
  <c r="Y420" i="33" s="1"/>
  <c r="Y419" i="33" s="1"/>
  <c r="X428" i="33"/>
  <c r="Y375" i="33"/>
  <c r="X431" i="33"/>
  <c r="X432" i="33"/>
  <c r="X429" i="33"/>
  <c r="Y371" i="33" l="1"/>
  <c r="Y424" i="33" s="1"/>
  <c r="X433" i="33"/>
  <c r="X462" i="33"/>
  <c r="Y374" i="33"/>
  <c r="Y377" i="33" s="1"/>
  <c r="Y380" i="33" s="1"/>
  <c r="Y425" i="33"/>
  <c r="Y429" i="33"/>
  <c r="Y426" i="33"/>
  <c r="Z375" i="33" l="1"/>
  <c r="Y428" i="33"/>
  <c r="Y379" i="33"/>
  <c r="Z370" i="33" s="1"/>
  <c r="X473" i="33"/>
  <c r="X474" i="33" s="1"/>
  <c r="X463" i="33"/>
  <c r="X464" i="33" s="1"/>
  <c r="Z371" i="33" l="1"/>
  <c r="Z420" i="33"/>
  <c r="Z419" i="33" s="1"/>
  <c r="Y431" i="33"/>
  <c r="Y432" i="33"/>
  <c r="Z374" i="33"/>
  <c r="Z428" i="33" l="1"/>
  <c r="Z432" i="33" s="1"/>
  <c r="AA375" i="33"/>
  <c r="Y462" i="33"/>
  <c r="Y433" i="33"/>
  <c r="Z426" i="33"/>
  <c r="Z429" i="33"/>
  <c r="Z424" i="33"/>
  <c r="Z377" i="33"/>
  <c r="Z380" i="33" s="1"/>
  <c r="Z379" i="33"/>
  <c r="AA370" i="33" s="1"/>
  <c r="AA374" i="33" l="1"/>
  <c r="AA428" i="33" s="1"/>
  <c r="AA420" i="33"/>
  <c r="AA419" i="33" s="1"/>
  <c r="AA371" i="33"/>
  <c r="Z431" i="33"/>
  <c r="Z425" i="33"/>
  <c r="Y473" i="33"/>
  <c r="Y474" i="33" s="1"/>
  <c r="Y463" i="33"/>
  <c r="Y464" i="33" s="1"/>
  <c r="AA379" i="33" l="1"/>
  <c r="AB370" i="33" s="1"/>
  <c r="AB375" i="33"/>
  <c r="AB374" i="33" s="1"/>
  <c r="AB420" i="33"/>
  <c r="AB419" i="33" s="1"/>
  <c r="AB371" i="33"/>
  <c r="AA424" i="33"/>
  <c r="AA431" i="33" s="1"/>
  <c r="AA377" i="33"/>
  <c r="AA380" i="33" s="1"/>
  <c r="AA432" i="33"/>
  <c r="AA429" i="33"/>
  <c r="AA426" i="33"/>
  <c r="Z462" i="33"/>
  <c r="Z433" i="33"/>
  <c r="AB428" i="33" l="1"/>
  <c r="AB432" i="33" s="1"/>
  <c r="AC375" i="33"/>
  <c r="AA462" i="33"/>
  <c r="AA433" i="33"/>
  <c r="AB379" i="33"/>
  <c r="AC370" i="33" s="1"/>
  <c r="Z473" i="33"/>
  <c r="Z474" i="33" s="1"/>
  <c r="Z463" i="33"/>
  <c r="Z464" i="33" s="1"/>
  <c r="AA425" i="33"/>
  <c r="AB424" i="33"/>
  <c r="AB377" i="33"/>
  <c r="AB380" i="33" s="1"/>
  <c r="AB426" i="33"/>
  <c r="AB429" i="33"/>
  <c r="AB431" i="33" l="1"/>
  <c r="AB433" i="33" s="1"/>
  <c r="AC374" i="33"/>
  <c r="AC379" i="33" s="1"/>
  <c r="AD370" i="33" s="1"/>
  <c r="AD375" i="33"/>
  <c r="AC428" i="33"/>
  <c r="AC420" i="33"/>
  <c r="AC419" i="33" s="1"/>
  <c r="AC371" i="33"/>
  <c r="AB425" i="33"/>
  <c r="AA463" i="33"/>
  <c r="AA464" i="33" s="1"/>
  <c r="AA473" i="33"/>
  <c r="AA474" i="33" s="1"/>
  <c r="AB462" i="33"/>
  <c r="AD374" i="33" l="1"/>
  <c r="AE375" i="33" s="1"/>
  <c r="AD371" i="33"/>
  <c r="AD420" i="33"/>
  <c r="AD419" i="33" s="1"/>
  <c r="AC424" i="33"/>
  <c r="AC431" i="33" s="1"/>
  <c r="AC377" i="33"/>
  <c r="AC380" i="33" s="1"/>
  <c r="AB473" i="33"/>
  <c r="AB474" i="33" s="1"/>
  <c r="AB463" i="33"/>
  <c r="AB464" i="33" s="1"/>
  <c r="AC429" i="33"/>
  <c r="AC432" i="33"/>
  <c r="AC426" i="33"/>
  <c r="AC425" i="33" l="1"/>
  <c r="AD428" i="33"/>
  <c r="AD432" i="33" s="1"/>
  <c r="AD379" i="33"/>
  <c r="AE370" i="33" s="1"/>
  <c r="AE374" i="33" s="1"/>
  <c r="AD429" i="33"/>
  <c r="AD426" i="33"/>
  <c r="AD424" i="33"/>
  <c r="AD377" i="33"/>
  <c r="AD380" i="33" s="1"/>
  <c r="AC433" i="33"/>
  <c r="AC462" i="33"/>
  <c r="AE420" i="33" l="1"/>
  <c r="AE419" i="33" s="1"/>
  <c r="AE426" i="33" s="1"/>
  <c r="AE371" i="33"/>
  <c r="AE424" i="33" s="1"/>
  <c r="AD431" i="33"/>
  <c r="AE428" i="33"/>
  <c r="AE432" i="33" s="1"/>
  <c r="AF375" i="33"/>
  <c r="AE379" i="33"/>
  <c r="AF370" i="33" s="1"/>
  <c r="AD425" i="33"/>
  <c r="AC473" i="33"/>
  <c r="AC474" i="33" s="1"/>
  <c r="AC463" i="33"/>
  <c r="AC464" i="33" s="1"/>
  <c r="AD433" i="33"/>
  <c r="AD462" i="33"/>
  <c r="AE429" i="33"/>
  <c r="AF374" i="33" l="1"/>
  <c r="AE431" i="33"/>
  <c r="AF371" i="33"/>
  <c r="AE377" i="33"/>
  <c r="AE380" i="33" s="1"/>
  <c r="AF379" i="33"/>
  <c r="AG370" i="33" s="1"/>
  <c r="AG420" i="33" s="1"/>
  <c r="AG419" i="33" s="1"/>
  <c r="AF420" i="33"/>
  <c r="AF419" i="33" s="1"/>
  <c r="AF426" i="33" s="1"/>
  <c r="AE462" i="33"/>
  <c r="AE433" i="33"/>
  <c r="AF424" i="33"/>
  <c r="AF377" i="33"/>
  <c r="AF380" i="33" s="1"/>
  <c r="AE425" i="33"/>
  <c r="AD473" i="33"/>
  <c r="AD474" i="33" s="1"/>
  <c r="AD463" i="33"/>
  <c r="AD464" i="33" s="1"/>
  <c r="AG371" i="33" l="1"/>
  <c r="AF429" i="33"/>
  <c r="AF428" i="33"/>
  <c r="AF431" i="33" s="1"/>
  <c r="AG375" i="33"/>
  <c r="AG374" i="33" s="1"/>
  <c r="AG428" i="33" s="1"/>
  <c r="AG432" i="33" s="1"/>
  <c r="AF425" i="33"/>
  <c r="AG429" i="33"/>
  <c r="AG426" i="33"/>
  <c r="AE473" i="33"/>
  <c r="AE474" i="33" s="1"/>
  <c r="AE463" i="33"/>
  <c r="AE464" i="33" s="1"/>
  <c r="AG424" i="33"/>
  <c r="AF462" i="33" l="1"/>
  <c r="AF433" i="33"/>
  <c r="AG377" i="33"/>
  <c r="AG380" i="33" s="1"/>
  <c r="AG379" i="33"/>
  <c r="AH370" i="33" s="1"/>
  <c r="AG431" i="33"/>
  <c r="AG462" i="33" s="1"/>
  <c r="AI462" i="33" s="1"/>
  <c r="AH375" i="33"/>
  <c r="AH374" i="33" s="1"/>
  <c r="AF432" i="33"/>
  <c r="AF463" i="33"/>
  <c r="AF464" i="33" s="1"/>
  <c r="AF473" i="33"/>
  <c r="AF474" i="33" s="1"/>
  <c r="AG433" i="33"/>
  <c r="AG425" i="33"/>
  <c r="AH428" i="33" l="1"/>
  <c r="AH379" i="33"/>
  <c r="K116" i="34" s="1"/>
  <c r="AH371" i="33"/>
  <c r="AH420" i="33"/>
  <c r="AH419" i="33" s="1"/>
  <c r="AG473" i="33"/>
  <c r="AG474" i="33" s="1"/>
  <c r="AG463" i="33"/>
  <c r="AG464" i="33" s="1"/>
  <c r="I34" i="33"/>
  <c r="I33" i="33" s="1"/>
  <c r="I36" i="33" s="1"/>
  <c r="I39" i="33" s="1"/>
  <c r="L52" i="34"/>
  <c r="AH432" i="33" l="1"/>
  <c r="AH426" i="33"/>
  <c r="AP445" i="33" s="1"/>
  <c r="AH429" i="33"/>
  <c r="AH424" i="33"/>
  <c r="AH377" i="33"/>
  <c r="AH380" i="33" s="1"/>
  <c r="I38" i="33"/>
  <c r="J29" i="33" s="1"/>
  <c r="J34" i="33"/>
  <c r="J33" i="33" s="1"/>
  <c r="AH431" i="33" l="1"/>
  <c r="AH433" i="33" s="1"/>
  <c r="AH425" i="33"/>
  <c r="K34" i="33"/>
  <c r="J30" i="33"/>
  <c r="J79" i="33"/>
  <c r="J38" i="33"/>
  <c r="K29" i="33" s="1"/>
  <c r="K30" i="33" l="1"/>
  <c r="K79" i="33"/>
  <c r="K33" i="33"/>
  <c r="J36" i="33"/>
  <c r="J39" i="33" s="1"/>
  <c r="L34" i="33" l="1"/>
  <c r="K38" i="33"/>
  <c r="L29" i="33" s="1"/>
  <c r="K36" i="33"/>
  <c r="K39" i="33" s="1"/>
  <c r="L79" i="33" l="1"/>
  <c r="L30" i="33"/>
  <c r="L33" i="33"/>
  <c r="M34" i="33" l="1"/>
  <c r="L36" i="33"/>
  <c r="L39" i="33" s="1"/>
  <c r="L38" i="33"/>
  <c r="M29" i="33" s="1"/>
  <c r="M33" i="33" s="1"/>
  <c r="N34" i="33" l="1"/>
  <c r="M38" i="33"/>
  <c r="N29" i="33" s="1"/>
  <c r="M79" i="33"/>
  <c r="M30" i="33"/>
  <c r="N33" i="33" l="1"/>
  <c r="O34" i="33"/>
  <c r="N38" i="33"/>
  <c r="O29" i="33" s="1"/>
  <c r="N30" i="33"/>
  <c r="N79" i="33"/>
  <c r="M36" i="33"/>
  <c r="M39" i="33" s="1"/>
  <c r="N36" i="33" l="1"/>
  <c r="N39" i="33" s="1"/>
  <c r="O30" i="33"/>
  <c r="O79" i="33"/>
  <c r="O33" i="33"/>
  <c r="P34" i="33" l="1"/>
  <c r="O36" i="33"/>
  <c r="O39" i="33" s="1"/>
  <c r="O38" i="33"/>
  <c r="P29" i="33" s="1"/>
  <c r="P79" i="33" l="1"/>
  <c r="P30" i="33"/>
  <c r="P33" i="33"/>
  <c r="Q34" i="33" l="1"/>
  <c r="P36" i="33"/>
  <c r="P39" i="33" s="1"/>
  <c r="P38" i="33"/>
  <c r="Q29" i="33" s="1"/>
  <c r="Q33" i="33" l="1"/>
  <c r="R34" i="33"/>
  <c r="Q38" i="33"/>
  <c r="R29" i="33" s="1"/>
  <c r="Q79" i="33"/>
  <c r="Q30" i="33"/>
  <c r="Q36" i="33" l="1"/>
  <c r="Q39" i="33" s="1"/>
  <c r="R30" i="33"/>
  <c r="R79" i="33"/>
  <c r="R33" i="33"/>
  <c r="S34" i="33" l="1"/>
  <c r="R38" i="33"/>
  <c r="S29" i="33" s="1"/>
  <c r="R36" i="33"/>
  <c r="R39" i="33" s="1"/>
  <c r="S33" i="33" l="1"/>
  <c r="T34" i="33"/>
  <c r="S38" i="33"/>
  <c r="T29" i="33" s="1"/>
  <c r="S30" i="33"/>
  <c r="S79" i="33"/>
  <c r="S36" i="33" l="1"/>
  <c r="S39" i="33" s="1"/>
  <c r="T30" i="33"/>
  <c r="T79" i="33"/>
  <c r="T33" i="33"/>
  <c r="U34" i="33" l="1"/>
  <c r="T36" i="33"/>
  <c r="T39" i="33" s="1"/>
  <c r="T38" i="33"/>
  <c r="U29" i="33" s="1"/>
  <c r="U30" i="33" l="1"/>
  <c r="U79" i="33"/>
  <c r="U33" i="33"/>
  <c r="V34" i="33" l="1"/>
  <c r="U36" i="33"/>
  <c r="U39" i="33" s="1"/>
  <c r="U38" i="33"/>
  <c r="V29" i="33" s="1"/>
  <c r="V33" i="33" l="1"/>
  <c r="W34" i="33"/>
  <c r="V30" i="33"/>
  <c r="V38" i="33"/>
  <c r="W29" i="33" s="1"/>
  <c r="V79" i="33"/>
  <c r="W30" i="33" l="1"/>
  <c r="W79" i="33"/>
  <c r="V36" i="33"/>
  <c r="V39" i="33" s="1"/>
  <c r="W33" i="33"/>
  <c r="X34" i="33" l="1"/>
  <c r="W36" i="33"/>
  <c r="W39" i="33" s="1"/>
  <c r="W38" i="33"/>
  <c r="X29" i="33" s="1"/>
  <c r="X79" i="33" l="1"/>
  <c r="X30" i="33"/>
  <c r="X33" i="33"/>
  <c r="Y34" i="33" l="1"/>
  <c r="X36" i="33"/>
  <c r="X39" i="33" s="1"/>
  <c r="X38" i="33"/>
  <c r="Y29" i="33" s="1"/>
  <c r="Y79" i="33" l="1"/>
  <c r="Y30" i="33"/>
  <c r="Y33" i="33"/>
  <c r="Z34" i="33" l="1"/>
  <c r="Y36" i="33"/>
  <c r="Y39" i="33" s="1"/>
  <c r="Y38" i="33"/>
  <c r="Z29" i="33" s="1"/>
  <c r="Z33" i="33" l="1"/>
  <c r="AA34" i="33"/>
  <c r="Z38" i="33"/>
  <c r="AA29" i="33" s="1"/>
  <c r="Z30" i="33"/>
  <c r="Z79" i="33"/>
  <c r="Z36" i="33" l="1"/>
  <c r="Z39" i="33" s="1"/>
  <c r="AA30" i="33"/>
  <c r="AA79" i="33"/>
  <c r="AA33" i="33"/>
  <c r="AB34" i="33" l="1"/>
  <c r="AA38" i="33"/>
  <c r="AB29" i="33" s="1"/>
  <c r="AA36" i="33"/>
  <c r="AA39" i="33" s="1"/>
  <c r="AB30" i="33" l="1"/>
  <c r="AB79" i="33"/>
  <c r="AB33" i="33"/>
  <c r="AC34" i="33" l="1"/>
  <c r="AB36" i="33"/>
  <c r="AB39" i="33" s="1"/>
  <c r="AB38" i="33"/>
  <c r="AC29" i="33" s="1"/>
  <c r="AC33" i="33" l="1"/>
  <c r="AD34" i="33"/>
  <c r="AC38" i="33"/>
  <c r="AD29" i="33" s="1"/>
  <c r="AC79" i="33"/>
  <c r="AC30" i="33"/>
  <c r="AC36" i="33" l="1"/>
  <c r="AC39" i="33" s="1"/>
  <c r="AD30" i="33"/>
  <c r="AD79" i="33"/>
  <c r="AD33" i="33"/>
  <c r="AE34" i="33" l="1"/>
  <c r="AD38" i="33"/>
  <c r="AE29" i="33" s="1"/>
  <c r="AD36" i="33"/>
  <c r="AD39" i="33" s="1"/>
  <c r="AE79" i="33" l="1"/>
  <c r="AE30" i="33"/>
  <c r="AE33" i="33"/>
  <c r="AF34" i="33" l="1"/>
  <c r="AE38" i="33"/>
  <c r="AF29" i="33" s="1"/>
  <c r="AE36" i="33"/>
  <c r="AE39" i="33" s="1"/>
  <c r="AF30" i="33" l="1"/>
  <c r="AF79" i="33"/>
  <c r="AF33" i="33"/>
  <c r="AG34" i="33" l="1"/>
  <c r="AF36" i="33"/>
  <c r="AF39" i="33" s="1"/>
  <c r="AF38" i="33"/>
  <c r="AG29" i="33" s="1"/>
  <c r="AG30" i="33" l="1"/>
  <c r="AG79" i="33"/>
  <c r="AG33" i="33"/>
  <c r="AH34" i="33" l="1"/>
  <c r="AG38" i="33"/>
  <c r="AH29" i="33" s="1"/>
  <c r="AG36" i="33"/>
  <c r="AG39" i="33" s="1"/>
  <c r="AH30" i="33" l="1"/>
  <c r="AH79" i="33"/>
  <c r="AH33" i="33"/>
  <c r="AH38" i="33" l="1"/>
  <c r="AH36" i="33"/>
  <c r="AH39" i="33" s="1"/>
  <c r="E67" i="33"/>
  <c r="E87" i="33" s="1"/>
  <c r="E72" i="33"/>
  <c r="F63" i="33"/>
  <c r="F81" i="33" s="1"/>
  <c r="F78" i="33" s="1"/>
  <c r="F68" i="33"/>
  <c r="F67" i="33" s="1"/>
  <c r="F72" i="33" s="1"/>
  <c r="G63" i="33" s="1"/>
  <c r="N52" i="34"/>
  <c r="E70" i="33"/>
  <c r="E73" i="33" s="1"/>
  <c r="E90" i="33" l="1"/>
  <c r="E91" i="33"/>
  <c r="F64" i="33"/>
  <c r="G64" i="33"/>
  <c r="G81" i="33"/>
  <c r="G78" i="33" s="1"/>
  <c r="F85" i="33"/>
  <c r="F88" i="33"/>
  <c r="G68" i="33"/>
  <c r="G67" i="33"/>
  <c r="G72" i="33" s="1"/>
  <c r="H63" i="33" s="1"/>
  <c r="F87" i="33"/>
  <c r="E120" i="33"/>
  <c r="E123" i="33" s="1"/>
  <c r="E124" i="33" s="1"/>
  <c r="E92" i="33"/>
  <c r="F70" i="33" l="1"/>
  <c r="F73" i="33" s="1"/>
  <c r="F83" i="33"/>
  <c r="F84" i="33" s="1"/>
  <c r="E121" i="33"/>
  <c r="H64" i="33"/>
  <c r="H83" i="33" s="1"/>
  <c r="H81" i="33"/>
  <c r="H78" i="33" s="1"/>
  <c r="F91" i="33"/>
  <c r="G88" i="33"/>
  <c r="G85" i="33"/>
  <c r="G87" i="33"/>
  <c r="G91" i="33" s="1"/>
  <c r="H68" i="33"/>
  <c r="H67" i="33" s="1"/>
  <c r="G83" i="33"/>
  <c r="G70" i="33"/>
  <c r="G73" i="33" s="1"/>
  <c r="F90" i="33" l="1"/>
  <c r="H87" i="33"/>
  <c r="I68" i="33"/>
  <c r="H70" i="33"/>
  <c r="H73" i="33" s="1"/>
  <c r="H72" i="33"/>
  <c r="I63" i="33" s="1"/>
  <c r="H91" i="33"/>
  <c r="H88" i="33"/>
  <c r="H85" i="33"/>
  <c r="H90" i="33"/>
  <c r="G90" i="33"/>
  <c r="G84" i="33"/>
  <c r="H84" i="33" s="1"/>
  <c r="I67" i="33" l="1"/>
  <c r="F120" i="33"/>
  <c r="F92" i="33"/>
  <c r="I87" i="33"/>
  <c r="J68" i="33"/>
  <c r="H92" i="33"/>
  <c r="H120" i="33"/>
  <c r="I64" i="33"/>
  <c r="I72" i="33"/>
  <c r="J63" i="33" s="1"/>
  <c r="I81" i="33"/>
  <c r="I78" i="33" s="1"/>
  <c r="G92" i="33"/>
  <c r="G120" i="33"/>
  <c r="F123" i="33" l="1"/>
  <c r="F124" i="33" s="1"/>
  <c r="F121" i="33"/>
  <c r="G123" i="33"/>
  <c r="G124" i="33" s="1"/>
  <c r="G121" i="33"/>
  <c r="I88" i="33"/>
  <c r="I85" i="33"/>
  <c r="J81" i="33"/>
  <c r="J78" i="33" s="1"/>
  <c r="J72" i="33"/>
  <c r="K63" i="33" s="1"/>
  <c r="J64" i="33"/>
  <c r="I83" i="33"/>
  <c r="I70" i="33"/>
  <c r="I73" i="33" s="1"/>
  <c r="H123" i="33"/>
  <c r="H124" i="33" s="1"/>
  <c r="H121" i="33"/>
  <c r="J67" i="33"/>
  <c r="I91" i="33"/>
  <c r="I90" i="33" l="1"/>
  <c r="I84" i="33"/>
  <c r="J83" i="33"/>
  <c r="J70" i="33"/>
  <c r="J73" i="33" s="1"/>
  <c r="K64" i="33"/>
  <c r="K83" i="33" s="1"/>
  <c r="K81" i="33"/>
  <c r="K78" i="33" s="1"/>
  <c r="J85" i="33"/>
  <c r="J88" i="33"/>
  <c r="K68" i="33"/>
  <c r="K67" i="33" s="1"/>
  <c r="J87" i="33"/>
  <c r="J91" i="33" s="1"/>
  <c r="J90" i="33" l="1"/>
  <c r="K87" i="33"/>
  <c r="L68" i="33"/>
  <c r="K72" i="33"/>
  <c r="L63" i="33" s="1"/>
  <c r="K85" i="33"/>
  <c r="K88" i="33"/>
  <c r="K91" i="33"/>
  <c r="K90" i="33"/>
  <c r="J92" i="33"/>
  <c r="J120" i="33"/>
  <c r="K70" i="33"/>
  <c r="K73" i="33" s="1"/>
  <c r="J84" i="33"/>
  <c r="K84" i="33" s="1"/>
  <c r="I92" i="33"/>
  <c r="I120" i="33"/>
  <c r="J123" i="33" l="1"/>
  <c r="J124" i="33" s="1"/>
  <c r="J121" i="33"/>
  <c r="K92" i="33"/>
  <c r="K120" i="33"/>
  <c r="I123" i="33"/>
  <c r="I124" i="33" s="1"/>
  <c r="I121" i="33"/>
  <c r="L64" i="33"/>
  <c r="L81" i="33"/>
  <c r="L78" i="33" s="1"/>
  <c r="L67" i="33"/>
  <c r="M68" i="33" l="1"/>
  <c r="L87" i="33"/>
  <c r="L91" i="33" s="1"/>
  <c r="L72" i="33"/>
  <c r="M63" i="33" s="1"/>
  <c r="L88" i="33"/>
  <c r="L85" i="33"/>
  <c r="L83" i="33"/>
  <c r="L70" i="33"/>
  <c r="L73" i="33" s="1"/>
  <c r="K121" i="33"/>
  <c r="K123" i="33"/>
  <c r="K124" i="33" s="1"/>
  <c r="L90" i="33" l="1"/>
  <c r="L84" i="33"/>
  <c r="M64" i="33"/>
  <c r="M81" i="33"/>
  <c r="M78" i="33" s="1"/>
  <c r="M67" i="33"/>
  <c r="N68" i="33" l="1"/>
  <c r="M87" i="33"/>
  <c r="M72" i="33"/>
  <c r="N63" i="33" s="1"/>
  <c r="M91" i="33"/>
  <c r="M88" i="33"/>
  <c r="M85" i="33"/>
  <c r="M83" i="33"/>
  <c r="M90" i="33" s="1"/>
  <c r="M70" i="33"/>
  <c r="M73" i="33" s="1"/>
  <c r="M84" i="33"/>
  <c r="L92" i="33"/>
  <c r="L120" i="33"/>
  <c r="M92" i="33" l="1"/>
  <c r="M120" i="33"/>
  <c r="N64" i="33"/>
  <c r="N81" i="33"/>
  <c r="N78" i="33" s="1"/>
  <c r="N67" i="33"/>
  <c r="L121" i="33"/>
  <c r="L123" i="33"/>
  <c r="L124" i="33" s="1"/>
  <c r="O68" i="33" l="1"/>
  <c r="N87" i="33"/>
  <c r="N85" i="33"/>
  <c r="N88" i="33"/>
  <c r="N91" i="33"/>
  <c r="N83" i="33"/>
  <c r="N70" i="33"/>
  <c r="N73" i="33" s="1"/>
  <c r="N72" i="33"/>
  <c r="O63" i="33" s="1"/>
  <c r="M123" i="33"/>
  <c r="M124" i="33" s="1"/>
  <c r="M121" i="33"/>
  <c r="O67" i="33" l="1"/>
  <c r="O87" i="33"/>
  <c r="P68" i="33"/>
  <c r="O64" i="33"/>
  <c r="O72" i="33"/>
  <c r="P63" i="33" s="1"/>
  <c r="O81" i="33"/>
  <c r="O78" i="33" s="1"/>
  <c r="N90" i="33"/>
  <c r="N84" i="33"/>
  <c r="P67" i="33" l="1"/>
  <c r="Q68" i="33"/>
  <c r="P87" i="33"/>
  <c r="N120" i="33"/>
  <c r="N92" i="33"/>
  <c r="O88" i="33"/>
  <c r="O85" i="33"/>
  <c r="O91" i="33"/>
  <c r="P81" i="33"/>
  <c r="P78" i="33" s="1"/>
  <c r="P72" i="33"/>
  <c r="Q63" i="33" s="1"/>
  <c r="P64" i="33"/>
  <c r="O83" i="33"/>
  <c r="O90" i="33" s="1"/>
  <c r="O70" i="33"/>
  <c r="O73" i="33" s="1"/>
  <c r="O84" i="33" l="1"/>
  <c r="Q64" i="33"/>
  <c r="Q81" i="33"/>
  <c r="Q78" i="33" s="1"/>
  <c r="P85" i="33"/>
  <c r="P88" i="33"/>
  <c r="N121" i="33"/>
  <c r="N123" i="33"/>
  <c r="N124" i="33" s="1"/>
  <c r="P91" i="33"/>
  <c r="O120" i="33"/>
  <c r="O92" i="33"/>
  <c r="Q67" i="33"/>
  <c r="Q72" i="33" s="1"/>
  <c r="R63" i="33" s="1"/>
  <c r="P83" i="33"/>
  <c r="P90" i="33" s="1"/>
  <c r="P70" i="33"/>
  <c r="P73" i="33" s="1"/>
  <c r="P84" i="33" l="1"/>
  <c r="O121" i="33"/>
  <c r="O123" i="33"/>
  <c r="O124" i="33" s="1"/>
  <c r="Q88" i="33"/>
  <c r="Q85" i="33"/>
  <c r="P92" i="33"/>
  <c r="P120" i="33"/>
  <c r="R64" i="33"/>
  <c r="R83" i="33" s="1"/>
  <c r="R81" i="33"/>
  <c r="R78" i="33" s="1"/>
  <c r="R68" i="33"/>
  <c r="R67" i="33" s="1"/>
  <c r="Q87" i="33"/>
  <c r="Q91" i="33" s="1"/>
  <c r="Q83" i="33"/>
  <c r="Q90" i="33" s="1"/>
  <c r="Q70" i="33"/>
  <c r="Q73" i="33" s="1"/>
  <c r="S68" i="33" l="1"/>
  <c r="R87" i="33"/>
  <c r="R72" i="33"/>
  <c r="S63" i="33" s="1"/>
  <c r="R88" i="33"/>
  <c r="R85" i="33"/>
  <c r="R91" i="33"/>
  <c r="P123" i="33"/>
  <c r="P124" i="33" s="1"/>
  <c r="P121" i="33"/>
  <c r="R90" i="33"/>
  <c r="Q92" i="33"/>
  <c r="Q120" i="33"/>
  <c r="R70" i="33"/>
  <c r="R73" i="33" s="1"/>
  <c r="Q84" i="33"/>
  <c r="R84" i="33" s="1"/>
  <c r="R92" i="33" l="1"/>
  <c r="R120" i="33"/>
  <c r="S64" i="33"/>
  <c r="S81" i="33"/>
  <c r="S78" i="33" s="1"/>
  <c r="S67" i="33"/>
  <c r="Q123" i="33"/>
  <c r="Q124" i="33" s="1"/>
  <c r="Q121" i="33"/>
  <c r="T68" i="33" l="1"/>
  <c r="S87" i="33"/>
  <c r="S85" i="33"/>
  <c r="S88" i="33"/>
  <c r="S91" i="33"/>
  <c r="S72" i="33"/>
  <c r="T63" i="33" s="1"/>
  <c r="S83" i="33"/>
  <c r="S70" i="33"/>
  <c r="S73" i="33" s="1"/>
  <c r="R123" i="33"/>
  <c r="R124" i="33" s="1"/>
  <c r="R121" i="33"/>
  <c r="S90" i="33" l="1"/>
  <c r="S84" i="33"/>
  <c r="T64" i="33"/>
  <c r="T81" i="33"/>
  <c r="T78" i="33" s="1"/>
  <c r="T67" i="33"/>
  <c r="T87" i="33" l="1"/>
  <c r="U68" i="33"/>
  <c r="T85" i="33"/>
  <c r="T91" i="33"/>
  <c r="T88" i="33"/>
  <c r="T72" i="33"/>
  <c r="U63" i="33" s="1"/>
  <c r="T83" i="33"/>
  <c r="T90" i="33" s="1"/>
  <c r="T70" i="33"/>
  <c r="T73" i="33" s="1"/>
  <c r="S120" i="33"/>
  <c r="S92" i="33"/>
  <c r="U64" i="33" l="1"/>
  <c r="U81" i="33"/>
  <c r="U78" i="33" s="1"/>
  <c r="T92" i="33"/>
  <c r="T120" i="33"/>
  <c r="S121" i="33"/>
  <c r="S123" i="33"/>
  <c r="S124" i="33" s="1"/>
  <c r="T84" i="33"/>
  <c r="U67" i="33"/>
  <c r="V68" i="33" l="1"/>
  <c r="U87" i="33"/>
  <c r="T123" i="33"/>
  <c r="T124" i="33" s="1"/>
  <c r="T121" i="33"/>
  <c r="U72" i="33"/>
  <c r="V63" i="33" s="1"/>
  <c r="U91" i="33"/>
  <c r="U85" i="33"/>
  <c r="U88" i="33"/>
  <c r="U83" i="33"/>
  <c r="U90" i="33" s="1"/>
  <c r="U70" i="33"/>
  <c r="U73" i="33" s="1"/>
  <c r="U84" i="33" l="1"/>
  <c r="U92" i="33"/>
  <c r="U120" i="33"/>
  <c r="V64" i="33"/>
  <c r="V81" i="33"/>
  <c r="V78" i="33" s="1"/>
  <c r="V67" i="33"/>
  <c r="W68" i="33" l="1"/>
  <c r="V87" i="33"/>
  <c r="V88" i="33"/>
  <c r="V85" i="33"/>
  <c r="V91" i="33"/>
  <c r="V72" i="33"/>
  <c r="W63" i="33" s="1"/>
  <c r="V83" i="33"/>
  <c r="V90" i="33" s="1"/>
  <c r="V70" i="33"/>
  <c r="V73" i="33" s="1"/>
  <c r="U121" i="33"/>
  <c r="U123" i="33"/>
  <c r="U124" i="33" s="1"/>
  <c r="W67" i="33" l="1"/>
  <c r="W87" i="33"/>
  <c r="X68" i="33"/>
  <c r="V92" i="33"/>
  <c r="V120" i="33"/>
  <c r="W64" i="33"/>
  <c r="W72" i="33"/>
  <c r="X63" i="33" s="1"/>
  <c r="W81" i="33"/>
  <c r="W78" i="33" s="1"/>
  <c r="V84" i="33"/>
  <c r="X67" i="33" l="1"/>
  <c r="Y68" i="33"/>
  <c r="X87" i="33"/>
  <c r="W85" i="33"/>
  <c r="W91" i="33"/>
  <c r="W88" i="33"/>
  <c r="X72" i="33"/>
  <c r="Y63" i="33" s="1"/>
  <c r="X81" i="33"/>
  <c r="X78" i="33" s="1"/>
  <c r="X64" i="33"/>
  <c r="W83" i="33"/>
  <c r="W90" i="33" s="1"/>
  <c r="W70" i="33"/>
  <c r="W73" i="33" s="1"/>
  <c r="V121" i="33"/>
  <c r="V123" i="33"/>
  <c r="V124" i="33" s="1"/>
  <c r="W120" i="33" l="1"/>
  <c r="W92" i="33"/>
  <c r="X83" i="33"/>
  <c r="X90" i="33" s="1"/>
  <c r="X70" i="33"/>
  <c r="X73" i="33" s="1"/>
  <c r="X88" i="33"/>
  <c r="X85" i="33"/>
  <c r="X91" i="33"/>
  <c r="Y64" i="33"/>
  <c r="Y81" i="33"/>
  <c r="Y78" i="33" s="1"/>
  <c r="W84" i="33"/>
  <c r="X84" i="33" s="1"/>
  <c r="Y67" i="33"/>
  <c r="Y87" i="33" l="1"/>
  <c r="Z68" i="33"/>
  <c r="Y85" i="33"/>
  <c r="Y88" i="33"/>
  <c r="Y91" i="33"/>
  <c r="Y72" i="33"/>
  <c r="Z63" i="33" s="1"/>
  <c r="Y83" i="33"/>
  <c r="Y90" i="33" s="1"/>
  <c r="Y70" i="33"/>
  <c r="Y73" i="33" s="1"/>
  <c r="X120" i="33"/>
  <c r="X92" i="33"/>
  <c r="W123" i="33"/>
  <c r="W124" i="33" s="1"/>
  <c r="W121" i="33"/>
  <c r="X121" i="33" l="1"/>
  <c r="X123" i="33"/>
  <c r="X124" i="33" s="1"/>
  <c r="Y120" i="33"/>
  <c r="Y92" i="33"/>
  <c r="Z81" i="33"/>
  <c r="Z78" i="33" s="1"/>
  <c r="Z64" i="33"/>
  <c r="Y84" i="33"/>
  <c r="Z67" i="33"/>
  <c r="AA68" i="33" l="1"/>
  <c r="Z87" i="33"/>
  <c r="Z72" i="33"/>
  <c r="AA63" i="33" s="1"/>
  <c r="Z83" i="33"/>
  <c r="Z90" i="33" s="1"/>
  <c r="Z70" i="33"/>
  <c r="Z73" i="33" s="1"/>
  <c r="Z88" i="33"/>
  <c r="Z91" i="33"/>
  <c r="Z85" i="33"/>
  <c r="Y121" i="33"/>
  <c r="Y123" i="33"/>
  <c r="Y124" i="33" s="1"/>
  <c r="AA67" i="33" l="1"/>
  <c r="AA87" i="33"/>
  <c r="AB68" i="33"/>
  <c r="Z120" i="33"/>
  <c r="Z92" i="33"/>
  <c r="AA64" i="33"/>
  <c r="AA72" i="33"/>
  <c r="AB63" i="33" s="1"/>
  <c r="AA81" i="33"/>
  <c r="AA78" i="33" s="1"/>
  <c r="Z84" i="33"/>
  <c r="AA88" i="33" l="1"/>
  <c r="AA85" i="33"/>
  <c r="AA91" i="33"/>
  <c r="AB81" i="33"/>
  <c r="AB78" i="33" s="1"/>
  <c r="AB64" i="33"/>
  <c r="AA83" i="33"/>
  <c r="AA90" i="33" s="1"/>
  <c r="AA70" i="33"/>
  <c r="AA73" i="33" s="1"/>
  <c r="Z121" i="33"/>
  <c r="Z123" i="33"/>
  <c r="Z124" i="33" s="1"/>
  <c r="AB67" i="33"/>
  <c r="AB87" i="33" l="1"/>
  <c r="AC68" i="33"/>
  <c r="AA120" i="33"/>
  <c r="AA92" i="33"/>
  <c r="AB83" i="33"/>
  <c r="AB90" i="33" s="1"/>
  <c r="AB70" i="33"/>
  <c r="AB73" i="33" s="1"/>
  <c r="AB72" i="33"/>
  <c r="AC63" i="33" s="1"/>
  <c r="AB85" i="33"/>
  <c r="AB88" i="33"/>
  <c r="AB91" i="33"/>
  <c r="AA84" i="33"/>
  <c r="AC64" i="33" l="1"/>
  <c r="AC81" i="33"/>
  <c r="AC78" i="33" s="1"/>
  <c r="AB120" i="33"/>
  <c r="AB92" i="33"/>
  <c r="AA123" i="33"/>
  <c r="AA124" i="33" s="1"/>
  <c r="AA121" i="33"/>
  <c r="AC67" i="33"/>
  <c r="AB84" i="33"/>
  <c r="AC87" i="33" l="1"/>
  <c r="AD68" i="33"/>
  <c r="AB121" i="33"/>
  <c r="AB123" i="33"/>
  <c r="AB124" i="33" s="1"/>
  <c r="AC85" i="33"/>
  <c r="AC88" i="33"/>
  <c r="AC91" i="33"/>
  <c r="AC72" i="33"/>
  <c r="AD63" i="33" s="1"/>
  <c r="AC83" i="33"/>
  <c r="AC90" i="33" s="1"/>
  <c r="AC70" i="33"/>
  <c r="AC73" i="33" s="1"/>
  <c r="AC120" i="33" l="1"/>
  <c r="AC92" i="33"/>
  <c r="AD81" i="33"/>
  <c r="AD78" i="33" s="1"/>
  <c r="AD64" i="33"/>
  <c r="AD67" i="33"/>
  <c r="AC84" i="33"/>
  <c r="AE68" i="33" l="1"/>
  <c r="AD87" i="33"/>
  <c r="AD91" i="33" s="1"/>
  <c r="AD83" i="33"/>
  <c r="AD90" i="33" s="1"/>
  <c r="AD70" i="33"/>
  <c r="AD73" i="33" s="1"/>
  <c r="AD72" i="33"/>
  <c r="AE63" i="33" s="1"/>
  <c r="AD85" i="33"/>
  <c r="AD88" i="33"/>
  <c r="AC123" i="33"/>
  <c r="AC124" i="33" s="1"/>
  <c r="AC121" i="33"/>
  <c r="AE64" i="33" l="1"/>
  <c r="AE81" i="33"/>
  <c r="AE78" i="33" s="1"/>
  <c r="AD92" i="33"/>
  <c r="AD120" i="33"/>
  <c r="AE67" i="33"/>
  <c r="AD84" i="33"/>
  <c r="AF68" i="33" l="1"/>
  <c r="AE87" i="33"/>
  <c r="AD123" i="33"/>
  <c r="AD124" i="33" s="1"/>
  <c r="AD121" i="33"/>
  <c r="AE85" i="33"/>
  <c r="AE88" i="33"/>
  <c r="AE91" i="33"/>
  <c r="AE72" i="33"/>
  <c r="AF63" i="33" s="1"/>
  <c r="AF67" i="33" s="1"/>
  <c r="AE83" i="33"/>
  <c r="AE90" i="33" s="1"/>
  <c r="AE70" i="33"/>
  <c r="AE73" i="33" s="1"/>
  <c r="AG68" i="33" l="1"/>
  <c r="AF87" i="33"/>
  <c r="AE92" i="33"/>
  <c r="AE120" i="33"/>
  <c r="AF64" i="33"/>
  <c r="AF81" i="33"/>
  <c r="AF78" i="33" s="1"/>
  <c r="AF72" i="33"/>
  <c r="AG63" i="33" s="1"/>
  <c r="AE84" i="33"/>
  <c r="AG67" i="33" l="1"/>
  <c r="AH68" i="33"/>
  <c r="AG87" i="33"/>
  <c r="AG64" i="33"/>
  <c r="AG72" i="33"/>
  <c r="AH63" i="33" s="1"/>
  <c r="AH67" i="33" s="1"/>
  <c r="AH87" i="33" s="1"/>
  <c r="AG81" i="33"/>
  <c r="AG78" i="33" s="1"/>
  <c r="AF83" i="33"/>
  <c r="AF90" i="33" s="1"/>
  <c r="AF70" i="33"/>
  <c r="AF73" i="33" s="1"/>
  <c r="AF88" i="33"/>
  <c r="AF85" i="33"/>
  <c r="AF91" i="33"/>
  <c r="AE121" i="33"/>
  <c r="AE123" i="33"/>
  <c r="AE124" i="33" s="1"/>
  <c r="AG91" i="33" l="1"/>
  <c r="AG85" i="33"/>
  <c r="AG88" i="33"/>
  <c r="AF84" i="33"/>
  <c r="AF120" i="33"/>
  <c r="AF92" i="33"/>
  <c r="AH81" i="33"/>
  <c r="AH78" i="33" s="1"/>
  <c r="AH72" i="33"/>
  <c r="AH64" i="33"/>
  <c r="AG83" i="33"/>
  <c r="AG90" i="33" s="1"/>
  <c r="AG70" i="33"/>
  <c r="AG73" i="33" s="1"/>
  <c r="AG120" i="33" l="1"/>
  <c r="AG92" i="33"/>
  <c r="AH83" i="33"/>
  <c r="AH90" i="33" s="1"/>
  <c r="AH92" i="33" s="1"/>
  <c r="AH70" i="33"/>
  <c r="AH73" i="33" s="1"/>
  <c r="AF123" i="33"/>
  <c r="AF124" i="33" s="1"/>
  <c r="AF121" i="33"/>
  <c r="AH85" i="33"/>
  <c r="AH88" i="33"/>
  <c r="AH91" i="33"/>
  <c r="AG84" i="33"/>
  <c r="AH84" i="33" s="1"/>
  <c r="AP103" i="33" s="1"/>
  <c r="AG123" i="33" l="1"/>
  <c r="AG124" i="33" s="1"/>
  <c r="AG121" i="33"/>
  <c r="AI120" i="33"/>
  <c r="F143" i="33"/>
  <c r="F142" i="33" s="1"/>
  <c r="L68" i="34"/>
  <c r="F197" i="33"/>
  <c r="F196" i="33" l="1"/>
  <c r="G143" i="33"/>
  <c r="F147" i="33"/>
  <c r="G138" i="33" s="1"/>
  <c r="G188" i="33" s="1"/>
  <c r="G187" i="33" s="1"/>
  <c r="G197" i="33" s="1"/>
  <c r="F200" i="33"/>
  <c r="F199" i="33"/>
  <c r="G194" i="33"/>
  <c r="G139" i="33"/>
  <c r="G192" i="33" s="1"/>
  <c r="G193" i="33" s="1"/>
  <c r="F145" i="33"/>
  <c r="F148" i="33" s="1"/>
  <c r="G142" i="33" l="1"/>
  <c r="G145" i="33"/>
  <c r="G148" i="33" s="1"/>
  <c r="F201" i="33"/>
  <c r="F230" i="33"/>
  <c r="H143" i="33" l="1"/>
  <c r="G196" i="33"/>
  <c r="G147" i="33"/>
  <c r="H138" i="33" s="1"/>
  <c r="H142" i="33" s="1"/>
  <c r="F233" i="33"/>
  <c r="F234" i="33" s="1"/>
  <c r="F231" i="33"/>
  <c r="H147" i="33" l="1"/>
  <c r="I138" i="33" s="1"/>
  <c r="H196" i="33"/>
  <c r="I143" i="33"/>
  <c r="I142" i="33" s="1"/>
  <c r="H188" i="33"/>
  <c r="H187" i="33" s="1"/>
  <c r="H139" i="33"/>
  <c r="G200" i="33"/>
  <c r="G199" i="33"/>
  <c r="I196" i="33" l="1"/>
  <c r="J143" i="33"/>
  <c r="G201" i="33"/>
  <c r="G230" i="33"/>
  <c r="H192" i="33"/>
  <c r="H193" i="33" s="1"/>
  <c r="H145" i="33"/>
  <c r="H148" i="33" s="1"/>
  <c r="H194" i="33"/>
  <c r="H197" i="33"/>
  <c r="H200" i="33"/>
  <c r="H199" i="33"/>
  <c r="I188" i="33"/>
  <c r="I187" i="33" s="1"/>
  <c r="I139" i="33"/>
  <c r="I147" i="33"/>
  <c r="J138" i="33" s="1"/>
  <c r="J142" i="33" s="1"/>
  <c r="I197" i="33" l="1"/>
  <c r="I194" i="33"/>
  <c r="H230" i="33"/>
  <c r="H201" i="33"/>
  <c r="I193" i="33"/>
  <c r="G233" i="33"/>
  <c r="G234" i="33" s="1"/>
  <c r="G231" i="33"/>
  <c r="J196" i="33"/>
  <c r="K143" i="33"/>
  <c r="J147" i="33"/>
  <c r="K138" i="33" s="1"/>
  <c r="J139" i="33"/>
  <c r="J188" i="33"/>
  <c r="J187" i="33" s="1"/>
  <c r="I192" i="33"/>
  <c r="I199" i="33" s="1"/>
  <c r="I145" i="33"/>
  <c r="I148" i="33" s="1"/>
  <c r="I200" i="33"/>
  <c r="K142" i="33" l="1"/>
  <c r="K147" i="33"/>
  <c r="L138" i="33" s="1"/>
  <c r="K139" i="33"/>
  <c r="K188" i="33"/>
  <c r="K187" i="33" s="1"/>
  <c r="J145" i="33"/>
  <c r="J148" i="33" s="1"/>
  <c r="J192" i="33"/>
  <c r="L143" i="33"/>
  <c r="K196" i="33"/>
  <c r="J197" i="33"/>
  <c r="J200" i="33"/>
  <c r="J194" i="33"/>
  <c r="H233" i="33"/>
  <c r="H234" i="33" s="1"/>
  <c r="H231" i="33"/>
  <c r="I230" i="33"/>
  <c r="I201" i="33"/>
  <c r="J193" i="33" l="1"/>
  <c r="J199" i="33"/>
  <c r="K200" i="33"/>
  <c r="K197" i="33"/>
  <c r="K194" i="33"/>
  <c r="K192" i="33"/>
  <c r="K199" i="33" s="1"/>
  <c r="K145" i="33"/>
  <c r="K148" i="33" s="1"/>
  <c r="I231" i="33"/>
  <c r="I233" i="33"/>
  <c r="I234" i="33" s="1"/>
  <c r="L142" i="33"/>
  <c r="L139" i="33"/>
  <c r="L188" i="33"/>
  <c r="L187" i="33" s="1"/>
  <c r="L194" i="33" l="1"/>
  <c r="L197" i="33"/>
  <c r="L192" i="33"/>
  <c r="L145" i="33"/>
  <c r="L148" i="33" s="1"/>
  <c r="L196" i="33"/>
  <c r="L200" i="33" s="1"/>
  <c r="M143" i="33"/>
  <c r="K230" i="33"/>
  <c r="K201" i="33"/>
  <c r="J230" i="33"/>
  <c r="J201" i="33"/>
  <c r="L147" i="33"/>
  <c r="M138" i="33" s="1"/>
  <c r="K193" i="33"/>
  <c r="M142" i="33" l="1"/>
  <c r="N143" i="33"/>
  <c r="M196" i="33"/>
  <c r="J231" i="33"/>
  <c r="J233" i="33"/>
  <c r="J234" i="33" s="1"/>
  <c r="K231" i="33"/>
  <c r="K233" i="33"/>
  <c r="K234" i="33" s="1"/>
  <c r="L199" i="33"/>
  <c r="L193" i="33"/>
  <c r="M147" i="33"/>
  <c r="N138" i="33" s="1"/>
  <c r="M139" i="33"/>
  <c r="M188" i="33"/>
  <c r="M187" i="33" s="1"/>
  <c r="N188" i="33" l="1"/>
  <c r="N187" i="33" s="1"/>
  <c r="N139" i="33"/>
  <c r="M192" i="33"/>
  <c r="M199" i="33" s="1"/>
  <c r="M145" i="33"/>
  <c r="M148" i="33" s="1"/>
  <c r="M193" i="33"/>
  <c r="L201" i="33"/>
  <c r="L230" i="33"/>
  <c r="N142" i="33"/>
  <c r="M200" i="33"/>
  <c r="M197" i="33"/>
  <c r="M194" i="33"/>
  <c r="O143" i="33" l="1"/>
  <c r="N196" i="33"/>
  <c r="L231" i="33"/>
  <c r="L233" i="33"/>
  <c r="L234" i="33" s="1"/>
  <c r="M201" i="33"/>
  <c r="M230" i="33"/>
  <c r="N192" i="33"/>
  <c r="N199" i="33" s="1"/>
  <c r="N145" i="33"/>
  <c r="N148" i="33" s="1"/>
  <c r="N197" i="33"/>
  <c r="N194" i="33"/>
  <c r="N200" i="33"/>
  <c r="N147" i="33"/>
  <c r="O138" i="33" s="1"/>
  <c r="N201" i="33" l="1"/>
  <c r="N230" i="33"/>
  <c r="M231" i="33"/>
  <c r="M233" i="33"/>
  <c r="M234" i="33" s="1"/>
  <c r="N193" i="33"/>
  <c r="O139" i="33"/>
  <c r="O188" i="33"/>
  <c r="O187" i="33" s="1"/>
  <c r="O142" i="33"/>
  <c r="P143" i="33" l="1"/>
  <c r="O196" i="33"/>
  <c r="O200" i="33" s="1"/>
  <c r="O197" i="33"/>
  <c r="O194" i="33"/>
  <c r="O147" i="33"/>
  <c r="P138" i="33" s="1"/>
  <c r="O192" i="33"/>
  <c r="O199" i="33" s="1"/>
  <c r="O145" i="33"/>
  <c r="O148" i="33" s="1"/>
  <c r="O193" i="33"/>
  <c r="N233" i="33"/>
  <c r="N234" i="33" s="1"/>
  <c r="N231" i="33"/>
  <c r="O201" i="33" l="1"/>
  <c r="O230" i="33"/>
  <c r="P188" i="33"/>
  <c r="P187" i="33" s="1"/>
  <c r="P139" i="33"/>
  <c r="P142" i="33"/>
  <c r="P196" i="33" l="1"/>
  <c r="P200" i="33" s="1"/>
  <c r="Q143" i="33"/>
  <c r="P147" i="33"/>
  <c r="Q138" i="33" s="1"/>
  <c r="P192" i="33"/>
  <c r="P145" i="33"/>
  <c r="P148" i="33" s="1"/>
  <c r="P194" i="33"/>
  <c r="P197" i="33"/>
  <c r="O233" i="33"/>
  <c r="O234" i="33" s="1"/>
  <c r="O231" i="33"/>
  <c r="P199" i="33" l="1"/>
  <c r="P193" i="33"/>
  <c r="Q188" i="33"/>
  <c r="Q187" i="33" s="1"/>
  <c r="Q139" i="33"/>
  <c r="Q142" i="33"/>
  <c r="R143" i="33" l="1"/>
  <c r="Q196" i="33"/>
  <c r="Q147" i="33"/>
  <c r="R138" i="33" s="1"/>
  <c r="Q192" i="33"/>
  <c r="Q199" i="33" s="1"/>
  <c r="Q145" i="33"/>
  <c r="Q148" i="33" s="1"/>
  <c r="Q197" i="33"/>
  <c r="Q200" i="33"/>
  <c r="Q194" i="33"/>
  <c r="Q193" i="33"/>
  <c r="P230" i="33"/>
  <c r="P201" i="33"/>
  <c r="P233" i="33" l="1"/>
  <c r="P234" i="33" s="1"/>
  <c r="P231" i="33"/>
  <c r="Q201" i="33"/>
  <c r="Q230" i="33"/>
  <c r="R188" i="33"/>
  <c r="R187" i="33" s="1"/>
  <c r="R139" i="33"/>
  <c r="R142" i="33"/>
  <c r="R196" i="33" l="1"/>
  <c r="S143" i="33"/>
  <c r="R147" i="33"/>
  <c r="S138" i="33" s="1"/>
  <c r="R192" i="33"/>
  <c r="R145" i="33"/>
  <c r="R148" i="33" s="1"/>
  <c r="R194" i="33"/>
  <c r="R200" i="33"/>
  <c r="R197" i="33"/>
  <c r="Q233" i="33"/>
  <c r="Q234" i="33" s="1"/>
  <c r="Q231" i="33"/>
  <c r="R199" i="33" l="1"/>
  <c r="R193" i="33"/>
  <c r="S188" i="33"/>
  <c r="S187" i="33" s="1"/>
  <c r="S139" i="33"/>
  <c r="S142" i="33"/>
  <c r="T143" i="33" l="1"/>
  <c r="S196" i="33"/>
  <c r="S192" i="33"/>
  <c r="S199" i="33" s="1"/>
  <c r="S145" i="33"/>
  <c r="S148" i="33" s="1"/>
  <c r="S200" i="33"/>
  <c r="S197" i="33"/>
  <c r="S194" i="33"/>
  <c r="S147" i="33"/>
  <c r="T138" i="33" s="1"/>
  <c r="S193" i="33"/>
  <c r="R201" i="33"/>
  <c r="R230" i="33"/>
  <c r="T188" i="33" l="1"/>
  <c r="T187" i="33" s="1"/>
  <c r="T139" i="33"/>
  <c r="S201" i="33"/>
  <c r="S230" i="33"/>
  <c r="T142" i="33"/>
  <c r="R231" i="33"/>
  <c r="R233" i="33"/>
  <c r="R234" i="33" s="1"/>
  <c r="T196" i="33" l="1"/>
  <c r="U143" i="33"/>
  <c r="S231" i="33"/>
  <c r="S233" i="33"/>
  <c r="S234" i="33" s="1"/>
  <c r="T192" i="33"/>
  <c r="T145" i="33"/>
  <c r="T148" i="33" s="1"/>
  <c r="T200" i="33"/>
  <c r="T194" i="33"/>
  <c r="T197" i="33"/>
  <c r="T147" i="33"/>
  <c r="U138" i="33" s="1"/>
  <c r="U142" i="33" l="1"/>
  <c r="U196" i="33"/>
  <c r="V143" i="33"/>
  <c r="U147" i="33"/>
  <c r="V138" i="33" s="1"/>
  <c r="U188" i="33"/>
  <c r="U187" i="33" s="1"/>
  <c r="U139" i="33"/>
  <c r="T199" i="33"/>
  <c r="T193" i="33"/>
  <c r="T201" i="33" l="1"/>
  <c r="T230" i="33"/>
  <c r="U192" i="33"/>
  <c r="U199" i="33" s="1"/>
  <c r="U145" i="33"/>
  <c r="U148" i="33" s="1"/>
  <c r="U197" i="33"/>
  <c r="U200" i="33"/>
  <c r="U194" i="33"/>
  <c r="V139" i="33"/>
  <c r="V188" i="33"/>
  <c r="V187" i="33" s="1"/>
  <c r="V142" i="33"/>
  <c r="V196" i="33" l="1"/>
  <c r="V200" i="33" s="1"/>
  <c r="W143" i="33"/>
  <c r="V147" i="33"/>
  <c r="W138" i="33" s="1"/>
  <c r="V197" i="33"/>
  <c r="V194" i="33"/>
  <c r="V192" i="33"/>
  <c r="V145" i="33"/>
  <c r="V148" i="33" s="1"/>
  <c r="U201" i="33"/>
  <c r="U230" i="33"/>
  <c r="T231" i="33"/>
  <c r="T233" i="33"/>
  <c r="T234" i="33" s="1"/>
  <c r="U193" i="33"/>
  <c r="V199" i="33" l="1"/>
  <c r="V201" i="33" s="1"/>
  <c r="U233" i="33"/>
  <c r="U234" i="33" s="1"/>
  <c r="U231" i="33"/>
  <c r="W139" i="33"/>
  <c r="W188" i="33"/>
  <c r="W187" i="33" s="1"/>
  <c r="V193" i="33"/>
  <c r="W142" i="33"/>
  <c r="V230" i="33" l="1"/>
  <c r="V231" i="33"/>
  <c r="V233" i="33"/>
  <c r="V234" i="33" s="1"/>
  <c r="W196" i="33"/>
  <c r="X143" i="33"/>
  <c r="X142" i="33" s="1"/>
  <c r="W194" i="33"/>
  <c r="W200" i="33"/>
  <c r="W197" i="33"/>
  <c r="W192" i="33"/>
  <c r="W199" i="33" s="1"/>
  <c r="W145" i="33"/>
  <c r="W148" i="33" s="1"/>
  <c r="W147" i="33"/>
  <c r="X138" i="33" s="1"/>
  <c r="W201" i="33" l="1"/>
  <c r="W230" i="33"/>
  <c r="W193" i="33"/>
  <c r="Y143" i="33"/>
  <c r="X196" i="33"/>
  <c r="X139" i="33"/>
  <c r="X188" i="33"/>
  <c r="X187" i="33" s="1"/>
  <c r="X147" i="33"/>
  <c r="Y138" i="33" s="1"/>
  <c r="Y142" i="33" l="1"/>
  <c r="Y147" i="33"/>
  <c r="Z138" i="33" s="1"/>
  <c r="Y139" i="33"/>
  <c r="Y188" i="33"/>
  <c r="Y187" i="33" s="1"/>
  <c r="X197" i="33"/>
  <c r="X194" i="33"/>
  <c r="X200" i="33"/>
  <c r="X192" i="33"/>
  <c r="X199" i="33" s="1"/>
  <c r="X145" i="33"/>
  <c r="X148" i="33" s="1"/>
  <c r="X193" i="33"/>
  <c r="W231" i="33"/>
  <c r="W233" i="33"/>
  <c r="W234" i="33" s="1"/>
  <c r="X201" i="33" l="1"/>
  <c r="X230" i="33"/>
  <c r="Y194" i="33"/>
  <c r="Y197" i="33"/>
  <c r="Y192" i="33"/>
  <c r="Y145" i="33"/>
  <c r="Y148" i="33" s="1"/>
  <c r="Z188" i="33"/>
  <c r="Z187" i="33" s="1"/>
  <c r="Z139" i="33"/>
  <c r="Z192" i="33" s="1"/>
  <c r="Y196" i="33"/>
  <c r="Y200" i="33" s="1"/>
  <c r="Z143" i="33"/>
  <c r="Z142" i="33" s="1"/>
  <c r="Z147" i="33" s="1"/>
  <c r="AA138" i="33" s="1"/>
  <c r="AA139" i="33" l="1"/>
  <c r="AA192" i="33" s="1"/>
  <c r="AA188" i="33"/>
  <c r="AA187" i="33" s="1"/>
  <c r="Z197" i="33"/>
  <c r="Z194" i="33"/>
  <c r="Y199" i="33"/>
  <c r="Z145" i="33"/>
  <c r="Z148" i="33" s="1"/>
  <c r="X233" i="33"/>
  <c r="X234" i="33" s="1"/>
  <c r="X231" i="33"/>
  <c r="AA143" i="33"/>
  <c r="AA142" i="33" s="1"/>
  <c r="Z196" i="33"/>
  <c r="Z199" i="33" s="1"/>
  <c r="Y193" i="33"/>
  <c r="Z193" i="33" s="1"/>
  <c r="AA193" i="33" s="1"/>
  <c r="Z200" i="33" l="1"/>
  <c r="Z201" i="33"/>
  <c r="Z230" i="33"/>
  <c r="AA196" i="33"/>
  <c r="AA200" i="33" s="1"/>
  <c r="AB143" i="33"/>
  <c r="AA145" i="33"/>
  <c r="AA148" i="33" s="1"/>
  <c r="AA147" i="33"/>
  <c r="AB138" i="33" s="1"/>
  <c r="Y201" i="33"/>
  <c r="Y230" i="33"/>
  <c r="AA194" i="33"/>
  <c r="AA197" i="33"/>
  <c r="Y233" i="33" l="1"/>
  <c r="Y234" i="33" s="1"/>
  <c r="Y231" i="33"/>
  <c r="AB139" i="33"/>
  <c r="AB188" i="33"/>
  <c r="AB187" i="33" s="1"/>
  <c r="AB142" i="33"/>
  <c r="AA199" i="33"/>
  <c r="Z231" i="33"/>
  <c r="Z233" i="33"/>
  <c r="Z234" i="33" s="1"/>
  <c r="AA201" i="33" l="1"/>
  <c r="AA230" i="33"/>
  <c r="AB196" i="33"/>
  <c r="AC143" i="33"/>
  <c r="AB147" i="33"/>
  <c r="AC138" i="33" s="1"/>
  <c r="AB200" i="33"/>
  <c r="AB197" i="33"/>
  <c r="AB194" i="33"/>
  <c r="AB192" i="33"/>
  <c r="AB145" i="33"/>
  <c r="AB148" i="33" s="1"/>
  <c r="AB199" i="33" l="1"/>
  <c r="AB193" i="33"/>
  <c r="AC139" i="33"/>
  <c r="AC188" i="33"/>
  <c r="AC187" i="33" s="1"/>
  <c r="AC142" i="33"/>
  <c r="AA231" i="33"/>
  <c r="AA233" i="33"/>
  <c r="AA234" i="33" s="1"/>
  <c r="AD143" i="33" l="1"/>
  <c r="AC196" i="33"/>
  <c r="AC200" i="33"/>
  <c r="AC197" i="33"/>
  <c r="AC194" i="33"/>
  <c r="AC192" i="33"/>
  <c r="AC199" i="33" s="1"/>
  <c r="AC145" i="33"/>
  <c r="AC148" i="33" s="1"/>
  <c r="AC147" i="33"/>
  <c r="AD138" i="33" s="1"/>
  <c r="AC193" i="33"/>
  <c r="AB201" i="33"/>
  <c r="AB230" i="33"/>
  <c r="AD139" i="33" l="1"/>
  <c r="AD188" i="33"/>
  <c r="AD187" i="33" s="1"/>
  <c r="AC230" i="33"/>
  <c r="AC201" i="33"/>
  <c r="AD142" i="33"/>
  <c r="AB231" i="33"/>
  <c r="AB233" i="33"/>
  <c r="AB234" i="33" s="1"/>
  <c r="AD196" i="33" l="1"/>
  <c r="AD200" i="33" s="1"/>
  <c r="AE143" i="33"/>
  <c r="AC231" i="33"/>
  <c r="AC233" i="33"/>
  <c r="AC234" i="33" s="1"/>
  <c r="AD194" i="33"/>
  <c r="AD197" i="33"/>
  <c r="AD192" i="33"/>
  <c r="AD145" i="33"/>
  <c r="AD148" i="33" s="1"/>
  <c r="AD147" i="33"/>
  <c r="AE138" i="33" s="1"/>
  <c r="AE188" i="33" l="1"/>
  <c r="AE187" i="33" s="1"/>
  <c r="AE139" i="33"/>
  <c r="AD199" i="33"/>
  <c r="AD193" i="33"/>
  <c r="AE142" i="33"/>
  <c r="AE196" i="33" l="1"/>
  <c r="AF143" i="33"/>
  <c r="AD230" i="33"/>
  <c r="AD201" i="33"/>
  <c r="AE147" i="33"/>
  <c r="AF138" i="33" s="1"/>
  <c r="AE192" i="33"/>
  <c r="AE199" i="33" s="1"/>
  <c r="AE145" i="33"/>
  <c r="AE148" i="33" s="1"/>
  <c r="AE194" i="33"/>
  <c r="AE197" i="33"/>
  <c r="AE200" i="33"/>
  <c r="AE230" i="33" l="1"/>
  <c r="AE201" i="33"/>
  <c r="AF139" i="33"/>
  <c r="AF188" i="33"/>
  <c r="AF187" i="33" s="1"/>
  <c r="AD233" i="33"/>
  <c r="AD234" i="33" s="1"/>
  <c r="AD231" i="33"/>
  <c r="AE193" i="33"/>
  <c r="AF142" i="33"/>
  <c r="AF196" i="33" l="1"/>
  <c r="AG143" i="33"/>
  <c r="AF194" i="33"/>
  <c r="AF197" i="33"/>
  <c r="AF200" i="33"/>
  <c r="AF192" i="33"/>
  <c r="AF199" i="33" s="1"/>
  <c r="AF145" i="33"/>
  <c r="AF148" i="33" s="1"/>
  <c r="AF147" i="33"/>
  <c r="AG138" i="33" s="1"/>
  <c r="AE233" i="33"/>
  <c r="AE234" i="33" s="1"/>
  <c r="AE231" i="33"/>
  <c r="AG188" i="33" l="1"/>
  <c r="AG187" i="33" s="1"/>
  <c r="AG139" i="33"/>
  <c r="AF230" i="33"/>
  <c r="AF201" i="33"/>
  <c r="AF193" i="33"/>
  <c r="AG142" i="33"/>
  <c r="AH143" i="33" l="1"/>
  <c r="AG196" i="33"/>
  <c r="AG200" i="33" s="1"/>
  <c r="AF231" i="33"/>
  <c r="AF233" i="33"/>
  <c r="AF234" i="33" s="1"/>
  <c r="AG192" i="33"/>
  <c r="AG199" i="33" s="1"/>
  <c r="AG145" i="33"/>
  <c r="AG148" i="33" s="1"/>
  <c r="AG147" i="33"/>
  <c r="AH138" i="33" s="1"/>
  <c r="AG197" i="33"/>
  <c r="AG194" i="33"/>
  <c r="AH188" i="33" l="1"/>
  <c r="AH187" i="33" s="1"/>
  <c r="AH139" i="33"/>
  <c r="AG230" i="33"/>
  <c r="AG201" i="33"/>
  <c r="AG193" i="33"/>
  <c r="AH142" i="33"/>
  <c r="AH196" i="33" s="1"/>
  <c r="AG233" i="33" l="1"/>
  <c r="AG234" i="33" s="1"/>
  <c r="AG231" i="33"/>
  <c r="AI230" i="33"/>
  <c r="AH192" i="33"/>
  <c r="AH199" i="33" s="1"/>
  <c r="AH201" i="33" s="1"/>
  <c r="AH145" i="33"/>
  <c r="AH148" i="33" s="1"/>
  <c r="AH147" i="33"/>
  <c r="AH197" i="33"/>
  <c r="AH200" i="33"/>
  <c r="AH194" i="33"/>
  <c r="AP213" i="33" s="1"/>
  <c r="AH193" i="3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futureMetadata>
  <cellMetadata count="1">
    <bk>
      <rc t="1" v="0"/>
    </bk>
  </cellMetadata>
  <valueMetadata count="14">
    <bk>
      <rc t="2" v="0"/>
    </bk>
    <bk>
      <rc t="2" v="1"/>
    </bk>
    <bk>
      <rc t="2" v="2"/>
    </bk>
    <bk>
      <rc t="2" v="3"/>
    </bk>
    <bk>
      <rc t="2" v="4"/>
    </bk>
    <bk>
      <rc t="2" v="5"/>
    </bk>
    <bk>
      <rc t="2" v="6"/>
    </bk>
    <bk>
      <rc t="2" v="7"/>
    </bk>
    <bk>
      <rc t="2" v="8"/>
    </bk>
    <bk>
      <rc t="2" v="9"/>
    </bk>
    <bk>
      <rc t="2" v="10"/>
    </bk>
    <bk>
      <rc t="2" v="11"/>
    </bk>
    <bk>
      <rc t="2" v="12"/>
    </bk>
    <bk>
      <rc t="2" v="13"/>
    </bk>
  </valueMetadata>
</metadata>
</file>

<file path=xl/sharedStrings.xml><?xml version="1.0" encoding="utf-8"?>
<sst xmlns="http://schemas.openxmlformats.org/spreadsheetml/2006/main" count="4782" uniqueCount="1184">
  <si>
    <t>Projektnummer:</t>
  </si>
  <si>
    <t>Zuständiger Sanierungslotse:</t>
  </si>
  <si>
    <t>T. Jaschke</t>
  </si>
  <si>
    <t>Bild von Haus!!!</t>
  </si>
  <si>
    <t>Anrede:</t>
  </si>
  <si>
    <t>Vorname Nachname:</t>
  </si>
  <si>
    <t>Zuständiger Energieberater:</t>
  </si>
  <si>
    <t>S. Becher</t>
  </si>
  <si>
    <t>Straße, Nr. (Objektadresse):</t>
  </si>
  <si>
    <t>Kurzbeschreibung:</t>
  </si>
  <si>
    <t>Sanierung EFH</t>
  </si>
  <si>
    <t>PLZ, Ort:</t>
  </si>
  <si>
    <t>Email:</t>
  </si>
  <si>
    <t>Preis Gesamt:</t>
  </si>
  <si>
    <t>Telefon:</t>
  </si>
  <si>
    <t>besondere technische Zuwendung:</t>
  </si>
  <si>
    <t>Sharepoint</t>
  </si>
  <si>
    <t>Airteam</t>
  </si>
  <si>
    <t>Magicplan</t>
  </si>
  <si>
    <t>Legende:</t>
  </si>
  <si>
    <t>Energieberater</t>
  </si>
  <si>
    <t>Kalkulator</t>
  </si>
  <si>
    <t>Sanierungslotse</t>
  </si>
  <si>
    <t>Allgemeines Bestand:</t>
  </si>
  <si>
    <t>Gebäude</t>
  </si>
  <si>
    <t>Geschosse</t>
  </si>
  <si>
    <t>Strom und Heizkosten</t>
  </si>
  <si>
    <t>Gebäudebezeichnung:</t>
  </si>
  <si>
    <t>Gebäudetyp:</t>
  </si>
  <si>
    <t>Geschoss</t>
  </si>
  <si>
    <t>Anzahl</t>
  </si>
  <si>
    <t>lichte Raumhöhe</t>
  </si>
  <si>
    <t>Geschosshöhe</t>
  </si>
  <si>
    <t>Stromkosten</t>
  </si>
  <si>
    <t>Wohnfläche [m²]:</t>
  </si>
  <si>
    <t>Baujahr:</t>
  </si>
  <si>
    <t>Vebrauch Strom [kWh/Jahr]:</t>
  </si>
  <si>
    <t>Kosten Strom [€/kWh]:</t>
  </si>
  <si>
    <t>Wohneinheiten:</t>
  </si>
  <si>
    <t>Denkmalschutz:</t>
  </si>
  <si>
    <t>Heizkosten</t>
  </si>
  <si>
    <t>Anzahl der Personen:</t>
  </si>
  <si>
    <t>Beschreibung Denkmalschutz:</t>
  </si>
  <si>
    <t>Energieträger:</t>
  </si>
  <si>
    <t>Abrechnungseinheit:</t>
  </si>
  <si>
    <t>Kubatur:</t>
  </si>
  <si>
    <t>Anbausituation:</t>
  </si>
  <si>
    <t>Grundfläche des Hauses [m²]:</t>
  </si>
  <si>
    <t>Haus Länge [m]:</t>
  </si>
  <si>
    <t>CO2 Emmisionen [g/kWh]:</t>
  </si>
  <si>
    <t>Zugang zur Baustelle</t>
  </si>
  <si>
    <t>Haus Breite [m]:</t>
  </si>
  <si>
    <t>(manuell wenn nicht in Datenbank)</t>
  </si>
  <si>
    <t>Befahrbarkeit für Fahzeuge &lt; 40t möglich?</t>
  </si>
  <si>
    <t>Beschreibung Baustellenzufahrt:</t>
  </si>
  <si>
    <t>Absperrung Zufahrt nötig?:</t>
  </si>
  <si>
    <t>Zufahrtsbreite von 3,5m gegeben?:</t>
  </si>
  <si>
    <t>Interesse des Kunden/ Wunsch</t>
  </si>
  <si>
    <t>Wunsch Kunde</t>
  </si>
  <si>
    <t>Ist-Aufbau</t>
  </si>
  <si>
    <t>Ist- U-Wert</t>
  </si>
  <si>
    <t>Energetische Bewertung</t>
  </si>
  <si>
    <t>GEG-/ BEG -Norm</t>
  </si>
  <si>
    <t>Sowieso-Kosten</t>
  </si>
  <si>
    <t>Begründung</t>
  </si>
  <si>
    <t>Notizen Datenaufnahme</t>
  </si>
  <si>
    <t>Besonderheiten Gebäude</t>
  </si>
  <si>
    <t>Dach:</t>
  </si>
  <si>
    <t>-</t>
  </si>
  <si>
    <t>Dach vereinzelt ausbessern</t>
  </si>
  <si>
    <t>Fassade:</t>
  </si>
  <si>
    <t>Fassade Streichen und Putz ausbessern</t>
  </si>
  <si>
    <t>Fenster:</t>
  </si>
  <si>
    <t>Boden (unterer Gebäudeabschluss):</t>
  </si>
  <si>
    <t>Keller:</t>
  </si>
  <si>
    <t>Keller abdichten und trockenlegen</t>
  </si>
  <si>
    <t>Heizung:</t>
  </si>
  <si>
    <t>Heizungsaustausch</t>
  </si>
  <si>
    <t>Photovoltaik:</t>
  </si>
  <si>
    <t>Summe</t>
  </si>
  <si>
    <t xml:space="preserve">Sonstiges </t>
  </si>
  <si>
    <t>Interesse / Anmerkungen</t>
  </si>
  <si>
    <t>Internes Gespräch + Fragen fürs Erstgespräch</t>
  </si>
  <si>
    <t>Ergebnisse Erstgespräch</t>
  </si>
  <si>
    <t>Ergebnisse Zweitgespräch</t>
  </si>
  <si>
    <t>Änderungsprotokollierung</t>
  </si>
  <si>
    <t>Ausgangszustand</t>
  </si>
  <si>
    <t>Ausgangswerte für Wirtschaftlichkeitsberechnung</t>
  </si>
  <si>
    <t> </t>
  </si>
  <si>
    <t>Primärenergiebedarf:</t>
  </si>
  <si>
    <t>kWh/m²a</t>
  </si>
  <si>
    <t>Endenergiebedarf Gerechnet:</t>
  </si>
  <si>
    <t>Heizwärmemenge:</t>
  </si>
  <si>
    <t>kWh/a</t>
  </si>
  <si>
    <t>Heizwärmebedarf Nach Berechnung:</t>
  </si>
  <si>
    <t>Endenergiebedarf Nach Verbrauch:</t>
  </si>
  <si>
    <t>Heizpreis pro kWh:</t>
  </si>
  <si>
    <t>/kWh</t>
  </si>
  <si>
    <t>Gebäudenutzfläche [Grundlage iSFP, Energieausweis]:</t>
  </si>
  <si>
    <t>m²</t>
  </si>
  <si>
    <t>Endenergiebedarf Annahme (Wirtschaftlichkeit):</t>
  </si>
  <si>
    <t>Heizkosten pro Jahr:</t>
  </si>
  <si>
    <t>/a</t>
  </si>
  <si>
    <t>Stromkosten [€/Jahr]:</t>
  </si>
  <si>
    <t>Varianten</t>
  </si>
  <si>
    <t xml:space="preserve">U-Wert Tabelle nach BEG </t>
  </si>
  <si>
    <t>iSFP</t>
  </si>
  <si>
    <t>BEG WG + Kredite:</t>
  </si>
  <si>
    <t>Kurzbeschreibung Maßnahmen Standard</t>
  </si>
  <si>
    <t>Maßnahmen Erweiterung</t>
  </si>
  <si>
    <t>U-Wert Nach</t>
  </si>
  <si>
    <t>Preisschätzung ST.</t>
  </si>
  <si>
    <t>Satz</t>
  </si>
  <si>
    <t>Förderbare Kosten</t>
  </si>
  <si>
    <t xml:space="preserve">Direkt Summe </t>
  </si>
  <si>
    <t>Kredit:</t>
  </si>
  <si>
    <t>BEG WG</t>
  </si>
  <si>
    <t>Ergänzungskredit</t>
  </si>
  <si>
    <t>Zusatz Darlehen</t>
  </si>
  <si>
    <t>Gesamt</t>
  </si>
  <si>
    <t>Dämmung Schrägen mit Trockenbau (innen)</t>
  </si>
  <si>
    <t>22 cm MiWo WLG 035</t>
  </si>
  <si>
    <t>Maßnahmen?:</t>
  </si>
  <si>
    <t>WDVS Dämmung der Außenfassade mit Strukturputz + Einblasdämmung</t>
  </si>
  <si>
    <t>8 cm MiWo WLG 035</t>
  </si>
  <si>
    <t>Fenster + Terrassentüren inkl. Demontage, Entsorgung und Rollläden + Türaustausch</t>
  </si>
  <si>
    <t>Kreditsumme:</t>
  </si>
  <si>
    <t>Dämmung der Kellerdecke und des Fußbodens</t>
  </si>
  <si>
    <t>9 cm PS WLG 035</t>
  </si>
  <si>
    <t>Tilgungszuschuss:</t>
  </si>
  <si>
    <t>6 cm PS WLG 035</t>
  </si>
  <si>
    <t>Zinssatz:</t>
  </si>
  <si>
    <t>Summe Gebäudehülle:</t>
  </si>
  <si>
    <t>Laufzeit:</t>
  </si>
  <si>
    <t>Heizung/ Wärmeübertragung:</t>
  </si>
  <si>
    <t>Einbau Luftwärmepumpe + Ausbau Bestandsheizung + Trinkwasserspeicher</t>
  </si>
  <si>
    <t>Einbau neuer Kompaktheizkörper</t>
  </si>
  <si>
    <t>Tilgungsfreie Anlaufzeit:</t>
  </si>
  <si>
    <t xml:space="preserve">kWp / Speicher </t>
  </si>
  <si>
    <t>10 kWh</t>
  </si>
  <si>
    <t>Weiter Förderbar:</t>
  </si>
  <si>
    <t>AnfänglicheTilgung:</t>
  </si>
  <si>
    <t>Sonstiges:</t>
  </si>
  <si>
    <t>Dezentrale Lüftungsanlage</t>
  </si>
  <si>
    <t>Kosten zu finanzieren:</t>
  </si>
  <si>
    <t>Jahre bis Volltilgung:</t>
  </si>
  <si>
    <t>WB-Berechnung, Wert:</t>
  </si>
  <si>
    <t>Nein</t>
  </si>
  <si>
    <t>Monatliche Belastung:</t>
  </si>
  <si>
    <t>Einsparung</t>
  </si>
  <si>
    <t>Kosten</t>
  </si>
  <si>
    <t>Direkt Summe:</t>
  </si>
  <si>
    <t>Förderung:</t>
  </si>
  <si>
    <t>Heizlast kW</t>
  </si>
  <si>
    <t>Anmerkungen:</t>
  </si>
  <si>
    <t>Wird ein Effizienzhausstandard erreicht?</t>
  </si>
  <si>
    <t>ein Effizienzhaus 55</t>
  </si>
  <si>
    <t>EE-Klasse</t>
  </si>
  <si>
    <t>WP-Building</t>
  </si>
  <si>
    <t>Variante 1</t>
  </si>
  <si>
    <t xml:space="preserve">Dacheindeckung + Dämmung Schrägen mit Trockenbau (innen) + Dämmung obere Geschossdecke </t>
  </si>
  <si>
    <t>23 cm MiWo WLG 035</t>
  </si>
  <si>
    <t>12 cm MiWo WLG 035</t>
  </si>
  <si>
    <t>Türaustausch ohne Fenstersanierung</t>
  </si>
  <si>
    <t>Dämmung des Fußbodens</t>
  </si>
  <si>
    <t>Kellerinnendämmung (inkl. Abdichten) + Horizontalsperre</t>
  </si>
  <si>
    <t>7 cm PS WLG 035</t>
  </si>
  <si>
    <t>Einbau Luftwärmepumpe als Hybridsystem + Trinkwasserspeicher</t>
  </si>
  <si>
    <t>Einbau Flächenheizung</t>
  </si>
  <si>
    <t>kWp / Speicher / Autarkiegrad:</t>
  </si>
  <si>
    <t>5 kWh</t>
  </si>
  <si>
    <t>Variante 2</t>
  </si>
  <si>
    <t>13 cm MiWo WLG 035</t>
  </si>
  <si>
    <t>Kelleraußendämmung (inkl. Abdichten) + Horizontalsperre + Ausschachten</t>
  </si>
  <si>
    <t>Einbau Luftwärmepumpe als Hybridsystem + Trinkwasserspeicher + Pufferspeicher/hydr. Weiche</t>
  </si>
  <si>
    <t>Ja</t>
  </si>
  <si>
    <t>leider keinen Effizienzhausstandard</t>
  </si>
  <si>
    <t>Welche Variante wird verfolgt?</t>
  </si>
  <si>
    <t>Maßnahmenliste</t>
  </si>
  <si>
    <t>auf Standardpreis</t>
  </si>
  <si>
    <t>Maßnahmenpaket</t>
  </si>
  <si>
    <t>Preis Standard</t>
  </si>
  <si>
    <t>Zusatz-Leistung</t>
  </si>
  <si>
    <t>Preis Zusatz</t>
  </si>
  <si>
    <t>Preis Gesamt</t>
  </si>
  <si>
    <t>Wertsteigerung</t>
  </si>
  <si>
    <t>Dacheindeckung + Dämmung Schrägen (außen)</t>
  </si>
  <si>
    <t>Summe:</t>
  </si>
  <si>
    <t>Allgemeine Umsetzungshinweise</t>
  </si>
  <si>
    <t>Förderung</t>
  </si>
  <si>
    <t>Einzelmaßnahme BEG EM:</t>
  </si>
  <si>
    <t>Übrige Kosten:</t>
  </si>
  <si>
    <t>Wirtschaftlichkeitsberechnung Detail</t>
  </si>
  <si>
    <t>Annahmen zur Wirtschaftlichkeitsberechnung</t>
  </si>
  <si>
    <t>Nach Sanierung Heizkosten</t>
  </si>
  <si>
    <r>
      <t xml:space="preserve">Photovoltaik-Anlage </t>
    </r>
    <r>
      <rPr>
        <sz val="8"/>
        <rFont val="BRALE"/>
      </rPr>
      <t>(Hinweis: Von PV-Sol-Spezialisten erst ausfüllen lassen, wenn Verbrauch inkl. WP feststeht)</t>
    </r>
  </si>
  <si>
    <t xml:space="preserve">Wirtschaftlichkeit </t>
  </si>
  <si>
    <t>(bezieht sich auf Standardkosten, kann durch Änderungen der Kosten hier angepasst werden)</t>
  </si>
  <si>
    <t>Anlage:</t>
  </si>
  <si>
    <t>Kosten:</t>
  </si>
  <si>
    <t>Kreditkosten:</t>
  </si>
  <si>
    <t>Sowieso-Kosten:</t>
  </si>
  <si>
    <t>Endenergiebedarf:</t>
  </si>
  <si>
    <t>Anlagengröße:</t>
  </si>
  <si>
    <t>kWp</t>
  </si>
  <si>
    <t>Wertsteigerung:</t>
  </si>
  <si>
    <t>Einsparung:</t>
  </si>
  <si>
    <t>Nutzenergie:</t>
  </si>
  <si>
    <t>Spez. Jahresertrag:</t>
  </si>
  <si>
    <t>PV-SOL:</t>
  </si>
  <si>
    <t>kWh/kWp</t>
  </si>
  <si>
    <t>Heizlast:</t>
  </si>
  <si>
    <t>kW</t>
  </si>
  <si>
    <t>Eigenverbrauchsanteil:</t>
  </si>
  <si>
    <t>%</t>
  </si>
  <si>
    <t>Effizienzhausstandard?:</t>
  </si>
  <si>
    <t>Stromverbrauch Haus:</t>
  </si>
  <si>
    <t>kWh/Jahr</t>
  </si>
  <si>
    <t>EE-Klasse:</t>
  </si>
  <si>
    <t>Stromverbrauch Wärmepumpe:</t>
  </si>
  <si>
    <t>WP Building?:</t>
  </si>
  <si>
    <t>Stromverbrauch:</t>
  </si>
  <si>
    <t>Wärmebrückenberechnung?:</t>
  </si>
  <si>
    <t>Batteriekapazität:</t>
  </si>
  <si>
    <t>kWh</t>
  </si>
  <si>
    <t>Wert:</t>
  </si>
  <si>
    <t>Ladung der Batterie:</t>
  </si>
  <si>
    <t>Verluste:</t>
  </si>
  <si>
    <t>Wärmepumpe?:</t>
  </si>
  <si>
    <t>Produzierter Strom:</t>
  </si>
  <si>
    <t>Jahresarbeitszahl WP:</t>
  </si>
  <si>
    <t>Eingespeister Strom:</t>
  </si>
  <si>
    <t>Heizwärmemenge pro Jahr:</t>
  </si>
  <si>
    <t>Netzbezug:</t>
  </si>
  <si>
    <t>Stromverbrauch der WP:</t>
  </si>
  <si>
    <t>Eigenverbrauch</t>
  </si>
  <si>
    <t>Preis pro kWh Heiwärmemenge:</t>
  </si>
  <si>
    <t>Direktverbrauch:</t>
  </si>
  <si>
    <t>Preis pro Jahr:</t>
  </si>
  <si>
    <t>Autarkiegrad:</t>
  </si>
  <si>
    <t>Einspeisevergütung bis 10 kWp:</t>
  </si>
  <si>
    <t>Angenommene Preissteigerung pro Jahr</t>
  </si>
  <si>
    <t>Einspeisevergütung  10 - 40 kWp:</t>
  </si>
  <si>
    <t>Strompreissteigerung im Jahr:</t>
  </si>
  <si>
    <t>Einspeisevergütung  Anlage:</t>
  </si>
  <si>
    <t>Einspeisevergütung nach 20 Jahre:</t>
  </si>
  <si>
    <t>Gaspreissteigerung im Jahr:</t>
  </si>
  <si>
    <t>Stromkosten im Jahr:</t>
  </si>
  <si>
    <t>Ölpreissteigerung im Jahr:</t>
  </si>
  <si>
    <t>Stromkosten mit PV:</t>
  </si>
  <si>
    <t>Sonstiges Steigerung im Jahr:</t>
  </si>
  <si>
    <t>Ersparniss durch PV im ersten Jahr:</t>
  </si>
  <si>
    <t>Angenommen Steigerung (Heizung):</t>
  </si>
  <si>
    <t>Einspeisevergütung im ersten Jahr:</t>
  </si>
  <si>
    <t>Fenster und Türen</t>
  </si>
  <si>
    <t>Kurzbeschreibung Maßnahmen</t>
  </si>
  <si>
    <t>Umsetzungsvariante:</t>
  </si>
  <si>
    <t>Zusatzleistung:</t>
  </si>
  <si>
    <t>PLZ, Ort::</t>
  </si>
  <si>
    <t>Variante 1:</t>
  </si>
  <si>
    <t>Variante 2:</t>
  </si>
  <si>
    <t>Variante 3:</t>
  </si>
  <si>
    <t>Allgemeines zu Fenster und Türen</t>
  </si>
  <si>
    <t>Bestand</t>
  </si>
  <si>
    <t>Zusammenfassung Bestand</t>
  </si>
  <si>
    <t>Umsetzung</t>
  </si>
  <si>
    <t>Fenstertypen</t>
  </si>
  <si>
    <t>Verglasung</t>
  </si>
  <si>
    <t>Material</t>
  </si>
  <si>
    <t>Baujahr</t>
  </si>
  <si>
    <t>U-Wert [W/(m²K)]</t>
  </si>
  <si>
    <t>Rolladen?</t>
  </si>
  <si>
    <t>Beschreibung</t>
  </si>
  <si>
    <t>Gesamtfläche Fenster [m²]:</t>
  </si>
  <si>
    <t>Fenstertyp 1</t>
  </si>
  <si>
    <t>Fensteraustausch:</t>
  </si>
  <si>
    <t>Türaustausch:</t>
  </si>
  <si>
    <t>Fenstertyp 2</t>
  </si>
  <si>
    <t>Austauschfläche [m²]:</t>
  </si>
  <si>
    <t>Anzahl Austausch:</t>
  </si>
  <si>
    <t>Fenstertyp 3</t>
  </si>
  <si>
    <t>Gesamt Anzahl Türen:</t>
  </si>
  <si>
    <t>Austausch Anzahl:</t>
  </si>
  <si>
    <t>Art:</t>
  </si>
  <si>
    <t>Fenstertyp 4</t>
  </si>
  <si>
    <t>Bemerkung Ausführung:</t>
  </si>
  <si>
    <t>Fenstertyp 5</t>
  </si>
  <si>
    <t>Summe Fensterbreite [m]:</t>
  </si>
  <si>
    <t>Türtypen</t>
  </si>
  <si>
    <t>Türtyp 1</t>
  </si>
  <si>
    <t>Türtyp 2</t>
  </si>
  <si>
    <t>Türtyp 3</t>
  </si>
  <si>
    <t>Türtyp_4</t>
  </si>
  <si>
    <t>vorhandene Fenster und Türen</t>
  </si>
  <si>
    <t>Wunsch/Anmerkung</t>
  </si>
  <si>
    <t>Typ</t>
  </si>
  <si>
    <t>Benennung</t>
  </si>
  <si>
    <t>Außenwand</t>
  </si>
  <si>
    <t>Beschreibung Außenwand</t>
  </si>
  <si>
    <t>Ausrichtung</t>
  </si>
  <si>
    <t>Breite [m]</t>
  </si>
  <si>
    <t>Höhe [m]</t>
  </si>
  <si>
    <t>Umfang [m]</t>
  </si>
  <si>
    <t>Fläche-E [m²]</t>
  </si>
  <si>
    <t>Fläche-G [m²]</t>
  </si>
  <si>
    <t>Austausch gewünscht?</t>
  </si>
  <si>
    <t>Austauschfläche Fenster [m²]</t>
  </si>
  <si>
    <t>Rolladen neu?</t>
  </si>
  <si>
    <t>Bemerkung</t>
  </si>
  <si>
    <t>Austausch iSFP?</t>
  </si>
  <si>
    <t>Austausch V1?2</t>
  </si>
  <si>
    <t>Austausch V2?2</t>
  </si>
  <si>
    <t>Ergebnis</t>
  </si>
  <si>
    <t>Allgemeine Angaben</t>
  </si>
  <si>
    <t>Präsentation Erstgespräch</t>
  </si>
  <si>
    <t>Präsentation Zweitgespräch</t>
  </si>
  <si>
    <t>Primärenergiebedarf</t>
  </si>
  <si>
    <t>Endenergiebedarf</t>
  </si>
  <si>
    <t>Energetische Maßnahmen</t>
  </si>
  <si>
    <t>Vor Sanierung:</t>
  </si>
  <si>
    <t>Nach Sanierung:</t>
  </si>
  <si>
    <t>Empfehlungsvariante</t>
  </si>
  <si>
    <t>Angaben</t>
  </si>
  <si>
    <t xml:space="preserve">Beheizte Wohnfläche: </t>
  </si>
  <si>
    <t>Gebäudenutzfläche</t>
  </si>
  <si>
    <t>Ausgangszustand - Sowieso-Kosten</t>
  </si>
  <si>
    <t>Wirtschaftlichkeit</t>
  </si>
  <si>
    <t>Einsparung durch energetische Sanierung</t>
  </si>
  <si>
    <t>Einnahmen</t>
  </si>
  <si>
    <t>Ausgaben</t>
  </si>
  <si>
    <t>Einsparung der Strom- und Heizkosten über 30 Jahre:</t>
  </si>
  <si>
    <t>Maßnahmen</t>
  </si>
  <si>
    <t>geschätzte Wertsteigerung:</t>
  </si>
  <si>
    <t>geschätzte Sowieso-Kosten:</t>
  </si>
  <si>
    <t>Heiz- und Stromenergie</t>
  </si>
  <si>
    <t>Heiz- und Stromkosten</t>
  </si>
  <si>
    <t>Kosten der energetischen Sanierung</t>
  </si>
  <si>
    <t xml:space="preserve">Haupt-Energieträger: </t>
  </si>
  <si>
    <t>Stromkosten pro kWh:</t>
  </si>
  <si>
    <t>€</t>
  </si>
  <si>
    <t>Geschätzte energetische Sanierungskosten:</t>
  </si>
  <si>
    <t>Stromkosten:</t>
  </si>
  <si>
    <t>€/a</t>
  </si>
  <si>
    <t>Abzgl. geschätzte Förderung:</t>
  </si>
  <si>
    <t>Photovoltaikanlage:</t>
  </si>
  <si>
    <t>Heizwärmebedarf:</t>
  </si>
  <si>
    <t>Heizkosten:</t>
  </si>
  <si>
    <t>Gesamt:</t>
  </si>
  <si>
    <t>Betriebskosten:</t>
  </si>
  <si>
    <t>Tatsächliche Kosten der energetischen Sanierung</t>
  </si>
  <si>
    <t>Tatsächliche Mehrkosten der energetischen Sanierung</t>
  </si>
  <si>
    <t>Kosten der energetischen Sanierung:</t>
  </si>
  <si>
    <t>Zusammenfassend:</t>
  </si>
  <si>
    <t>CO2 Auto km (120 g pro km)</t>
  </si>
  <si>
    <t>Um die Welt fahren</t>
  </si>
  <si>
    <t>Flug Berlin Nach Mallorca</t>
  </si>
  <si>
    <t>Abzgl. der Sowieso-Kosten</t>
  </si>
  <si>
    <t>CO2-Verbrauch in 30 Jahre (Vor -Sanierung):</t>
  </si>
  <si>
    <t>iSFP - Sowieso-Kosten</t>
  </si>
  <si>
    <t>CO2-Einsparung in 30 Jahre (Nach -Sanierung):</t>
  </si>
  <si>
    <t>Maßnahmenpakete</t>
  </si>
  <si>
    <t>Fördersatz</t>
  </si>
  <si>
    <t>Förderbar</t>
  </si>
  <si>
    <t>Zuschuss</t>
  </si>
  <si>
    <t>Endenergiebedarf vor Sanierung</t>
  </si>
  <si>
    <t>Gebäudehülle (BAFA):</t>
  </si>
  <si>
    <t>Vor Sanierung</t>
  </si>
  <si>
    <t>Ersparniss:</t>
  </si>
  <si>
    <t>Strom und Heizkosten in den nächsten 30 Jahren ohne Sanierung</t>
  </si>
  <si>
    <t>+</t>
  </si>
  <si>
    <t>Heizung (KfW):</t>
  </si>
  <si>
    <t>Strom und Heizkosten in den nächsten 30 Jahren mit Sanierung</t>
  </si>
  <si>
    <t>Direktzuschuss:</t>
  </si>
  <si>
    <t>Wirtschaftlichkeit Empfehlungsvariante</t>
  </si>
  <si>
    <t>Instandhaltung (Sowieso-Kosten)</t>
  </si>
  <si>
    <t>Energetische Sanierung</t>
  </si>
  <si>
    <t>Jahr</t>
  </si>
  <si>
    <t>Mehrkosten im Monat</t>
  </si>
  <si>
    <t>Geförderte Maßnahmen</t>
  </si>
  <si>
    <t>Kredit</t>
  </si>
  <si>
    <t>Zinssatz</t>
  </si>
  <si>
    <t>Laufzeit</t>
  </si>
  <si>
    <t>1. Jahr</t>
  </si>
  <si>
    <t>Variante 1 - Sowieso-Kosten</t>
  </si>
  <si>
    <t>Heizkosten pro Monat (1. Jahr):</t>
  </si>
  <si>
    <t>5. Jahr</t>
  </si>
  <si>
    <t>Kreditkosten pro Monat:</t>
  </si>
  <si>
    <t>10. Jahr</t>
  </si>
  <si>
    <t>Gesamtkosten pro Monat (1. Jahr):</t>
  </si>
  <si>
    <t>20. Jahr</t>
  </si>
  <si>
    <t>30. Jahr</t>
  </si>
  <si>
    <t xml:space="preserve">Kosten pro Monat vor Sanierung </t>
  </si>
  <si>
    <t>Variante 2 - Sowieso-Kosten</t>
  </si>
  <si>
    <t>Endenergiebedarf iSFP</t>
  </si>
  <si>
    <t>Kosten pro Monat vor Sanierung und nach Sanierung Umsetzungsvariante</t>
  </si>
  <si>
    <t>Empfehlungsvariante - Sowieso-Kosten</t>
  </si>
  <si>
    <t>Endenergiebedarf ausgewählte Variante</t>
  </si>
  <si>
    <t>Endenergiebedarf Variante 1</t>
  </si>
  <si>
    <t>Nach Sanierung</t>
  </si>
  <si>
    <t>Wärmebrückenzuschlag:</t>
  </si>
  <si>
    <t>Energielabel</t>
  </si>
  <si>
    <t>Endenergiebedarf Variante 2</t>
  </si>
  <si>
    <t>Variante 3</t>
  </si>
  <si>
    <t>Wärmeleistung (55/45/20)</t>
  </si>
  <si>
    <t>WP</t>
  </si>
  <si>
    <t>EH-Haus</t>
  </si>
  <si>
    <t>Heizmedium</t>
  </si>
  <si>
    <t>Einheit</t>
  </si>
  <si>
    <t>Heizwert [kWh/Einheit]</t>
  </si>
  <si>
    <t>CO2 Emmisionen [g/kWh]</t>
  </si>
  <si>
    <t>Preissteigerung</t>
  </si>
  <si>
    <t>Berechnung Heizkörper</t>
  </si>
  <si>
    <t>Berechnung Fußbodenheizung</t>
  </si>
  <si>
    <t>ein Effizienzhaus 40</t>
  </si>
  <si>
    <t>Öl</t>
  </si>
  <si>
    <t>l</t>
  </si>
  <si>
    <t>Bei welchen Auslegungstemperaturen wurde HK genormt? (Standardauswahl 55/45)</t>
  </si>
  <si>
    <t>55/45</t>
  </si>
  <si>
    <t>Abminderung nur bei Abstand über HK&lt;100mm</t>
  </si>
  <si>
    <t>55/45/20</t>
  </si>
  <si>
    <t>Ist-Bauweise</t>
  </si>
  <si>
    <t>auf Gesamtpreis</t>
  </si>
  <si>
    <t>Flüssiggas</t>
  </si>
  <si>
    <t>kg</t>
  </si>
  <si>
    <t>Breite [mm]</t>
  </si>
  <si>
    <t>Höhe [mm]</t>
  </si>
  <si>
    <t>Bauhöhe Radiator [mm]</t>
  </si>
  <si>
    <t>Nabenabstand Radiator [mm]</t>
  </si>
  <si>
    <t>Bautiefe Radiator [mm]</t>
  </si>
  <si>
    <t>Wärmeleistung (Radiatoren je Glied) [W]</t>
  </si>
  <si>
    <t>L. Könnecke</t>
  </si>
  <si>
    <t>ein Effizienzhaus 70</t>
  </si>
  <si>
    <t>Erdgas</t>
  </si>
  <si>
    <t>m³</t>
  </si>
  <si>
    <t>Typ 33</t>
  </si>
  <si>
    <t>ein Effizienzhaus 85</t>
  </si>
  <si>
    <t>nicht festgelegt</t>
  </si>
  <si>
    <t>Energieeffizienzklasse</t>
  </si>
  <si>
    <t>untere Grenze</t>
  </si>
  <si>
    <t>obere Grenze</t>
  </si>
  <si>
    <t>ein Effizienzhaus Denkmal</t>
  </si>
  <si>
    <t>Steinkohle</t>
  </si>
  <si>
    <t>A+</t>
  </si>
  <si>
    <t>Raum</t>
  </si>
  <si>
    <t>Heizkörpernummer</t>
  </si>
  <si>
    <t>Auslegungsinnentemperatur [°C]</t>
  </si>
  <si>
    <t>gewünschte Vorlauftemperatur</t>
  </si>
  <si>
    <t>gewünschte Rücklauftemperatur</t>
  </si>
  <si>
    <r>
      <t>gewünschte Übertemperatur Δθ</t>
    </r>
    <r>
      <rPr>
        <vertAlign val="subscript"/>
        <sz val="11"/>
        <color theme="1"/>
        <rFont val="BRALE"/>
      </rPr>
      <t>m1</t>
    </r>
  </si>
  <si>
    <t>Norm Vorlauftemperatur</t>
  </si>
  <si>
    <t>Norm Rücklauftemperatur</t>
  </si>
  <si>
    <t>Norm Innentemperatur</t>
  </si>
  <si>
    <r>
      <t>Norm-Übertemperatur Δθ</t>
    </r>
    <r>
      <rPr>
        <vertAlign val="subscript"/>
        <sz val="11"/>
        <color theme="1"/>
        <rFont val="BRALE"/>
      </rPr>
      <t>m2</t>
    </r>
  </si>
  <si>
    <t>Heizkörperexponent n</t>
  </si>
  <si>
    <t>Heizkörper in Nische?</t>
  </si>
  <si>
    <t>Abminderungsfaktor</t>
  </si>
  <si>
    <t>f = (Δθm1/Δθm2)^n</t>
  </si>
  <si>
    <r>
      <t>Norm Heizleistung Q</t>
    </r>
    <r>
      <rPr>
        <vertAlign val="subscript"/>
        <sz val="11"/>
        <color theme="1"/>
        <rFont val="BRALE"/>
      </rPr>
      <t>Norm</t>
    </r>
  </si>
  <si>
    <t>Gliederanzahl</t>
  </si>
  <si>
    <r>
      <t>Heizleistung des Heizkörpers Q</t>
    </r>
    <r>
      <rPr>
        <vertAlign val="subscript"/>
        <sz val="11"/>
        <color theme="1"/>
        <rFont val="BRALE"/>
      </rPr>
      <t>Betrieb</t>
    </r>
  </si>
  <si>
    <r>
      <t>m</t>
    </r>
    <r>
      <rPr>
        <vertAlign val="subscript"/>
        <sz val="11"/>
        <color theme="1"/>
        <rFont val="BRALE"/>
      </rPr>
      <t>T</t>
    </r>
  </si>
  <si>
    <r>
      <t>m</t>
    </r>
    <r>
      <rPr>
        <vertAlign val="subscript"/>
        <sz val="11"/>
        <color theme="1"/>
        <rFont val="BRALE"/>
      </rPr>
      <t>u</t>
    </r>
  </si>
  <si>
    <r>
      <t>m</t>
    </r>
    <r>
      <rPr>
        <vertAlign val="subscript"/>
        <sz val="11"/>
        <color theme="1"/>
        <rFont val="BRALE"/>
      </rPr>
      <t>D</t>
    </r>
  </si>
  <si>
    <r>
      <t>a</t>
    </r>
    <r>
      <rPr>
        <vertAlign val="subscript"/>
        <sz val="11"/>
        <color theme="1"/>
        <rFont val="BRALE"/>
      </rPr>
      <t>T</t>
    </r>
  </si>
  <si>
    <r>
      <t>a</t>
    </r>
    <r>
      <rPr>
        <vertAlign val="subscript"/>
        <sz val="11"/>
        <color theme="1"/>
        <rFont val="BRALE"/>
      </rPr>
      <t>u</t>
    </r>
  </si>
  <si>
    <r>
      <t>a</t>
    </r>
    <r>
      <rPr>
        <vertAlign val="subscript"/>
        <sz val="11"/>
        <color theme="1"/>
        <rFont val="BRALE"/>
      </rPr>
      <t>D</t>
    </r>
  </si>
  <si>
    <r>
      <t>gewünschte Übertemperatur Δθ</t>
    </r>
    <r>
      <rPr>
        <vertAlign val="subscript"/>
        <sz val="11"/>
        <color theme="1"/>
        <rFont val="BRALE"/>
      </rPr>
      <t>m</t>
    </r>
  </si>
  <si>
    <t>Wärmedurchlasswiderstand Bodenbelag</t>
  </si>
  <si>
    <r>
      <t>a</t>
    </r>
    <r>
      <rPr>
        <vertAlign val="subscript"/>
        <sz val="11"/>
        <color theme="1"/>
        <rFont val="BRALE"/>
      </rPr>
      <t>B</t>
    </r>
  </si>
  <si>
    <t>B [W/(m²K)]</t>
  </si>
  <si>
    <t>q [W/m²]</t>
  </si>
  <si>
    <t>Q [W]</t>
  </si>
  <si>
    <t>ÜBERTRAG DER EINTRÄGE:</t>
  </si>
  <si>
    <t>Braunkohle</t>
  </si>
  <si>
    <t>A</t>
  </si>
  <si>
    <t>Nicht ausgefüllt</t>
  </si>
  <si>
    <t xml:space="preserve">Ottokraftstoffe </t>
  </si>
  <si>
    <t>B</t>
  </si>
  <si>
    <t>Dieselkraftstoffe</t>
  </si>
  <si>
    <t>C</t>
  </si>
  <si>
    <t>Auswählbare Vor-und Rücklauftemperaturen</t>
  </si>
  <si>
    <t>Vorlauf</t>
  </si>
  <si>
    <t>Rücklauf</t>
  </si>
  <si>
    <t>Systemtemperatur bei Norm-Wärmeleistungsbestimmung</t>
  </si>
  <si>
    <t>Holz</t>
  </si>
  <si>
    <t xml:space="preserve">kg </t>
  </si>
  <si>
    <t>D</t>
  </si>
  <si>
    <t>90/70</t>
  </si>
  <si>
    <t>Dach</t>
  </si>
  <si>
    <t>Boden (unterer Gebäudeabschluss)</t>
  </si>
  <si>
    <t>Keller</t>
  </si>
  <si>
    <t>Heizung</t>
  </si>
  <si>
    <t>F. Bauer</t>
  </si>
  <si>
    <t>Holzpellets</t>
  </si>
  <si>
    <t>E</t>
  </si>
  <si>
    <t>Höhe über HK</t>
  </si>
  <si>
    <t>80/60</t>
  </si>
  <si>
    <t>Abstand der Heizrohre T [m]</t>
  </si>
  <si>
    <t>Rohrdurchmesser D [m]</t>
  </si>
  <si>
    <r>
      <t>Rohrüberdeckung s</t>
    </r>
    <r>
      <rPr>
        <b/>
        <vertAlign val="subscript"/>
        <sz val="11"/>
        <color theme="1"/>
        <rFont val="BRALE"/>
      </rPr>
      <t>u</t>
    </r>
    <r>
      <rPr>
        <b/>
        <sz val="11"/>
        <color theme="1"/>
        <rFont val="BRALE"/>
      </rPr>
      <t xml:space="preserve"> [m]</t>
    </r>
  </si>
  <si>
    <t>Bodenbelagsmaterial</t>
  </si>
  <si>
    <t>Dicke [mm]</t>
  </si>
  <si>
    <r>
      <t>Wärmedurchlasswiderstand R</t>
    </r>
    <r>
      <rPr>
        <vertAlign val="subscript"/>
        <sz val="11"/>
        <color theme="1"/>
        <rFont val="BRALE"/>
      </rPr>
      <t>λ</t>
    </r>
    <r>
      <rPr>
        <vertAlign val="subscript"/>
        <sz val="12.65"/>
        <color theme="1"/>
        <rFont val="BRALE"/>
      </rPr>
      <t>,B</t>
    </r>
    <r>
      <rPr>
        <sz val="12.65"/>
        <color theme="1"/>
        <rFont val="BRALE"/>
      </rPr>
      <t xml:space="preserve"> in [m²K/W]</t>
    </r>
  </si>
  <si>
    <t>Bauteil</t>
  </si>
  <si>
    <t>GEG</t>
  </si>
  <si>
    <t>R. Prinz</t>
  </si>
  <si>
    <t>Biogas</t>
  </si>
  <si>
    <t>m3</t>
  </si>
  <si>
    <t>F</t>
  </si>
  <si>
    <t>75/55</t>
  </si>
  <si>
    <t>Keramische Fliesen</t>
  </si>
  <si>
    <t>R. Gottfried</t>
  </si>
  <si>
    <t>Biodiesel</t>
  </si>
  <si>
    <t>G</t>
  </si>
  <si>
    <t>70/55</t>
  </si>
  <si>
    <t>Marmor</t>
  </si>
  <si>
    <t>R. Schindler</t>
  </si>
  <si>
    <t>Wasserstoff</t>
  </si>
  <si>
    <t xml:space="preserve">m3 </t>
  </si>
  <si>
    <t>H</t>
  </si>
  <si>
    <t>55/48</t>
  </si>
  <si>
    <t>Natursteinplatten</t>
  </si>
  <si>
    <t>Strom</t>
  </si>
  <si>
    <t>Betonwerkstein</t>
  </si>
  <si>
    <t>Fernwärme</t>
  </si>
  <si>
    <t>48/41</t>
  </si>
  <si>
    <t>Teppichböden</t>
  </si>
  <si>
    <t>45/38</t>
  </si>
  <si>
    <t>Boolean</t>
  </si>
  <si>
    <t>Nadelvlies</t>
  </si>
  <si>
    <t>40/35</t>
  </si>
  <si>
    <t>Linoleum</t>
  </si>
  <si>
    <t>35/30</t>
  </si>
  <si>
    <t>Kunststoffbelag</t>
  </si>
  <si>
    <t>35/28</t>
  </si>
  <si>
    <t>PVC-Beläge</t>
  </si>
  <si>
    <t>Quelle:</t>
  </si>
  <si>
    <t>Merkblatt zur Ermittlung des Gesamtenergieverbrauchs (BWA)</t>
  </si>
  <si>
    <t>32/27</t>
  </si>
  <si>
    <t>Mosaikparkett (Eiche)</t>
  </si>
  <si>
    <t>T</t>
  </si>
  <si>
    <r>
      <t>R</t>
    </r>
    <r>
      <rPr>
        <vertAlign val="subscript"/>
        <sz val="11"/>
        <color theme="1"/>
        <rFont val="BRALE"/>
      </rPr>
      <t>λ</t>
    </r>
    <r>
      <rPr>
        <vertAlign val="subscript"/>
        <sz val="12.65"/>
        <color theme="1"/>
        <rFont val="BRALE"/>
      </rPr>
      <t>,B</t>
    </r>
    <r>
      <rPr>
        <sz val="12.65"/>
        <color theme="1"/>
        <rFont val="BRALE"/>
      </rPr>
      <t xml:space="preserve"> in [m²K/W]</t>
    </r>
  </si>
  <si>
    <t>Stab-Parkett (Eiche)</t>
  </si>
  <si>
    <t>Mehrschichtparkett</t>
  </si>
  <si>
    <t>Laminat</t>
  </si>
  <si>
    <t>Zinsänderung</t>
  </si>
  <si>
    <t>Gültiger Zinssatz</t>
  </si>
  <si>
    <t xml:space="preserve">Rohrteilung T…mittlerer Rohrabstand </t>
  </si>
  <si>
    <t>Restschuld Periodenbeginn</t>
  </si>
  <si>
    <t>Zinsen</t>
  </si>
  <si>
    <t>Neue Soll-Tilgung</t>
  </si>
  <si>
    <t>Effektive Tilgung</t>
  </si>
  <si>
    <t>≥100</t>
  </si>
  <si>
    <t>Überdeckung über Rohr…su in [m]</t>
  </si>
  <si>
    <t>entspricht % der Restschuld</t>
  </si>
  <si>
    <t>Annuität</t>
  </si>
  <si>
    <t>Einmalige Sondertilgung</t>
  </si>
  <si>
    <t>Restschuld Periodenende</t>
  </si>
  <si>
    <t>Kapitaldienst pro Monat</t>
  </si>
  <si>
    <t>Heizkörperexponent</t>
  </si>
  <si>
    <t>Fußbodenheizungen n = 1,0 bis 1,05</t>
  </si>
  <si>
    <t>Kompaktheizkörper profiliert</t>
  </si>
  <si>
    <t>Plattenheizkörper n = 1,26 bis 1,33</t>
  </si>
  <si>
    <t>Kompaktheizkörper glatt</t>
  </si>
  <si>
    <t>Handtuchheizkörper n = 1,20 bis 1,30</t>
  </si>
  <si>
    <t>Handtuchheizkörper</t>
  </si>
  <si>
    <t>Rohre/Handtuchheizkörper n = 1,20 bis 1,30</t>
  </si>
  <si>
    <t>Stahlradiator</t>
  </si>
  <si>
    <t>Rippenrohr n = 1,25</t>
  </si>
  <si>
    <t>Gussradiator</t>
  </si>
  <si>
    <t>Radiator n = 1,30</t>
  </si>
  <si>
    <t>Konvektor</t>
  </si>
  <si>
    <t>Konvektoren n = 1,25 bis 1,4</t>
  </si>
  <si>
    <t>Fußbodenheizung</t>
  </si>
  <si>
    <t>Typ 10</t>
  </si>
  <si>
    <t>Typ 11</t>
  </si>
  <si>
    <t>Typ 20</t>
  </si>
  <si>
    <t>Typ 21</t>
  </si>
  <si>
    <t>Typ 22</t>
  </si>
  <si>
    <t>Typ 30</t>
  </si>
  <si>
    <t>Summe der Darlehen</t>
  </si>
  <si>
    <t>Radiator</t>
  </si>
  <si>
    <t>davon Hauptdarlehen (I)</t>
  </si>
  <si>
    <t>davon  Darlehen II</t>
  </si>
  <si>
    <t>davon  Darlehen III</t>
  </si>
  <si>
    <t>= kumuliert</t>
  </si>
  <si>
    <t>= gewichteter Zinssatz</t>
  </si>
  <si>
    <t>Tilgung</t>
  </si>
  <si>
    <t>Annahmen</t>
  </si>
  <si>
    <t>Preissteigerung altes Medium</t>
  </si>
  <si>
    <t>Heizwärmemenge pro Jahr</t>
  </si>
  <si>
    <t>WP?</t>
  </si>
  <si>
    <t>Autarkiegrad</t>
  </si>
  <si>
    <t>Stromverbrauch</t>
  </si>
  <si>
    <t>Eingespeister Strom</t>
  </si>
  <si>
    <t>Preissteigerung Strom</t>
  </si>
  <si>
    <t>Stromverbrauch WP</t>
  </si>
  <si>
    <t>PV?</t>
  </si>
  <si>
    <t>Eigenverbrauchsanteil</t>
  </si>
  <si>
    <t>Produzierter Strom</t>
  </si>
  <si>
    <t>Netzbezug</t>
  </si>
  <si>
    <t>Altes Medium pro kWh</t>
  </si>
  <si>
    <t>Stromkosten pro kWh</t>
  </si>
  <si>
    <t>Ersparnis</t>
  </si>
  <si>
    <t>reine Stromkosten ohne Sanierung</t>
  </si>
  <si>
    <t>Heizkosten ohne Sanierung:</t>
  </si>
  <si>
    <t>Betriebskosten ohne Sanierung:</t>
  </si>
  <si>
    <t>Betriebskosten ohne Sanierung pro Monat</t>
  </si>
  <si>
    <t>Heizkosten mit WP</t>
  </si>
  <si>
    <t>Heizkosten ohne WP</t>
  </si>
  <si>
    <t>Heizkosten mit BRALE Energy - energetische Sanierung:</t>
  </si>
  <si>
    <t>Betriebskosten (ohne PV)</t>
  </si>
  <si>
    <t>Gewinn</t>
  </si>
  <si>
    <t>Einspeisvergütung:</t>
  </si>
  <si>
    <t>Betriebskosten mit PV ohne Einspeisevergütung</t>
  </si>
  <si>
    <t>Betriebskosten mit PV mit Einspeisevergütung</t>
  </si>
  <si>
    <t>Betriebskosten mit BRALE Energy - energetische Sanierung</t>
  </si>
  <si>
    <t>Betriebskosten pro Monat</t>
  </si>
  <si>
    <t>Ersparniss pro Jahr</t>
  </si>
  <si>
    <t>Final:</t>
  </si>
  <si>
    <t>Ersparnis:</t>
  </si>
  <si>
    <t>Ersparniss pro Monat</t>
  </si>
  <si>
    <t>Cashflow nach Sanierung mit Kredit</t>
  </si>
  <si>
    <t>Kreditkosten der Sanierung</t>
  </si>
  <si>
    <t>Kreditkosten pro Monat</t>
  </si>
  <si>
    <t>Cashflow Jahr</t>
  </si>
  <si>
    <t>Cashflow im Monat</t>
  </si>
  <si>
    <t>Jahre</t>
  </si>
  <si>
    <t>Kreditkosten im Monat</t>
  </si>
  <si>
    <t>detaillierte Wirtschaftlichkeitsberechnung</t>
  </si>
  <si>
    <t>Betriebskosten pro Monat mit energetischer Sanierung</t>
  </si>
  <si>
    <t>Kosten nach Sanierung mit Kredit detaiiliert</t>
  </si>
  <si>
    <t>Kosten pro Monat nach Sanierung</t>
  </si>
  <si>
    <t>Kosten vor Sanierung + Sowieso-Kosten</t>
  </si>
  <si>
    <t>Kosten nach Sanierung mit Kredit vereinfacht</t>
  </si>
  <si>
    <t>Kreditkosten bei (Kosten - Förderung -  Sowiesokosten)</t>
  </si>
  <si>
    <t>Kosten Pro Monat:</t>
  </si>
  <si>
    <t>Zins:</t>
  </si>
  <si>
    <t xml:space="preserve">Tilgung </t>
  </si>
  <si>
    <t>Laufzeit;</t>
  </si>
  <si>
    <t>30 Jahre</t>
  </si>
  <si>
    <t>Kosten Energetische Sanierung Wirklich:</t>
  </si>
  <si>
    <t>(Laufzeit 30 Jahre)</t>
  </si>
  <si>
    <t>Pro Monat:</t>
  </si>
  <si>
    <t>Ersparniss im ersten Monat</t>
  </si>
  <si>
    <t>Kosten deiner energetischen Sanierung im 1. Monat</t>
  </si>
  <si>
    <t>Maßnahmenpaket Fassade</t>
  </si>
  <si>
    <t>Wandtypen</t>
  </si>
  <si>
    <t>Sicherheitsfaktor allgemein:</t>
  </si>
  <si>
    <t xml:space="preserve"> </t>
  </si>
  <si>
    <t>Wände</t>
  </si>
  <si>
    <t>Monolithisches Mauerwerk</t>
  </si>
  <si>
    <t>Zusatzfläche (Bsp. Giebel)</t>
  </si>
  <si>
    <t>Anmerkung Zusatzfläche</t>
  </si>
  <si>
    <t>Brutto-
fläche [m²]</t>
  </si>
  <si>
    <t>Anzahl Öffnungen</t>
  </si>
  <si>
    <t>Öffnungs-
fläche [m²]</t>
  </si>
  <si>
    <t>Öffnungs-
fläche über 2,5 m² [m²]</t>
  </si>
  <si>
    <t>Umfang Öffnungen [m]</t>
  </si>
  <si>
    <t>Kalkulatorische Fläche [m²]</t>
  </si>
  <si>
    <t>Nettofläche
zu dämmen [m²]</t>
  </si>
  <si>
    <t>WDVS:</t>
  </si>
  <si>
    <t>Außenwandtyp_xx</t>
  </si>
  <si>
    <t>Zusatz oder Abzugsfläche [m²]:</t>
  </si>
  <si>
    <t>Material Außenwand (1):</t>
  </si>
  <si>
    <t>Kalkulatorische 
Fläche:</t>
  </si>
  <si>
    <t>Stärke Außenwand (1) [cm]:</t>
  </si>
  <si>
    <t>Nettofläche zu dämmen:</t>
  </si>
  <si>
    <t>U-Wert [W/(m²K)]:</t>
  </si>
  <si>
    <t>Material, Stärke:</t>
  </si>
  <si>
    <t>Beschreibung Wandtyp:</t>
  </si>
  <si>
    <t>Bemerkung:</t>
  </si>
  <si>
    <t>Kellerwand?:</t>
  </si>
  <si>
    <t>Mauerwerk mit WDVS, Putz</t>
  </si>
  <si>
    <t>Material Dämmung (2):</t>
  </si>
  <si>
    <t>Stärke Dämmung (2) [cm]:</t>
  </si>
  <si>
    <t>Wärmeleitfähigkeit [W/(mK)]:</t>
  </si>
  <si>
    <t>Mauerwerk mit WDVS, Riemchen</t>
  </si>
  <si>
    <t>Vorgehängte hinterlüftete Fassade (VHF)</t>
  </si>
  <si>
    <t>Stärke der Luftschicht (4) [cm]:</t>
  </si>
  <si>
    <t>Material Außenbekleidung (5):</t>
  </si>
  <si>
    <t>Lochsteine mit Dämmung</t>
  </si>
  <si>
    <t>Zweischaliges Mauerwerk mit Putz</t>
  </si>
  <si>
    <t>Material Innenschale (1):</t>
  </si>
  <si>
    <t>Stärke Innenschale (1) [cm]:</t>
  </si>
  <si>
    <t>Einblasdämmung:</t>
  </si>
  <si>
    <t>Stärke Luftschicht (3) [cm]:</t>
  </si>
  <si>
    <t>Material Außenschale (4):</t>
  </si>
  <si>
    <t>Stärke Außenschale (4) [cm]:</t>
  </si>
  <si>
    <r>
      <t xml:space="preserve">Material, Stärke </t>
    </r>
    <r>
      <rPr>
        <sz val="9"/>
        <color theme="1"/>
        <rFont val="Calibri"/>
        <family val="2"/>
        <scheme val="minor"/>
      </rPr>
      <t>(bitte manuell eintragen)</t>
    </r>
    <r>
      <rPr>
        <sz val="11"/>
        <color theme="1"/>
        <rFont val="Calibri"/>
        <family val="2"/>
        <scheme val="minor"/>
      </rPr>
      <t>:</t>
    </r>
  </si>
  <si>
    <t>Zweischaliges Mauerwerk mit Klinker</t>
  </si>
  <si>
    <t>EPS Schalungssysteme mit Kernbeton</t>
  </si>
  <si>
    <t>Material Innendämmung (1):</t>
  </si>
  <si>
    <t>Stärke Innendämmung (1) [cm]:</t>
  </si>
  <si>
    <t>Wärmeleitfähigkeit (1) [W/(mK)]:</t>
  </si>
  <si>
    <t>Material Innenkern (2):</t>
  </si>
  <si>
    <t>Stärke Innenkern (2) [cm]:</t>
  </si>
  <si>
    <t>Material Außendämmung (3):</t>
  </si>
  <si>
    <t>Stärke Außendämmung (3) [cm]:</t>
  </si>
  <si>
    <t>Wärmeleitfähigkeit (3) [W/(mK)]:</t>
  </si>
  <si>
    <t>Fachwerk mit Lehmziegel</t>
  </si>
  <si>
    <t>Material Gefache (3):</t>
  </si>
  <si>
    <t>Stärke Gefache (3) [cm]:</t>
  </si>
  <si>
    <t>Dämmung vorhanden?:</t>
  </si>
  <si>
    <t>Art der Dämmung:</t>
  </si>
  <si>
    <t>Material Innendämmung:</t>
  </si>
  <si>
    <t>Stärke Innendämmung [cm]:</t>
  </si>
  <si>
    <t>Material Außendämmung:</t>
  </si>
  <si>
    <t>Stärke Außendämmung [cm]:</t>
  </si>
  <si>
    <t>Fachwerk bis 1918</t>
  </si>
  <si>
    <t>Holzständerbauweise (1969-1978)</t>
  </si>
  <si>
    <t>Stärke Holzständer (2) [cm]:</t>
  </si>
  <si>
    <t>Holzständerbauweise</t>
  </si>
  <si>
    <t>Stärke Luftschicht (3)</t>
  </si>
  <si>
    <t>Unbekannte Bauweise</t>
  </si>
  <si>
    <t>Stärke Innendämmung:</t>
  </si>
  <si>
    <t>Stärke Außendämmung:</t>
  </si>
  <si>
    <t>Außenverkleidung vorhanden?:</t>
  </si>
  <si>
    <t>Material Außenverkleidung:</t>
  </si>
  <si>
    <t>Besonderheiten Fassade:</t>
  </si>
  <si>
    <t>Anzahl Befestigungen an Fassade?:</t>
  </si>
  <si>
    <t>Beschreibung Gebäudetrennfugen:</t>
  </si>
  <si>
    <t>Sockel:</t>
  </si>
  <si>
    <t>Sockel Länge:</t>
  </si>
  <si>
    <t>Sockel Höhe:</t>
  </si>
  <si>
    <t>Länge Gebäudetrennfugen [m]:</t>
  </si>
  <si>
    <t>Sockel Fläche [m²]:</t>
  </si>
  <si>
    <t>Anforderungen an Brandschutz?</t>
  </si>
  <si>
    <t>Länge Gebäudeaußenecken [m]:</t>
  </si>
  <si>
    <t>Länge Gebäudeinnenecken [m]:</t>
  </si>
  <si>
    <t>Einbautiefe des Kellers:</t>
  </si>
  <si>
    <r>
      <t>Kalkulatorische Fläche:</t>
    </r>
    <r>
      <rPr>
        <sz val="9"/>
        <rFont val="BRALE"/>
      </rPr>
      <t>(nicht ansetzen)</t>
    </r>
  </si>
  <si>
    <t>Summe Umfang Öffnungen:</t>
  </si>
  <si>
    <t>Einblasdämmung</t>
  </si>
  <si>
    <t>Zusammenfassung WDVS</t>
  </si>
  <si>
    <t>Summe Kalkulatorische Fläche :</t>
  </si>
  <si>
    <t>ohne Sockel Kalkulatorische Fläche:</t>
  </si>
  <si>
    <t>Nettofläche dämmen</t>
  </si>
  <si>
    <t>ohne Sockel Nettofläche zu Dämmen:</t>
  </si>
  <si>
    <t>Position Dach</t>
  </si>
  <si>
    <t>Dacheindeckung:</t>
  </si>
  <si>
    <t>Dämmung Dachschrägen:</t>
  </si>
  <si>
    <t>Dämmung obere Geschossdecke:</t>
  </si>
  <si>
    <t>Trockenbau innen:</t>
  </si>
  <si>
    <t>Dachstuhl Neu komplett:</t>
  </si>
  <si>
    <t>Pro Position</t>
  </si>
  <si>
    <t>Preis Brutto</t>
  </si>
  <si>
    <t>Menge</t>
  </si>
  <si>
    <t xml:space="preserve">Dacheindeckung + Dämmung Schrägen (außen) + Dämmung obere Geschossdecke </t>
  </si>
  <si>
    <t>Trockenbau innen</t>
  </si>
  <si>
    <t>Dämmung Schrägen mit Trockenbau (innen)  + Dämmung obere Geschossdecke</t>
  </si>
  <si>
    <t>Dämmung obere Geschossdecke</t>
  </si>
  <si>
    <t>Dachstuhl Neu komplett</t>
  </si>
  <si>
    <t>Gauben bei neuer Dachdeckung</t>
  </si>
  <si>
    <t>Stk.</t>
  </si>
  <si>
    <t>Dachflächenfenster</t>
  </si>
  <si>
    <t>Dacheindeckung + Dämmung Schrägen mit Trockenbau  (innen)</t>
  </si>
  <si>
    <t>Dachstuhl neu</t>
  </si>
  <si>
    <t>Dacheindeckung + Dämmung obere Geschossdecke</t>
  </si>
  <si>
    <t>Sonstiges</t>
  </si>
  <si>
    <t>Fassade</t>
  </si>
  <si>
    <t>Position Fassade</t>
  </si>
  <si>
    <t>Preisschätzung</t>
  </si>
  <si>
    <t>WDVS Dämmung der Außenfassade mit Strukturputz</t>
  </si>
  <si>
    <t>WDVS</t>
  </si>
  <si>
    <t>Fenster</t>
  </si>
  <si>
    <t>Position Fenster</t>
  </si>
  <si>
    <t>Fensteraustausch</t>
  </si>
  <si>
    <t>Türaustausch</t>
  </si>
  <si>
    <t>Fenster + Terrassentüren inkl. Demontage, Entsorgung und Rollläden</t>
  </si>
  <si>
    <t>Position Keller</t>
  </si>
  <si>
    <t>Kellerdeckendämmung:</t>
  </si>
  <si>
    <t>Dämmung des Fußbodens:</t>
  </si>
  <si>
    <t xml:space="preserve">Dämmung der Kellerdecke </t>
  </si>
  <si>
    <t>Dämmung Kellerdecke</t>
  </si>
  <si>
    <t>Dämmung Fußboden</t>
  </si>
  <si>
    <t>Kellerdämmung (inkl. Abdichten)</t>
  </si>
  <si>
    <t>Horizontalsperre</t>
  </si>
  <si>
    <t>m</t>
  </si>
  <si>
    <t>Dämmung der Kellerdecke + Einblasdämmung</t>
  </si>
  <si>
    <t>Ausschachten</t>
  </si>
  <si>
    <t>Dämmung des Fußbodens + Einblasdämmung</t>
  </si>
  <si>
    <t>Dämmung der Kellerdecke und des Fußbodens + Einblasdämmung</t>
  </si>
  <si>
    <t>Kellerinnendämmung:</t>
  </si>
  <si>
    <t>Kelleraußendämmung:</t>
  </si>
  <si>
    <t>Ausschachten:</t>
  </si>
  <si>
    <t>Kelleraußendämmung (inkl. Abdichten)</t>
  </si>
  <si>
    <t>Kelleraußendämmung (inkl. Abdichten) + Horizontalsperre</t>
  </si>
  <si>
    <t>Kellerinnendämmung</t>
  </si>
  <si>
    <t>Kelleraußendämmung</t>
  </si>
  <si>
    <t>Wärmepumpe:</t>
  </si>
  <si>
    <t xml:space="preserve"> -</t>
  </si>
  <si>
    <t>Preisschätzung PV</t>
  </si>
  <si>
    <t>Position Heizung</t>
  </si>
  <si>
    <t>Ausbau Bestandsheizung:</t>
  </si>
  <si>
    <t>Neuer Trinkwasserspeicher:</t>
  </si>
  <si>
    <t>Pufferspeicher/hydr. Weiche:</t>
  </si>
  <si>
    <t>Wärmepumpe bis 10 kW</t>
  </si>
  <si>
    <t>Stück</t>
  </si>
  <si>
    <t>Einbau Luftwärmepumpe + Ausbau Bestandsheizung</t>
  </si>
  <si>
    <t>Wärmepumpe ab 10 kW</t>
  </si>
  <si>
    <t>Wärmepumpenheizkörper:</t>
  </si>
  <si>
    <t>Ausbau Bestandsheizung</t>
  </si>
  <si>
    <t>Flächenheizung:</t>
  </si>
  <si>
    <t>Einbau Luftwärmepumpe als Hybridsystem</t>
  </si>
  <si>
    <t>Trinkwasserspeicher</t>
  </si>
  <si>
    <t>Ausbau Bestandsheizung + Einbau Luftwärmepumpe + Trinkwasserspeicher + Pufferspeicher/hydr. Weiche</t>
  </si>
  <si>
    <t>Wärmepumpenheizkörper</t>
  </si>
  <si>
    <t>Ausbau Bestandsheizung + Einbau Luftwärmepumpe + Pufferspeicher/hydr. Weiche</t>
  </si>
  <si>
    <t>Flächenheizung</t>
  </si>
  <si>
    <t>Kompaktheizkörper</t>
  </si>
  <si>
    <t>Einbau Luftwärmepumpe als Hybridsystem + Pufferspeicher/hydr. Weiche</t>
  </si>
  <si>
    <t>Heizungsanlage unverändert</t>
  </si>
  <si>
    <t>Position Wärmeabgabe</t>
  </si>
  <si>
    <t>neue Standardheizkörper:</t>
  </si>
  <si>
    <t>Austausch zu effizienten Wärmepumpenheizkörper</t>
  </si>
  <si>
    <t>Wärmeübertragung unverändert</t>
  </si>
  <si>
    <t>Einzelpreis (pro m²)</t>
  </si>
  <si>
    <t>Heizung auswechseln</t>
  </si>
  <si>
    <t>Einzelpreis</t>
  </si>
  <si>
    <t>Tür</t>
  </si>
  <si>
    <t>Einzelpreis (pro Stück)</t>
  </si>
  <si>
    <t>Horizontalsperre [pro m]</t>
  </si>
  <si>
    <t>Abdichten+Ausschachten [m²]</t>
  </si>
  <si>
    <t>Dachdeckung mit Unterspannbahn erneuern</t>
  </si>
  <si>
    <t>Tür auswechseln</t>
  </si>
  <si>
    <t>Heizung komplett neu</t>
  </si>
  <si>
    <t>Klinker ausbessern</t>
  </si>
  <si>
    <t>Preislisten</t>
  </si>
  <si>
    <t>PV</t>
  </si>
  <si>
    <t>Elektro</t>
  </si>
  <si>
    <t>Keller und FB</t>
  </si>
  <si>
    <t>Preis</t>
  </si>
  <si>
    <t>PV Module</t>
  </si>
  <si>
    <t>Spalte1</t>
  </si>
  <si>
    <t>Speicher</t>
  </si>
  <si>
    <t>Fensterart</t>
  </si>
  <si>
    <t>Türart</t>
  </si>
  <si>
    <t>Pufferspeicher</t>
  </si>
  <si>
    <t>Hersteller</t>
  </si>
  <si>
    <t>Viessman</t>
  </si>
  <si>
    <t>Vaillant</t>
  </si>
  <si>
    <t>DAIKIN</t>
  </si>
  <si>
    <t>Samsung</t>
  </si>
  <si>
    <t>LG</t>
  </si>
  <si>
    <t>Umsetzungspositionen Elektro</t>
  </si>
  <si>
    <t>Wärmeschutzfenster (Uw 0,86)</t>
  </si>
  <si>
    <t>RotoQ Schwingfenster Q4 Kunststoff 2C (Uw 1,1)</t>
  </si>
  <si>
    <t>Wärmeschutztür (Uw &lt;&lt;1,3)</t>
  </si>
  <si>
    <t>Viessmann CVAB 300l</t>
  </si>
  <si>
    <t>Viessmann Puffer</t>
  </si>
  <si>
    <t>Viessmann</t>
  </si>
  <si>
    <t>Vitocal 250-A AWO-M-E-AC(-AF) 251.A04</t>
  </si>
  <si>
    <t>Wärmepumpe Vaillant</t>
  </si>
  <si>
    <t>Wärmepumpe DAIKIN</t>
  </si>
  <si>
    <t>Wärmepumpe Samsung</t>
  </si>
  <si>
    <t>Wärmepumpe LG</t>
  </si>
  <si>
    <t>Installation SPD</t>
  </si>
  <si>
    <t>4 cm MiWo WLG 035</t>
  </si>
  <si>
    <t>RotoQ Schwingfenster Q4 Kunststoff 2P (Uw 1,1)</t>
  </si>
  <si>
    <t>Viessmann CVWC 250l</t>
  </si>
  <si>
    <t>Vaillant Puffer</t>
  </si>
  <si>
    <t>Vitocal 250-A AWO-M-E-AC(-AF) 251.A06</t>
  </si>
  <si>
    <t>Installation SLS</t>
  </si>
  <si>
    <t>5 cm MiWo WLG 035</t>
  </si>
  <si>
    <t>10 cm MiWo WLG 035</t>
  </si>
  <si>
    <t>RotoQ Schwingfenster Q4 Kunststoff 3C (Uw 0,9)</t>
  </si>
  <si>
    <t>Hydr. Weiche</t>
  </si>
  <si>
    <t>Vitocal 250-A AWO-M-E-AC(-AF) 251.A08</t>
  </si>
  <si>
    <t>Neuer Zählerschrank mit 1 Zählerplatz</t>
  </si>
  <si>
    <t>6 cm MiWo WLG 035</t>
  </si>
  <si>
    <t>15 kWh</t>
  </si>
  <si>
    <t>RotoQ Schwingfenster Q4 Kunststoff 3P (Uw 0,77)</t>
  </si>
  <si>
    <t>Vitocal 250-A AWO-M-E-AC(-AF) 251.A10</t>
  </si>
  <si>
    <t>Neuer Zählerschrank mit 2 Zählerplätzen</t>
  </si>
  <si>
    <t>7 cm MiWo WLG 035</t>
  </si>
  <si>
    <t>14 cm MiWo WLG 035</t>
  </si>
  <si>
    <t xml:space="preserve">20 kWh </t>
  </si>
  <si>
    <t>RotoQ Schwingfenster Q4 Kunststoff 3A (Uw 0,78)</t>
  </si>
  <si>
    <t>Vitocal 252-A AWOT-M-E-AC-(AF) 251.A04 2C</t>
  </si>
  <si>
    <t>Neuer Zählerschrank mit 3 Zählerplätzen</t>
  </si>
  <si>
    <t>16 cm MiWo WLG 035</t>
  </si>
  <si>
    <t>Vitocal 252-A AWOT-M-E-AC-(AF) 251.A06 2C</t>
  </si>
  <si>
    <t>Montage Poti</t>
  </si>
  <si>
    <t>9 cm MiWo WLG 035</t>
  </si>
  <si>
    <t>18 cm MiWo WLG 035</t>
  </si>
  <si>
    <t>Vitocal 252-A AWOT-M-E-AC-(AF) 251.A08 2C</t>
  </si>
  <si>
    <t>Montage Tiefenerder (9m)</t>
  </si>
  <si>
    <t>20 cm MiWo WLG 035</t>
  </si>
  <si>
    <t>Vitocal 252-A AWOT-M-E-AC-(AF) 251.A10 2C</t>
  </si>
  <si>
    <t>11 cm MiWo WLG 035</t>
  </si>
  <si>
    <t>VITOCAL 200-S Typ AWB-M-E-AC 201.D04</t>
  </si>
  <si>
    <t>8 cm PS WLG 035</t>
  </si>
  <si>
    <t>VITOCAL 200-S Typ AWB-M-E-AC 201.D06</t>
  </si>
  <si>
    <t>10 cm PS WLG 035</t>
  </si>
  <si>
    <t>VITOCAL 200-S Typ AWB-M-E-AC 201.D08</t>
  </si>
  <si>
    <t>12 cm PS WLG 035</t>
  </si>
  <si>
    <t>VITOCAL 200-S Typ AWB-M-E-AC 201.D10</t>
  </si>
  <si>
    <t>15 cm MiWo WLG 035</t>
  </si>
  <si>
    <t>4 cm PS WLG 035</t>
  </si>
  <si>
    <t>14 cm PS WLG 035</t>
  </si>
  <si>
    <t>5 cm PS WLG 035</t>
  </si>
  <si>
    <t>16 cm PS WLG 035</t>
  </si>
  <si>
    <t>17 cm MiWo WLG 035</t>
  </si>
  <si>
    <t>18 cm PS WLG 035</t>
  </si>
  <si>
    <t>20 cm PS WLG 035</t>
  </si>
  <si>
    <t>19 cm MiWo WLG 035</t>
  </si>
  <si>
    <t>21 cm MiWo WLG 035</t>
  </si>
  <si>
    <t>11 cm PS WLG 035</t>
  </si>
  <si>
    <t>24 cm MiWo WLG 035</t>
  </si>
  <si>
    <t>13 cm PS WLG 035</t>
  </si>
  <si>
    <t>25 cm MiWo WLG 035</t>
  </si>
  <si>
    <t>26 cm MiWo WLG 035</t>
  </si>
  <si>
    <t>27 cm MiWo WLG 035</t>
  </si>
  <si>
    <t>28 cm MiWo WLG 035</t>
  </si>
  <si>
    <t>29 cm MiWo WLG 035</t>
  </si>
  <si>
    <t>30 cm MiWo WLG 035</t>
  </si>
  <si>
    <t>Einzelpreis (pro Stk.)</t>
  </si>
  <si>
    <t>Umsetzungsvariante-Listen</t>
  </si>
  <si>
    <t>Boden u. Keller</t>
  </si>
  <si>
    <t xml:space="preserve">Keller </t>
  </si>
  <si>
    <t>geplante Kellernutzung:</t>
  </si>
  <si>
    <t>Kellertyp:</t>
  </si>
  <si>
    <t>zu dämmende Fläche [m²]:</t>
  </si>
  <si>
    <t>vorhandene Kellernutzung:</t>
  </si>
  <si>
    <t>Kellerdeckenfläche (ohne AW) [m²]:</t>
  </si>
  <si>
    <t>Stärke/Material</t>
  </si>
  <si>
    <t>Einbautiefe des Kellers [m]:
(Abstand UK Kellerdecke bis OK Gelände)</t>
  </si>
  <si>
    <t>Gebäudeumfang [m]:</t>
  </si>
  <si>
    <t>Kelleraußenfläche [m²]:</t>
  </si>
  <si>
    <t>Höhe des Keller [m]:</t>
  </si>
  <si>
    <t>Kellerinnenfläche [m²]:</t>
  </si>
  <si>
    <t>Beschreibung Kellernutzung:</t>
  </si>
  <si>
    <t>Höhe über Türsturz/Fenstersturz bis Decke (kleinster Wert maßgebend) [cm]:</t>
  </si>
  <si>
    <t>Kellerdecke</t>
  </si>
  <si>
    <r>
      <t xml:space="preserve">Stärke/Material </t>
    </r>
    <r>
      <rPr>
        <sz val="8"/>
        <rFont val="BRALE"/>
      </rPr>
      <t>(bitte manuell eingeben)</t>
    </r>
  </si>
  <si>
    <t xml:space="preserve">Deckentyp </t>
  </si>
  <si>
    <t>Dämmung Kelleraußenwand:</t>
  </si>
  <si>
    <t>Beschreibung Decke</t>
  </si>
  <si>
    <t>Besonderheiten Decke</t>
  </si>
  <si>
    <t>Fußbodenaufbau EG</t>
  </si>
  <si>
    <t>Dämmung Kellerinnenwand:</t>
  </si>
  <si>
    <t>Beschreibung Fußbodenaufbau</t>
  </si>
  <si>
    <t>Einblasen von Dämmung mgl.?:</t>
  </si>
  <si>
    <t>Gründung</t>
  </si>
  <si>
    <t>Gründungsart:</t>
  </si>
  <si>
    <t>Besonderheiten der Gründung:</t>
  </si>
  <si>
    <t>Fläche [m²]:</t>
  </si>
  <si>
    <t>Feuchtigkeit Keller</t>
  </si>
  <si>
    <t>Horizontalsperre vorhanden?:</t>
  </si>
  <si>
    <t>Horizontalsperre:</t>
  </si>
  <si>
    <t>Vertikale Abdichtung vorhanden?:</t>
  </si>
  <si>
    <t>Umfang [m]:</t>
  </si>
  <si>
    <t>Feuchtigkeitsmessung:</t>
  </si>
  <si>
    <t>Messpunkt</t>
  </si>
  <si>
    <t>Messwert in Digits</t>
  </si>
  <si>
    <t>Bewertung</t>
  </si>
  <si>
    <t>Anmerkung</t>
  </si>
  <si>
    <t>Bemerkung Ausführung?:</t>
  </si>
  <si>
    <t>Maßnahmenpaket Dach</t>
  </si>
  <si>
    <t>Allgemeines zum Dach:</t>
  </si>
  <si>
    <t>Dachbenennung:</t>
  </si>
  <si>
    <t>Dachfläche [m²]:</t>
  </si>
  <si>
    <t>Anmerkungen Dach:</t>
  </si>
  <si>
    <t>Dachform:</t>
  </si>
  <si>
    <t>Fläche:</t>
  </si>
  <si>
    <t>aktuelle Nutzung Dachboden:</t>
  </si>
  <si>
    <t>Dachneigung [°]:</t>
  </si>
  <si>
    <t>Bis in Dachspitz?</t>
  </si>
  <si>
    <t>Dachüberstand [cm]:</t>
  </si>
  <si>
    <t>Fläche zu Dämmen [m²]:</t>
  </si>
  <si>
    <t>Geplante Nutzung Dachboden:</t>
  </si>
  <si>
    <t>Dachziegel oder Dachpfanne</t>
  </si>
  <si>
    <t>Erneuerung gewünscht?:</t>
  </si>
  <si>
    <t>Höhe [cm]:</t>
  </si>
  <si>
    <t>Beschreibung Nutzung Dachboden:</t>
  </si>
  <si>
    <t>Baujahr Dacheindeckung:</t>
  </si>
  <si>
    <t>Breite [cm]:</t>
  </si>
  <si>
    <t>Überdeckungsmaß [cm]:</t>
  </si>
  <si>
    <t>Gibt es Störquellen auf dem Dach?</t>
  </si>
  <si>
    <t>Verlegungsart:</t>
  </si>
  <si>
    <t>Anzahl Dachziegel vorhanden:</t>
  </si>
  <si>
    <t>Blech oder Trapezblech</t>
  </si>
  <si>
    <t>Material:</t>
  </si>
  <si>
    <t>Stärke [mm]:</t>
  </si>
  <si>
    <t>Dachdämmung Schrägen</t>
  </si>
  <si>
    <t>Dämmungsmethode:</t>
  </si>
  <si>
    <t>Gauben:</t>
  </si>
  <si>
    <t>Dämmstärke [cm]:</t>
  </si>
  <si>
    <t>Anzahl vor Sanierung:</t>
  </si>
  <si>
    <t>Einbaujahr:</t>
  </si>
  <si>
    <t>Anzahl nach Sanierung:</t>
  </si>
  <si>
    <t>Dachflächenfenster:</t>
  </si>
  <si>
    <t>Oberste Geschossdecke</t>
  </si>
  <si>
    <t>Bauweise:</t>
  </si>
  <si>
    <t>Anzahl Zusatz Neu:</t>
  </si>
  <si>
    <t>Bemerkung;</t>
  </si>
  <si>
    <t>Bemerkung Allgemein</t>
  </si>
  <si>
    <t>Zugang zum Dachboden:</t>
  </si>
  <si>
    <t>Länge Bodenklapptreppe [cm]:</t>
  </si>
  <si>
    <t>Breite Bodenklapptreppe [cm]:</t>
  </si>
  <si>
    <t>Dachkonstruktion:</t>
  </si>
  <si>
    <t>Sparrenbreite [cm]:</t>
  </si>
  <si>
    <t>Kniestock [cm]:</t>
  </si>
  <si>
    <t>Sparrenhöhe [cm]:</t>
  </si>
  <si>
    <t>lichter Sparrenabstand [cm]:</t>
  </si>
  <si>
    <t>Gauben Anzahl:</t>
  </si>
  <si>
    <t>Gaube_1</t>
  </si>
  <si>
    <t>Beschreibung:</t>
  </si>
  <si>
    <t>Ausrichtung:</t>
  </si>
  <si>
    <t>Gaube_2</t>
  </si>
  <si>
    <t>Gaube_3</t>
  </si>
  <si>
    <t>Gaube_4</t>
  </si>
  <si>
    <t>Gaube_5</t>
  </si>
  <si>
    <t>Breite [m]:</t>
  </si>
  <si>
    <t>Höhe [m]:</t>
  </si>
  <si>
    <t>Austausch?</t>
  </si>
  <si>
    <t>Verglasung:</t>
  </si>
  <si>
    <t>Rolladen:</t>
  </si>
  <si>
    <t>Bemerkung/Wunsch</t>
  </si>
  <si>
    <t>Photovoltaik</t>
  </si>
  <si>
    <t>Anlagengröße [kWp]:</t>
  </si>
  <si>
    <t>Speichergröße [kWh]:</t>
  </si>
  <si>
    <t>Solarthermie</t>
  </si>
  <si>
    <t>Gebäudezustand</t>
  </si>
  <si>
    <t>Gebäudezustand IST</t>
  </si>
  <si>
    <t>Gebäudezustand SOLL</t>
  </si>
  <si>
    <t>Beheizte Raumfläche in m²:</t>
  </si>
  <si>
    <t>Beschreibung IST-Zustand:</t>
  </si>
  <si>
    <t>Positionierung Außengerät:</t>
  </si>
  <si>
    <t>Beschreibung SOLL-Zustand:</t>
  </si>
  <si>
    <t>Anzahl an Personen:</t>
  </si>
  <si>
    <t>Aufstellort frei geräumt?:</t>
  </si>
  <si>
    <t>Endenergiebedarf/JAZ:</t>
  </si>
  <si>
    <t>Baujahr Gebäude:</t>
  </si>
  <si>
    <t>Aufstellart Außengerät:</t>
  </si>
  <si>
    <t>Heizungsanlage</t>
  </si>
  <si>
    <t>Bestandsanlage</t>
  </si>
  <si>
    <t>Haupt-Heiztechnik</t>
  </si>
  <si>
    <t>Entfernung zw. Außen- und Innengerät:</t>
  </si>
  <si>
    <t>Energieträger :</t>
  </si>
  <si>
    <t>Hersteller:</t>
  </si>
  <si>
    <t>Verbrauch:</t>
  </si>
  <si>
    <t>Typ:</t>
  </si>
  <si>
    <t>Nebenheiztechnik</t>
  </si>
  <si>
    <t>Unterstützender Wärmeerzeuger?:</t>
  </si>
  <si>
    <t>Besonderheiten:</t>
  </si>
  <si>
    <t>Einbringmaß / Breite in m (engste Stelle):</t>
  </si>
  <si>
    <t>Beschreibung Nutzerverhalten:</t>
  </si>
  <si>
    <t>Wärmeversorgung</t>
  </si>
  <si>
    <t>Art der Wärmeversorgung:</t>
  </si>
  <si>
    <t>Höhe Aufstellort [lichte Höhe] in m:</t>
  </si>
  <si>
    <t>Art der Wärmeabgabe:</t>
  </si>
  <si>
    <t>Heizflächen</t>
  </si>
  <si>
    <t>Beschreibung Aufstellung:</t>
  </si>
  <si>
    <t>Kompaktheizkörper:</t>
  </si>
  <si>
    <t>Kompakt- und Handtuchheizkörper [St.]:</t>
  </si>
  <si>
    <t>Flächenheizung [m²]:</t>
  </si>
  <si>
    <t>Handtuchheizkörper:</t>
  </si>
  <si>
    <t>Radiatoren [St.]:</t>
  </si>
  <si>
    <t>Heizkreise</t>
  </si>
  <si>
    <t>geplante Anzahl [St.]</t>
  </si>
  <si>
    <t>Heizkreis</t>
  </si>
  <si>
    <t>Heizkreistemperatur</t>
  </si>
  <si>
    <t>Art der Wärmeabgabe</t>
  </si>
  <si>
    <t>Verteilnetz</t>
  </si>
  <si>
    <t>geplante Heizfläche [m²]:</t>
  </si>
  <si>
    <t>Warmwasseraufbereitung</t>
  </si>
  <si>
    <t>Warmwasseraufbereitung:</t>
  </si>
  <si>
    <t>Art der Warmwasseraufbereitung:</t>
  </si>
  <si>
    <t>Unterstützender Trinkwarmwassererzeuger</t>
  </si>
  <si>
    <t>Warmwasserbereitstellung:</t>
  </si>
  <si>
    <t>Zirkulationsleitung vorh.?:</t>
  </si>
  <si>
    <t>Zirkulationspumpe vorh.?:</t>
  </si>
  <si>
    <t>Maßnahmenpaket PV</t>
  </si>
  <si>
    <t>Neubau Photovoltaikanlage:</t>
  </si>
  <si>
    <t>Anlagenmontage</t>
  </si>
  <si>
    <t>AC-Leitungsverlegung</t>
  </si>
  <si>
    <t>Allgemein</t>
  </si>
  <si>
    <t>Traufhöhe:</t>
  </si>
  <si>
    <t>Gerüst auf öffentlichem Weg oder Behinderung Dritter?:</t>
  </si>
  <si>
    <t>Kabelweg Zählerschrank und Wechselrichter:</t>
  </si>
  <si>
    <t>Wunsch nach bestimmter Anlagengröße:</t>
  </si>
  <si>
    <t>Länge Zählerschrank - Wechselrichter:</t>
  </si>
  <si>
    <t>Wunsch nach bestimmter Speichergröße:</t>
  </si>
  <si>
    <t>Störquellen Gerüst:</t>
  </si>
  <si>
    <t>Verschattungsquellen:</t>
  </si>
  <si>
    <t>Internetanschluss im Installationsraum?:</t>
  </si>
  <si>
    <t>Zusatzoptionen:</t>
  </si>
  <si>
    <t>Störquellen Dach:</t>
  </si>
  <si>
    <t>Beschreibung Verschattung:</t>
  </si>
  <si>
    <t>Anlagenerweiterung geplant?</t>
  </si>
  <si>
    <t>Notstrom gewünscht?:</t>
  </si>
  <si>
    <t>geschätzte Höhe Verschattung [m]:</t>
  </si>
  <si>
    <t>EMMA gewünscht?</t>
  </si>
  <si>
    <t>Optimierer gewünscht?:</t>
  </si>
  <si>
    <t>SolarEdge oder Huawei?</t>
  </si>
  <si>
    <t>DC-Kabelverlegung</t>
  </si>
  <si>
    <t>DC-Zusatz</t>
  </si>
  <si>
    <t>Ausstattung</t>
  </si>
  <si>
    <t>Wallbox</t>
  </si>
  <si>
    <t>Kabelführung:</t>
  </si>
  <si>
    <t>Anmerkung:</t>
  </si>
  <si>
    <t>Wallbox vorhanden?:</t>
  </si>
  <si>
    <t>Installation Wallbox gewünscht?:</t>
  </si>
  <si>
    <t>Abstand Wallbox zum Zählerschrank:</t>
  </si>
  <si>
    <t>PV-Module und Anlagentechnik auf dem selben Gebäude?:</t>
  </si>
  <si>
    <t>Gerüstaufbau bei Traufhöhe &gt; 4m:</t>
  </si>
  <si>
    <t>Länge der DC-Kabelführung:</t>
  </si>
  <si>
    <t>Aufständerung benötigt?:</t>
  </si>
  <si>
    <t>E-Auto vorhanden?:</t>
  </si>
  <si>
    <t>E-Auto geplant?:</t>
  </si>
  <si>
    <t>Installationsumgebung</t>
  </si>
  <si>
    <t>Beschreibung Wallbox:</t>
  </si>
  <si>
    <t>HAR/HWR für Anlagenkomponenten vorhanden?:</t>
  </si>
  <si>
    <t>Wenn Nein, wo sonst?:</t>
  </si>
  <si>
    <t>Temperaturbereich sichergestellt?:</t>
  </si>
  <si>
    <t>Wenn Nein, Unterschrift Kunden:</t>
  </si>
  <si>
    <t>Ungefähre Fahrleistung [km/a]:</t>
  </si>
  <si>
    <t>Mindestabstände Anlagenkomponenten eingehalten?:</t>
  </si>
  <si>
    <t>Maßnahmenpaket Elektro</t>
  </si>
  <si>
    <t>Kurzbeschreibung Umsetzung?</t>
  </si>
  <si>
    <t>_</t>
  </si>
  <si>
    <t>Preis:</t>
  </si>
  <si>
    <t>Preis in PV, WP oder Sonstiges einrechnen</t>
  </si>
  <si>
    <t>Allgemeines zur Elektroinstallation:</t>
  </si>
  <si>
    <t>Anschlussart:</t>
  </si>
  <si>
    <t>Zusatzpositionen</t>
  </si>
  <si>
    <t>HAK Standort:</t>
  </si>
  <si>
    <t>HAK Größe:</t>
  </si>
  <si>
    <t>Potentialausgleichsschiene:</t>
  </si>
  <si>
    <t>Erdung Potentialausgleichsschiene:</t>
  </si>
  <si>
    <t>Weitere Anmerkung:</t>
  </si>
  <si>
    <t>VDE konformer Zählerschrank:</t>
  </si>
  <si>
    <t>Freifläche für weiteren Zählerschrank?:</t>
  </si>
  <si>
    <t>Weitere Anmerkungen:</t>
  </si>
  <si>
    <t>vorhandene Heizflächen</t>
  </si>
  <si>
    <t>Räume</t>
  </si>
  <si>
    <t>Heizflächenübersicht</t>
  </si>
  <si>
    <t>Kompakt-/ Handtuchheizkörper</t>
  </si>
  <si>
    <t>Radiatoren</t>
  </si>
  <si>
    <t>Raumfläche [m²]</t>
  </si>
  <si>
    <t>Abzugsfläche [m²]</t>
  </si>
  <si>
    <t>Auslegungstemperatur [°C]</t>
  </si>
  <si>
    <t>Nummer</t>
  </si>
  <si>
    <t>Heizkörper/Heizfläche</t>
  </si>
  <si>
    <t>Abstand über HK [mm] (wenn Nische)</t>
  </si>
  <si>
    <t>Bauhöhe [mm]</t>
  </si>
  <si>
    <t>Nabenabstand [mm]</t>
  </si>
  <si>
    <t>Bautiefe [mm]</t>
  </si>
  <si>
    <t>Verlegeabstand der Heizrohre T [m]</t>
  </si>
  <si>
    <r>
      <t>Überdeckung s</t>
    </r>
    <r>
      <rPr>
        <b/>
        <vertAlign val="subscript"/>
        <sz val="11"/>
        <rFont val="BRALE"/>
      </rPr>
      <t>u</t>
    </r>
    <r>
      <rPr>
        <b/>
        <sz val="11"/>
        <rFont val="BRALE"/>
      </rPr>
      <t xml:space="preserve"> [m]</t>
    </r>
  </si>
  <si>
    <t>Heizrohrdurchmesser D [m]</t>
  </si>
  <si>
    <t>Fußbodenbelag</t>
  </si>
  <si>
    <t>Berechnung</t>
  </si>
  <si>
    <t>Auswertung</t>
  </si>
  <si>
    <t>Leistung Heizfläche [W]</t>
  </si>
  <si>
    <t>Volumenstrom [l/min]</t>
  </si>
  <si>
    <t>Materialwunsch</t>
  </si>
  <si>
    <t>Befestigung ok?</t>
  </si>
  <si>
    <t>vorhandene Wärmeleistung [W]</t>
  </si>
  <si>
    <t>gewünschte Vor- und Rücklauftemperatur [°C]:</t>
  </si>
  <si>
    <t>Gibt es Störquellen auf dem Dach?:</t>
  </si>
  <si>
    <t>Maßnahmenpaket Sonstiges</t>
  </si>
  <si>
    <t>Kurzbeschreibung</t>
  </si>
  <si>
    <t>^^</t>
  </si>
  <si>
    <t>Umsetzung:</t>
  </si>
  <si>
    <t>Dezentrale Lüftungsanlage:</t>
  </si>
  <si>
    <t>Anzahl [Stk.]:</t>
  </si>
  <si>
    <t>Heizlast aufgeteilt [W]</t>
  </si>
  <si>
    <t>WENN(Allgemein!G94="";"";"/ ")</t>
  </si>
  <si>
    <t>BRALE Energy</t>
  </si>
  <si>
    <t>Boden / Keller:</t>
  </si>
  <si>
    <t>Begleitung durch Energieberater, Begleitung und Koordination durch Bauleiter, Schnittstellenversprechen, Förderservice,  Festpreisgarantie, Bauzeitgarantie, Gewährleistung aus einer Hand</t>
  </si>
  <si>
    <t xml:space="preserve">angegebener Heizverbrauch: </t>
  </si>
  <si>
    <t xml:space="preserve">angenommener Heizverbrauch: </t>
  </si>
  <si>
    <t>Endenergiebedarf nach Heizverbrauch:</t>
  </si>
  <si>
    <t xml:space="preserve">Primär-E / End-E / Heizwärmebedarf realistisch </t>
  </si>
  <si>
    <t>PV / Elektro:</t>
  </si>
  <si>
    <t>BRALE Energy:</t>
  </si>
  <si>
    <t>7 kWh</t>
  </si>
  <si>
    <t>14 kWh</t>
  </si>
  <si>
    <t>21 kWh</t>
  </si>
  <si>
    <t>Fläche [m²]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</si>
</sst>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6" formatCode="#,##0\ &quot;€&quot;;[Red]\-#,##0\ &quot;€&quot;"/>
    <numFmt numFmtId="8" formatCode="#,##0.00\ &quot;€&quot;;[Red]\-#,##0.00\ &quot;€&quot;"/>
    <numFmt numFmtId="44" formatCode="_-* #,##0.00\ &quot;€&quot;_-;\-* #,##0.00\ &quot;€&quot;_-;_-* &quot;-&quot;??\ &quot;€&quot;_-;_-@_-"/>
    <numFmt numFmtId="43" formatCode="_-* #,##0.00_-;\-* #,##0.00_-;_-* &quot;-&quot;??_-;_-@_-"/>
    <numFmt numFmtId="164" formatCode="#,##0.00\ &quot;€&quot;"/>
    <numFmt numFmtId="165" formatCode="#,##0\ &quot;€&quot;"/>
    <numFmt numFmtId="166" formatCode="#,##0.0000\ &quot;€&quot;"/>
    <numFmt numFmtId="167" formatCode="#,##0.000\ &quot;€&quot;"/>
    <numFmt numFmtId="168" formatCode="_-* #,##0.00\ [$€-407]_-;\-* #,##0.00\ [$€-407]_-;_-* &quot;-&quot;??\ [$€-407]_-;_-@_-"/>
    <numFmt numFmtId="169" formatCode="0.000000000"/>
    <numFmt numFmtId="170" formatCode="0.0"/>
    <numFmt numFmtId="171" formatCode="\C\a\.\ #,##0\ &quot;€&quot;"/>
  </numFmts>
  <fonts count="76">
    <font>
      <sz val="11"/>
      <color theme="1"/>
      <name val="Calibri"/>
      <family val="2"/>
      <scheme val="minor"/>
    </font>
    <font>
      <sz val="8"/>
      <name val="Calibri"/>
      <family val="2"/>
      <scheme val="minor"/>
    </font>
    <font>
      <sz val="11"/>
      <name val="Calibri"/>
      <family val="2"/>
      <scheme val="minor"/>
    </font>
    <font>
      <sz val="12"/>
      <name val="Calibri"/>
      <family val="2"/>
      <scheme val="minor"/>
    </font>
    <font>
      <sz val="11"/>
      <color theme="1"/>
      <name val="BRALE"/>
    </font>
    <font>
      <sz val="11"/>
      <color rgb="FFFF0000"/>
      <name val="BRALE"/>
    </font>
    <font>
      <b/>
      <sz val="11"/>
      <color theme="1"/>
      <name val="BRALE"/>
    </font>
    <font>
      <b/>
      <sz val="11"/>
      <name val="BRALE"/>
    </font>
    <font>
      <sz val="11"/>
      <name val="BRALE"/>
    </font>
    <font>
      <sz val="10"/>
      <color theme="1"/>
      <name val="BRALE"/>
    </font>
    <font>
      <sz val="12"/>
      <color theme="1"/>
      <name val="BRALE"/>
    </font>
    <font>
      <b/>
      <sz val="12"/>
      <color theme="1"/>
      <name val="BRALE"/>
    </font>
    <font>
      <sz val="11"/>
      <color theme="1"/>
      <name val="Calibri"/>
      <family val="2"/>
      <scheme val="minor"/>
    </font>
    <font>
      <b/>
      <sz val="10"/>
      <name val="BRALE"/>
    </font>
    <font>
      <sz val="10"/>
      <name val="BRALE"/>
    </font>
    <font>
      <sz val="12"/>
      <color rgb="FF009900"/>
      <name val="BRALE"/>
    </font>
    <font>
      <b/>
      <sz val="10"/>
      <color theme="0"/>
      <name val="BRALE"/>
    </font>
    <font>
      <sz val="11"/>
      <color rgb="FF009900"/>
      <name val="BRALE"/>
    </font>
    <font>
      <b/>
      <sz val="22"/>
      <color rgb="FF663300"/>
      <name val="BRALE"/>
    </font>
    <font>
      <b/>
      <sz val="20"/>
      <color rgb="FF663300"/>
      <name val="BRALE"/>
    </font>
    <font>
      <sz val="14"/>
      <color rgb="FF663300"/>
      <name val="BRALE"/>
    </font>
    <font>
      <sz val="18"/>
      <color rgb="FF663300"/>
      <name val="BRALE"/>
    </font>
    <font>
      <b/>
      <sz val="72"/>
      <color rgb="FF663300"/>
      <name val="BRALE"/>
    </font>
    <font>
      <b/>
      <sz val="20"/>
      <color rgb="FF97C335"/>
      <name val="BRALE"/>
    </font>
    <font>
      <sz val="12"/>
      <color rgb="FF532C00"/>
      <name val="BRALE"/>
    </font>
    <font>
      <sz val="18"/>
      <color theme="1"/>
      <name val="BRALE"/>
    </font>
    <font>
      <vertAlign val="subscript"/>
      <sz val="11"/>
      <color theme="1"/>
      <name val="BRALE"/>
    </font>
    <font>
      <b/>
      <vertAlign val="subscript"/>
      <sz val="11"/>
      <color theme="1"/>
      <name val="BRALE"/>
    </font>
    <font>
      <vertAlign val="subscript"/>
      <sz val="12.65"/>
      <color theme="1"/>
      <name val="BRALE"/>
    </font>
    <font>
      <sz val="12.65"/>
      <color theme="1"/>
      <name val="BRALE"/>
    </font>
    <font>
      <sz val="26"/>
      <color rgb="FF97C335"/>
      <name val="BRALE"/>
    </font>
    <font>
      <sz val="11"/>
      <color rgb="FF532C00"/>
      <name val="BRALE"/>
    </font>
    <font>
      <b/>
      <sz val="12"/>
      <color rgb="FF532C00"/>
      <name val="BRALE"/>
    </font>
    <font>
      <sz val="10"/>
      <color rgb="FF532C00"/>
      <name val="BRALE"/>
    </font>
    <font>
      <b/>
      <sz val="24"/>
      <color rgb="FF532C00"/>
      <name val="BRALE"/>
    </font>
    <font>
      <b/>
      <sz val="23"/>
      <color rgb="FF532C00"/>
      <name val="BRALE"/>
    </font>
    <font>
      <b/>
      <sz val="28"/>
      <color rgb="FF532C00"/>
      <name val="BRALE"/>
    </font>
    <font>
      <b/>
      <sz val="28"/>
      <color rgb="FF530000"/>
      <name val="BRALE"/>
    </font>
    <font>
      <b/>
      <sz val="30"/>
      <color rgb="FF532C00"/>
      <name val="BRALE"/>
    </font>
    <font>
      <b/>
      <sz val="26"/>
      <name val="BRALE"/>
    </font>
    <font>
      <b/>
      <sz val="18"/>
      <name val="BRALE"/>
    </font>
    <font>
      <u/>
      <sz val="11"/>
      <name val="BRALE"/>
    </font>
    <font>
      <sz val="16"/>
      <name val="BRALE"/>
    </font>
    <font>
      <b/>
      <sz val="16"/>
      <name val="BRALE"/>
    </font>
    <font>
      <sz val="12"/>
      <name val="BRALE"/>
    </font>
    <font>
      <b/>
      <sz val="14"/>
      <name val="BRALE"/>
    </font>
    <font>
      <b/>
      <sz val="12"/>
      <name val="BRALE"/>
    </font>
    <font>
      <b/>
      <vertAlign val="subscript"/>
      <sz val="11"/>
      <name val="BRALE"/>
    </font>
    <font>
      <sz val="8"/>
      <name val="BRALE"/>
    </font>
    <font>
      <sz val="11"/>
      <color rgb="FF558537"/>
      <name val="BRALE"/>
    </font>
    <font>
      <sz val="11"/>
      <color rgb="FF000000"/>
      <name val="BRALE"/>
    </font>
    <font>
      <b/>
      <sz val="11"/>
      <color rgb="FF558537"/>
      <name val="BRALE"/>
    </font>
    <font>
      <sz val="12"/>
      <color rgb="FF558537"/>
      <name val="BRALE"/>
    </font>
    <font>
      <b/>
      <sz val="18"/>
      <color rgb="FF558537"/>
      <name val="BRALE"/>
    </font>
    <font>
      <sz val="48"/>
      <color theme="1"/>
      <name val="BRALE"/>
    </font>
    <font>
      <b/>
      <sz val="20"/>
      <color theme="1"/>
      <name val="BRALE"/>
    </font>
    <font>
      <sz val="26"/>
      <color theme="1"/>
      <name val="BRALE"/>
    </font>
    <font>
      <b/>
      <sz val="22"/>
      <color theme="1"/>
      <name val="BRALE"/>
    </font>
    <font>
      <b/>
      <u val="double"/>
      <sz val="11"/>
      <color theme="1"/>
      <name val="BRALE"/>
    </font>
    <font>
      <b/>
      <sz val="22"/>
      <name val="BRALE"/>
    </font>
    <font>
      <b/>
      <sz val="11"/>
      <color theme="0"/>
      <name val="BRALE"/>
    </font>
    <font>
      <sz val="9"/>
      <name val="BRALE"/>
    </font>
    <font>
      <b/>
      <sz val="11"/>
      <color theme="1"/>
      <name val="Calibri"/>
      <family val="2"/>
      <scheme val="minor"/>
    </font>
    <font>
      <b/>
      <sz val="72"/>
      <color rgb="FFAAD054"/>
      <name val="BRALE"/>
    </font>
    <font>
      <b/>
      <sz val="24"/>
      <color theme="1"/>
      <name val="BRALE"/>
    </font>
    <font>
      <b/>
      <sz val="48"/>
      <color theme="1"/>
      <name val="BRALE"/>
    </font>
    <font>
      <sz val="16"/>
      <color theme="1"/>
      <name val="BRALE"/>
    </font>
    <font>
      <b/>
      <sz val="11"/>
      <color rgb="FF000000"/>
      <name val="BRALE"/>
    </font>
    <font>
      <sz val="12"/>
      <color rgb="FF000000"/>
      <name val="BRALE"/>
    </font>
    <font>
      <b/>
      <sz val="12"/>
      <color rgb="FF000000"/>
      <name val="BRALE"/>
    </font>
    <font>
      <b/>
      <sz val="18"/>
      <color theme="1"/>
      <name val="BRALE"/>
    </font>
    <font>
      <b/>
      <sz val="72"/>
      <color theme="1"/>
      <name val="BRALE"/>
    </font>
    <font>
      <sz val="11"/>
      <color rgb="FF7030A0"/>
      <name val="BRALE"/>
    </font>
    <font>
      <sz val="11"/>
      <color rgb="FF00B0F0"/>
      <name val="BRALE"/>
    </font>
    <font>
      <sz val="9"/>
      <color theme="1"/>
      <name val="Calibri"/>
      <family val="2"/>
      <scheme val="minor"/>
    </font>
    <font>
      <u/>
      <sz val="11"/>
      <color theme="10"/>
      <name val="Calibri"/>
      <family val="2"/>
      <scheme val="minor"/>
    </font>
  </fonts>
  <fills count="2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BFFFD"/>
        <bgColor indexed="64"/>
      </patternFill>
    </fill>
    <fill>
      <patternFill patternType="solid">
        <fgColor theme="3" tint="0.89999084444715716"/>
        <bgColor indexed="64"/>
      </patternFill>
    </fill>
    <fill>
      <patternFill patternType="solid">
        <fgColor theme="1" tint="0.249977111117893"/>
        <bgColor indexed="64"/>
      </patternFill>
    </fill>
    <fill>
      <patternFill patternType="solid">
        <fgColor theme="9" tint="0.79998168889431442"/>
        <bgColor theme="9" tint="0.79998168889431442"/>
      </patternFill>
    </fill>
    <fill>
      <patternFill patternType="solid">
        <fgColor theme="2"/>
        <bgColor indexed="64"/>
      </patternFill>
    </fill>
    <fill>
      <patternFill patternType="solid">
        <fgColor rgb="FFA6A6A6"/>
        <bgColor rgb="FF000000"/>
      </patternFill>
    </fill>
    <fill>
      <patternFill patternType="solid">
        <fgColor theme="0" tint="-4.9989318521683403E-2"/>
        <bgColor rgb="FF000000"/>
      </patternFill>
    </fill>
    <fill>
      <patternFill patternType="solid">
        <fgColor theme="9" tint="0.79998168889431442"/>
        <bgColor rgb="FF000000"/>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79998168889431442"/>
        <bgColor rgb="FF000000"/>
      </patternFill>
    </fill>
    <fill>
      <patternFill patternType="solid">
        <fgColor rgb="FFAAD054"/>
        <bgColor indexed="64"/>
      </patternFill>
    </fill>
    <fill>
      <patternFill patternType="solid">
        <fgColor theme="0" tint="-0.14999847407452621"/>
        <bgColor indexed="64"/>
      </patternFill>
    </fill>
  </fills>
  <borders count="158">
    <border>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ck">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style="thin">
        <color indexed="64"/>
      </right>
      <top style="thin">
        <color indexed="64"/>
      </top>
      <bottom/>
      <diagonal/>
    </border>
    <border>
      <left style="thick">
        <color indexed="64"/>
      </left>
      <right/>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diagonal/>
    </border>
    <border>
      <left/>
      <right style="thin">
        <color theme="1"/>
      </right>
      <top/>
      <bottom/>
      <diagonal/>
    </border>
    <border>
      <left style="thick">
        <color indexed="64"/>
      </left>
      <right/>
      <top/>
      <bottom/>
      <diagonal/>
    </border>
    <border>
      <left/>
      <right style="thin">
        <color theme="1"/>
      </right>
      <top style="thin">
        <color theme="1"/>
      </top>
      <bottom/>
      <diagonal/>
    </border>
    <border>
      <left/>
      <right style="thin">
        <color theme="1"/>
      </right>
      <top/>
      <bottom style="thin">
        <color indexed="64"/>
      </bottom>
      <diagonal/>
    </border>
    <border>
      <left/>
      <right style="thick">
        <color indexed="64"/>
      </right>
      <top style="thin">
        <color theme="1"/>
      </top>
      <bottom/>
      <diagonal/>
    </border>
    <border>
      <left style="thin">
        <color theme="1"/>
      </left>
      <right/>
      <top/>
      <bottom/>
      <diagonal/>
    </border>
    <border>
      <left style="thin">
        <color theme="1"/>
      </left>
      <right/>
      <top style="thin">
        <color indexed="64"/>
      </top>
      <bottom/>
      <diagonal/>
    </border>
    <border>
      <left/>
      <right/>
      <top/>
      <bottom style="thick">
        <color indexed="64"/>
      </bottom>
      <diagonal/>
    </border>
    <border>
      <left/>
      <right/>
      <top style="thick">
        <color indexed="64"/>
      </top>
      <bottom/>
      <diagonal/>
    </border>
    <border>
      <left/>
      <right style="thick">
        <color indexed="64"/>
      </right>
      <top style="thick">
        <color indexed="64"/>
      </top>
      <bottom/>
      <diagonal/>
    </border>
    <border>
      <left/>
      <right style="thick">
        <color indexed="64"/>
      </right>
      <top/>
      <bottom style="thick">
        <color indexed="64"/>
      </bottom>
      <diagonal/>
    </border>
    <border>
      <left style="thick">
        <color indexed="64"/>
      </left>
      <right/>
      <top/>
      <bottom style="thick">
        <color indexed="64"/>
      </bottom>
      <diagonal/>
    </border>
    <border>
      <left style="thick">
        <color indexed="64"/>
      </left>
      <right style="thin">
        <color indexed="64"/>
      </right>
      <top/>
      <bottom style="thin">
        <color indexed="64"/>
      </bottom>
      <diagonal/>
    </border>
    <border>
      <left style="thin">
        <color indexed="64"/>
      </left>
      <right/>
      <top/>
      <bottom style="thick">
        <color indexed="64"/>
      </bottom>
      <diagonal/>
    </border>
    <border>
      <left/>
      <right/>
      <top style="thick">
        <color indexed="64"/>
      </top>
      <bottom style="thin">
        <color indexed="64"/>
      </bottom>
      <diagonal/>
    </border>
    <border>
      <left style="thin">
        <color indexed="64"/>
      </left>
      <right/>
      <top style="thick">
        <color indexed="64"/>
      </top>
      <bottom/>
      <diagonal/>
    </border>
    <border>
      <left/>
      <right style="thin">
        <color indexed="64"/>
      </right>
      <top/>
      <bottom style="thick">
        <color indexed="64"/>
      </bottom>
      <diagonal/>
    </border>
    <border>
      <left/>
      <right style="thick">
        <color indexed="64"/>
      </right>
      <top style="thick">
        <color indexed="64"/>
      </top>
      <bottom style="thin">
        <color indexed="64"/>
      </bottom>
      <diagonal/>
    </border>
    <border>
      <left/>
      <right style="thin">
        <color indexed="64"/>
      </right>
      <top style="thick">
        <color indexed="64"/>
      </top>
      <bottom/>
      <diagonal/>
    </border>
    <border>
      <left style="thick">
        <color indexed="64"/>
      </left>
      <right/>
      <top style="thick">
        <color indexed="64"/>
      </top>
      <bottom/>
      <diagonal/>
    </border>
    <border>
      <left style="medium">
        <color indexed="64"/>
      </left>
      <right/>
      <top/>
      <bottom/>
      <diagonal/>
    </border>
    <border>
      <left/>
      <right style="medium">
        <color indexed="64"/>
      </right>
      <top/>
      <bottom/>
      <diagonal/>
    </border>
    <border>
      <left style="thick">
        <color indexed="64"/>
      </left>
      <right/>
      <top style="thick">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top style="thin">
        <color theme="0" tint="-0.249977111117893"/>
      </top>
      <bottom style="thin">
        <color theme="0" tint="-0.249977111117893"/>
      </bottom>
      <diagonal/>
    </border>
    <border>
      <left style="medium">
        <color theme="3"/>
      </left>
      <right style="medium">
        <color theme="3"/>
      </right>
      <top style="medium">
        <color theme="3"/>
      </top>
      <bottom/>
      <diagonal/>
    </border>
    <border>
      <left style="medium">
        <color indexed="64"/>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style="thin">
        <color theme="0" tint="-0.249977111117893"/>
      </top>
      <bottom style="medium">
        <color indexed="64"/>
      </bottom>
      <diagonal/>
    </border>
    <border>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bottom style="thin">
        <color theme="0" tint="-0.249977111117893"/>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style="medium">
        <color indexed="64"/>
      </left>
      <right style="medium">
        <color indexed="64"/>
      </right>
      <top style="medium">
        <color indexed="64"/>
      </top>
      <bottom style="medium">
        <color indexed="64"/>
      </bottom>
      <diagonal/>
    </border>
    <border>
      <left/>
      <right style="thin">
        <color theme="3" tint="0.24994659260841701"/>
      </right>
      <top style="medium">
        <color indexed="64"/>
      </top>
      <bottom style="medium">
        <color indexed="64"/>
      </bottom>
      <diagonal/>
    </border>
    <border>
      <left style="thin">
        <color theme="3" tint="0.24994659260841701"/>
      </left>
      <right style="thin">
        <color theme="3" tint="0.24994659260841701"/>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theme="0" tint="-0.249977111117893"/>
      </bottom>
      <diagonal/>
    </border>
    <border>
      <left/>
      <right style="thin">
        <color theme="0" tint="-0.249977111117893"/>
      </right>
      <top/>
      <bottom style="thin">
        <color theme="0" tint="-0.249977111117893"/>
      </bottom>
      <diagonal/>
    </border>
    <border>
      <left style="thin">
        <color theme="3" tint="0.24994659260841701"/>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right/>
      <top style="thin">
        <color theme="4" tint="0.39997558519241921"/>
      </top>
      <bottom style="thin">
        <color theme="4" tint="0.39997558519241921"/>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n">
        <color theme="9"/>
      </left>
      <right style="thin">
        <color theme="9"/>
      </right>
      <top style="thin">
        <color theme="9"/>
      </top>
      <bottom style="medium">
        <color theme="9"/>
      </bottom>
      <diagonal/>
    </border>
    <border>
      <left style="thin">
        <color theme="9"/>
      </left>
      <right style="thin">
        <color theme="9"/>
      </right>
      <top style="thin">
        <color theme="9"/>
      </top>
      <bottom style="thin">
        <color theme="9"/>
      </bottom>
      <diagonal/>
    </border>
    <border>
      <left style="thin">
        <color theme="9"/>
      </left>
      <right style="thin">
        <color theme="9"/>
      </right>
      <top/>
      <bottom style="medium">
        <color theme="9"/>
      </bottom>
      <diagonal/>
    </border>
    <border>
      <left/>
      <right style="thin">
        <color theme="9"/>
      </right>
      <top/>
      <bottom style="medium">
        <color theme="9"/>
      </bottom>
      <diagonal/>
    </border>
    <border>
      <left/>
      <right style="thin">
        <color theme="9"/>
      </right>
      <top style="thin">
        <color theme="9"/>
      </top>
      <bottom style="thin">
        <color theme="9"/>
      </bottom>
      <diagonal/>
    </border>
    <border>
      <left style="thick">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right/>
      <top style="thick">
        <color indexed="64"/>
      </top>
      <bottom style="thick">
        <color indexed="64"/>
      </bottom>
      <diagonal/>
    </border>
    <border>
      <left/>
      <right style="medium">
        <color indexed="64"/>
      </right>
      <top/>
      <bottom style="thick">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style="medium">
        <color indexed="64"/>
      </right>
      <top style="thin">
        <color theme="1"/>
      </top>
      <bottom/>
      <diagonal/>
    </border>
    <border>
      <left style="thick">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ck">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ck">
        <color indexed="64"/>
      </left>
      <right/>
      <top/>
      <bottom style="thin">
        <color rgb="FF000000"/>
      </bottom>
      <diagonal/>
    </border>
    <border>
      <left/>
      <right/>
      <top/>
      <bottom style="thin">
        <color rgb="FF000000"/>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style="thick">
        <color indexed="64"/>
      </right>
      <top/>
      <bottom style="thin">
        <color indexed="64"/>
      </bottom>
      <diagonal/>
    </border>
    <border>
      <left style="medium">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style="medium">
        <color indexed="64"/>
      </left>
      <right style="thin">
        <color indexed="64"/>
      </right>
      <top style="thin">
        <color indexed="64"/>
      </top>
      <bottom style="thin">
        <color indexed="64"/>
      </bottom>
      <diagonal/>
    </border>
    <border>
      <left/>
      <right style="thick">
        <color indexed="64"/>
      </right>
      <top/>
      <bottom style="medium">
        <color indexed="64"/>
      </bottom>
      <diagonal/>
    </border>
    <border>
      <left style="thin">
        <color indexed="64"/>
      </left>
      <right style="thick">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medium">
        <color indexed="64"/>
      </bottom>
      <diagonal/>
    </border>
    <border>
      <left/>
      <right/>
      <top style="thin">
        <color theme="4" tint="0.39997558519241921"/>
      </top>
      <bottom/>
      <diagonal/>
    </border>
    <border>
      <left style="thin">
        <color indexed="64"/>
      </left>
      <right style="thick">
        <color indexed="64"/>
      </right>
      <top/>
      <bottom style="medium">
        <color indexed="64"/>
      </bottom>
      <diagonal/>
    </border>
    <border>
      <left/>
      <right style="thin">
        <color indexed="64"/>
      </right>
      <top style="medium">
        <color indexed="64"/>
      </top>
      <bottom/>
      <diagonal/>
    </border>
    <border>
      <left style="thin">
        <color indexed="64"/>
      </left>
      <right/>
      <top/>
      <bottom style="medium">
        <color indexed="64"/>
      </bottom>
      <diagonal/>
    </border>
    <border>
      <left style="thick">
        <color indexed="64"/>
      </left>
      <right/>
      <top style="medium">
        <color indexed="64"/>
      </top>
      <bottom/>
      <diagonal/>
    </border>
    <border>
      <left style="thick">
        <color indexed="64"/>
      </left>
      <right/>
      <top/>
      <bottom style="medium">
        <color indexed="64"/>
      </bottom>
      <diagonal/>
    </border>
    <border>
      <left style="thin">
        <color theme="4" tint="0.39997558519241921"/>
      </left>
      <right/>
      <top style="thin">
        <color theme="4" tint="0.39997558519241921"/>
      </top>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
      <left style="thick">
        <color indexed="64"/>
      </left>
      <right style="medium">
        <color indexed="64"/>
      </right>
      <top/>
      <bottom style="thin">
        <color indexed="64"/>
      </bottom>
      <diagonal/>
    </border>
    <border>
      <left style="thin">
        <color indexed="64"/>
      </left>
      <right style="thick">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thin">
        <color rgb="FF000000"/>
      </top>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top style="thin">
        <color indexed="64"/>
      </top>
      <bottom style="thick">
        <color indexed="64"/>
      </bottom>
      <diagonal/>
    </border>
    <border>
      <left style="medium">
        <color indexed="64"/>
      </left>
      <right style="medium">
        <color indexed="64"/>
      </right>
      <top/>
      <bottom/>
      <diagonal/>
    </border>
    <border>
      <left style="thin">
        <color indexed="64"/>
      </left>
      <right style="thick">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ck">
        <color indexed="64"/>
      </left>
      <right style="thin">
        <color indexed="64"/>
      </right>
      <top/>
      <bottom/>
      <diagonal/>
    </border>
    <border>
      <left style="medium">
        <color indexed="64"/>
      </left>
      <right style="medium">
        <color indexed="64"/>
      </right>
      <top style="thin">
        <color indexed="64"/>
      </top>
      <bottom style="thin">
        <color indexed="64"/>
      </bottom>
      <diagonal/>
    </border>
    <border>
      <left/>
      <right style="thin">
        <color indexed="64"/>
      </right>
      <top style="thin">
        <color theme="4" tint="0.39997558519241921"/>
      </top>
      <bottom style="thin">
        <color theme="4" tint="0.39997558519241921"/>
      </bottom>
      <diagonal/>
    </border>
    <border>
      <left/>
      <right style="thin">
        <color indexed="64"/>
      </right>
      <top style="thin">
        <color theme="4" tint="0.39997558519241921"/>
      </top>
      <bottom/>
      <diagonal/>
    </border>
    <border>
      <left style="thin">
        <color theme="4" tint="0.39997558519241921"/>
      </left>
      <right style="thin">
        <color indexed="64"/>
      </right>
      <top style="thin">
        <color theme="4" tint="0.39997558519241921"/>
      </top>
      <bottom style="thin">
        <color theme="4" tint="0.39997558519241921"/>
      </bottom>
      <diagonal/>
    </border>
    <border>
      <left style="thin">
        <color theme="4" tint="0.39997558519241921"/>
      </left>
      <right style="thin">
        <color indexed="64"/>
      </right>
      <top style="thin">
        <color theme="4" tint="0.39997558519241921"/>
      </top>
      <bottom/>
      <diagonal/>
    </border>
    <border>
      <left style="medium">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style="thin">
        <color indexed="64"/>
      </right>
      <top/>
      <bottom style="thick">
        <color indexed="64"/>
      </bottom>
      <diagonal/>
    </border>
    <border>
      <left/>
      <right/>
      <top style="medium">
        <color indexed="64"/>
      </top>
      <bottom style="thin">
        <color indexed="64"/>
      </bottom>
      <diagonal/>
    </border>
    <border>
      <left style="thick">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double">
        <color indexed="64"/>
      </bottom>
      <diagonal/>
    </border>
  </borders>
  <cellStyleXfs count="9">
    <xf numFmtId="0" fontId="0" fillId="0" borderId="0"/>
    <xf numFmtId="0" fontId="2" fillId="0" borderId="0" applyFont="0" applyFill="0" applyBorder="0">
      <alignment horizontal="center" vertical="top" wrapText="1"/>
    </xf>
    <xf numFmtId="14" fontId="3" fillId="0" borderId="0" applyFont="0" applyFill="0" applyBorder="0">
      <alignment horizontal="center" vertical="top" wrapText="1"/>
    </xf>
    <xf numFmtId="0" fontId="2" fillId="0" borderId="0" applyNumberFormat="0" applyFill="0" applyBorder="0" applyProtection="0">
      <alignment horizontal="left" vertical="center" wrapText="1"/>
    </xf>
    <xf numFmtId="0" fontId="2" fillId="0" borderId="0">
      <alignment vertical="top" wrapText="1"/>
    </xf>
    <xf numFmtId="9"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75" fillId="0" borderId="0" applyNumberFormat="0" applyFill="0" applyBorder="0" applyAlignment="0" applyProtection="0"/>
  </cellStyleXfs>
  <cellXfs count="1785">
    <xf numFmtId="0" fontId="0" fillId="0" borderId="0" xfId="0"/>
    <xf numFmtId="0" fontId="4" fillId="0" borderId="0" xfId="0" applyFont="1" applyAlignment="1">
      <alignment vertical="center"/>
    </xf>
    <xf numFmtId="0" fontId="4" fillId="0" borderId="0" xfId="0" applyFont="1"/>
    <xf numFmtId="0" fontId="6" fillId="0" borderId="0" xfId="0" applyFont="1"/>
    <xf numFmtId="0" fontId="4" fillId="0" borderId="0" xfId="0" applyFont="1" applyAlignment="1">
      <alignment horizontal="center"/>
    </xf>
    <xf numFmtId="0" fontId="4" fillId="0" borderId="0" xfId="0" applyFont="1" applyAlignment="1">
      <alignment wrapText="1"/>
    </xf>
    <xf numFmtId="0" fontId="4" fillId="0" borderId="0" xfId="0" applyFont="1" applyAlignment="1">
      <alignment horizontal="left"/>
    </xf>
    <xf numFmtId="0" fontId="4" fillId="0" borderId="4" xfId="0" applyFont="1" applyBorder="1"/>
    <xf numFmtId="0" fontId="7" fillId="0" borderId="0" xfId="0" applyFont="1" applyAlignment="1">
      <alignment horizontal="center" vertical="center" wrapText="1"/>
    </xf>
    <xf numFmtId="0" fontId="4" fillId="0" borderId="0" xfId="0" applyFont="1" applyAlignment="1">
      <alignment horizontal="left" vertical="center"/>
    </xf>
    <xf numFmtId="0" fontId="8" fillId="0" borderId="0" xfId="0" applyFont="1"/>
    <xf numFmtId="0" fontId="4" fillId="0" borderId="13" xfId="0" applyFont="1" applyBorder="1"/>
    <xf numFmtId="0" fontId="4" fillId="0" borderId="10" xfId="0" applyFont="1" applyBorder="1"/>
    <xf numFmtId="14" fontId="7" fillId="0" borderId="0" xfId="2" applyFont="1" applyFill="1" applyAlignment="1">
      <alignment horizontal="center" vertical="center" wrapText="1"/>
    </xf>
    <xf numFmtId="0" fontId="7" fillId="0" borderId="0" xfId="1" applyFont="1" applyFill="1" applyAlignment="1">
      <alignment horizontal="center" vertical="center" wrapText="1"/>
    </xf>
    <xf numFmtId="0" fontId="7" fillId="0" borderId="0" xfId="1" applyFont="1" applyFill="1" applyBorder="1" applyAlignment="1">
      <alignment horizontal="center" vertical="center" wrapText="1"/>
    </xf>
    <xf numFmtId="14" fontId="7" fillId="0" borderId="0" xfId="2" applyFont="1" applyFill="1" applyBorder="1" applyAlignment="1">
      <alignment horizontal="center" vertical="center" wrapText="1"/>
    </xf>
    <xf numFmtId="0" fontId="8" fillId="5" borderId="0" xfId="0" applyFont="1" applyFill="1" applyAlignment="1">
      <alignment horizontal="left" vertical="center"/>
    </xf>
    <xf numFmtId="0" fontId="8" fillId="5" borderId="0" xfId="0" applyFont="1" applyFill="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10" fillId="0" borderId="0" xfId="0" applyFont="1"/>
    <xf numFmtId="0" fontId="7" fillId="5" borderId="13" xfId="0" applyFont="1" applyFill="1" applyBorder="1" applyAlignment="1">
      <alignment horizontal="center" vertical="center"/>
    </xf>
    <xf numFmtId="10" fontId="4" fillId="0" borderId="0" xfId="0" applyNumberFormat="1" applyFont="1"/>
    <xf numFmtId="164" fontId="4" fillId="0" borderId="0" xfId="0" applyNumberFormat="1" applyFont="1"/>
    <xf numFmtId="164" fontId="4" fillId="0" borderId="0" xfId="0" applyNumberFormat="1" applyFont="1" applyAlignment="1">
      <alignment horizontal="center" vertical="center"/>
    </xf>
    <xf numFmtId="2" fontId="14" fillId="5" borderId="0" xfId="6" applyNumberFormat="1" applyFont="1" applyFill="1" applyBorder="1" applyAlignment="1">
      <alignment horizontal="right"/>
    </xf>
    <xf numFmtId="0" fontId="4" fillId="0" borderId="64" xfId="0" applyFont="1" applyBorder="1" applyAlignment="1">
      <alignment vertical="center"/>
    </xf>
    <xf numFmtId="0" fontId="4" fillId="0" borderId="65" xfId="0" applyFont="1" applyBorder="1"/>
    <xf numFmtId="0" fontId="15" fillId="6" borderId="0" xfId="0" applyFont="1" applyFill="1" applyAlignment="1">
      <alignment horizontal="left"/>
    </xf>
    <xf numFmtId="0" fontId="4" fillId="10" borderId="0" xfId="0" applyFont="1" applyFill="1"/>
    <xf numFmtId="0" fontId="9" fillId="0" borderId="48" xfId="0" applyFont="1" applyBorder="1"/>
    <xf numFmtId="0" fontId="9" fillId="0" borderId="49" xfId="0" applyFont="1" applyBorder="1"/>
    <xf numFmtId="10" fontId="14" fillId="6" borderId="50" xfId="5" applyNumberFormat="1" applyFont="1" applyFill="1" applyBorder="1" applyAlignment="1" applyProtection="1">
      <alignment horizontal="center"/>
    </xf>
    <xf numFmtId="0" fontId="4" fillId="10" borderId="48" xfId="0" applyFont="1" applyFill="1" applyBorder="1"/>
    <xf numFmtId="0" fontId="4" fillId="10" borderId="46" xfId="0" applyFont="1" applyFill="1" applyBorder="1"/>
    <xf numFmtId="3" fontId="9" fillId="6" borderId="50" xfId="0" applyNumberFormat="1" applyFont="1" applyFill="1" applyBorder="1" applyAlignment="1">
      <alignment horizontal="center"/>
    </xf>
    <xf numFmtId="3" fontId="9" fillId="11" borderId="50" xfId="0" applyNumberFormat="1" applyFont="1" applyFill="1" applyBorder="1" applyAlignment="1">
      <alignment horizontal="center"/>
    </xf>
    <xf numFmtId="0" fontId="9" fillId="0" borderId="48" xfId="0" applyFont="1" applyBorder="1" applyAlignment="1">
      <alignment horizontal="right"/>
    </xf>
    <xf numFmtId="0" fontId="9" fillId="0" borderId="49" xfId="0" applyFont="1" applyBorder="1" applyAlignment="1">
      <alignment horizontal="right"/>
    </xf>
    <xf numFmtId="0" fontId="9" fillId="0" borderId="51" xfId="0" applyFont="1" applyBorder="1"/>
    <xf numFmtId="0" fontId="9" fillId="0" borderId="52" xfId="0" applyFont="1" applyBorder="1"/>
    <xf numFmtId="3" fontId="9" fillId="6" borderId="53" xfId="0" applyNumberFormat="1" applyFont="1" applyFill="1" applyBorder="1" applyAlignment="1">
      <alignment horizontal="center"/>
    </xf>
    <xf numFmtId="0" fontId="4" fillId="10" borderId="0" xfId="0" applyFont="1" applyFill="1" applyAlignment="1">
      <alignment horizontal="center"/>
    </xf>
    <xf numFmtId="0" fontId="16" fillId="10" borderId="0" xfId="0" applyFont="1" applyFill="1" applyAlignment="1">
      <alignment horizontal="left"/>
    </xf>
    <xf numFmtId="3" fontId="9" fillId="6" borderId="54" xfId="0" applyNumberFormat="1" applyFont="1" applyFill="1" applyBorder="1" applyAlignment="1">
      <alignment horizontal="center"/>
    </xf>
    <xf numFmtId="0" fontId="4" fillId="0" borderId="41" xfId="0" applyFont="1" applyBorder="1"/>
    <xf numFmtId="0" fontId="4" fillId="0" borderId="42" xfId="0" applyFont="1" applyBorder="1"/>
    <xf numFmtId="0" fontId="9" fillId="0" borderId="48" xfId="0" quotePrefix="1" applyFont="1" applyBorder="1" applyAlignment="1">
      <alignment horizontal="right"/>
    </xf>
    <xf numFmtId="0" fontId="9" fillId="0" borderId="49" xfId="0" quotePrefix="1" applyFont="1" applyBorder="1" applyAlignment="1">
      <alignment horizontal="right"/>
    </xf>
    <xf numFmtId="10" fontId="9" fillId="6" borderId="50" xfId="5" applyNumberFormat="1" applyFont="1" applyFill="1" applyBorder="1" applyAlignment="1" applyProtection="1">
      <alignment horizontal="center"/>
    </xf>
    <xf numFmtId="0" fontId="9" fillId="0" borderId="0" xfId="0" applyFont="1"/>
    <xf numFmtId="0" fontId="9" fillId="10" borderId="0" xfId="0" applyFont="1" applyFill="1" applyAlignment="1">
      <alignment horizontal="left"/>
    </xf>
    <xf numFmtId="0" fontId="4" fillId="0" borderId="58" xfId="0" applyFont="1" applyBorder="1"/>
    <xf numFmtId="164" fontId="4" fillId="0" borderId="0" xfId="0" applyNumberFormat="1" applyFont="1" applyAlignment="1">
      <alignment horizontal="center"/>
    </xf>
    <xf numFmtId="164" fontId="4" fillId="0" borderId="0" xfId="7" applyNumberFormat="1" applyFont="1" applyBorder="1" applyAlignment="1">
      <alignment horizontal="center"/>
    </xf>
    <xf numFmtId="0" fontId="16" fillId="12" borderId="55" xfId="0" applyFont="1" applyFill="1" applyBorder="1" applyAlignment="1">
      <alignment horizontal="right" indent="1"/>
    </xf>
    <xf numFmtId="0" fontId="16" fillId="12" borderId="59" xfId="0" applyFont="1" applyFill="1" applyBorder="1" applyAlignment="1">
      <alignment horizontal="right" indent="1"/>
    </xf>
    <xf numFmtId="0" fontId="16" fillId="12" borderId="68" xfId="0" applyFont="1" applyFill="1" applyBorder="1" applyAlignment="1">
      <alignment horizontal="center"/>
    </xf>
    <xf numFmtId="1" fontId="16" fillId="12" borderId="69" xfId="0" applyNumberFormat="1" applyFont="1" applyFill="1" applyBorder="1" applyAlignment="1">
      <alignment horizontal="center"/>
    </xf>
    <xf numFmtId="0" fontId="16" fillId="12" borderId="70" xfId="0" applyFont="1" applyFill="1" applyBorder="1" applyAlignment="1">
      <alignment horizontal="center"/>
    </xf>
    <xf numFmtId="0" fontId="11" fillId="6" borderId="67" xfId="0" applyFont="1" applyFill="1" applyBorder="1" applyAlignment="1">
      <alignment horizontal="left"/>
    </xf>
    <xf numFmtId="0" fontId="11" fillId="0" borderId="0" xfId="0" applyFont="1"/>
    <xf numFmtId="0" fontId="4" fillId="0" borderId="56" xfId="0" applyFont="1" applyBorder="1"/>
    <xf numFmtId="164" fontId="4" fillId="0" borderId="57" xfId="7" applyNumberFormat="1" applyFont="1" applyBorder="1" applyAlignment="1">
      <alignment horizontal="center" vertical="center"/>
    </xf>
    <xf numFmtId="164" fontId="4" fillId="0" borderId="58" xfId="7" applyNumberFormat="1" applyFont="1" applyBorder="1" applyAlignment="1">
      <alignment horizontal="center" vertical="center"/>
    </xf>
    <xf numFmtId="164" fontId="4" fillId="6" borderId="0" xfId="7" applyNumberFormat="1" applyFont="1" applyFill="1" applyBorder="1" applyAlignment="1">
      <alignment horizontal="center"/>
    </xf>
    <xf numFmtId="0" fontId="4" fillId="0" borderId="41" xfId="0" quotePrefix="1" applyFont="1" applyBorder="1"/>
    <xf numFmtId="0" fontId="11" fillId="6" borderId="47" xfId="0" applyFont="1" applyFill="1" applyBorder="1" applyAlignment="1">
      <alignment horizontal="left"/>
    </xf>
    <xf numFmtId="0" fontId="9" fillId="0" borderId="71" xfId="0" applyFont="1" applyBorder="1"/>
    <xf numFmtId="0" fontId="9" fillId="0" borderId="72" xfId="0" applyFont="1" applyBorder="1"/>
    <xf numFmtId="10" fontId="9" fillId="6" borderId="54" xfId="5" applyNumberFormat="1" applyFont="1" applyFill="1" applyBorder="1" applyAlignment="1" applyProtection="1">
      <alignment horizontal="center"/>
    </xf>
    <xf numFmtId="10" fontId="9" fillId="11" borderId="54" xfId="5" applyNumberFormat="1" applyFont="1" applyFill="1" applyBorder="1" applyAlignment="1" applyProtection="1">
      <alignment horizontal="center"/>
    </xf>
    <xf numFmtId="10" fontId="9" fillId="11" borderId="72" xfId="5" applyNumberFormat="1" applyFont="1" applyFill="1" applyBorder="1" applyAlignment="1" applyProtection="1">
      <alignment horizontal="center"/>
    </xf>
    <xf numFmtId="1" fontId="16" fillId="12" borderId="73" xfId="0" applyNumberFormat="1" applyFont="1" applyFill="1" applyBorder="1" applyAlignment="1">
      <alignment horizontal="center"/>
    </xf>
    <xf numFmtId="164" fontId="4" fillId="0" borderId="0" xfId="7" applyNumberFormat="1" applyFont="1" applyBorder="1" applyAlignment="1">
      <alignment horizontal="center" vertical="center"/>
    </xf>
    <xf numFmtId="164" fontId="4" fillId="0" borderId="42" xfId="7" applyNumberFormat="1" applyFont="1" applyBorder="1" applyAlignment="1">
      <alignment horizontal="center" vertical="center"/>
    </xf>
    <xf numFmtId="2" fontId="4" fillId="0" borderId="0" xfId="0" applyNumberFormat="1" applyFont="1" applyAlignment="1">
      <alignment horizontal="center" vertical="center"/>
    </xf>
    <xf numFmtId="165" fontId="4" fillId="6" borderId="0" xfId="0" applyNumberFormat="1" applyFont="1" applyFill="1" applyAlignment="1">
      <alignment horizontal="center" vertical="center"/>
    </xf>
    <xf numFmtId="0" fontId="11" fillId="0" borderId="13" xfId="0" applyFont="1" applyBorder="1"/>
    <xf numFmtId="0" fontId="11" fillId="6" borderId="13" xfId="0" applyFont="1" applyFill="1" applyBorder="1" applyAlignment="1">
      <alignment horizontal="left"/>
    </xf>
    <xf numFmtId="0" fontId="17" fillId="6" borderId="13" xfId="0" applyFont="1" applyFill="1" applyBorder="1" applyAlignment="1">
      <alignment horizontal="left"/>
    </xf>
    <xf numFmtId="0" fontId="4" fillId="10" borderId="13" xfId="0" applyFont="1" applyFill="1" applyBorder="1" applyAlignment="1">
      <alignment horizontal="left"/>
    </xf>
    <xf numFmtId="0" fontId="4" fillId="10" borderId="13" xfId="0" applyFont="1" applyFill="1" applyBorder="1"/>
    <xf numFmtId="0" fontId="4" fillId="0" borderId="6" xfId="0" applyFont="1" applyBorder="1"/>
    <xf numFmtId="164" fontId="4" fillId="0" borderId="9" xfId="0" applyNumberFormat="1" applyFont="1" applyBorder="1"/>
    <xf numFmtId="0" fontId="4" fillId="0" borderId="5" xfId="0" quotePrefix="1" applyFont="1" applyBorder="1" applyAlignment="1">
      <alignment horizontal="right"/>
    </xf>
    <xf numFmtId="164" fontId="4" fillId="0" borderId="1" xfId="0" applyNumberFormat="1" applyFont="1" applyBorder="1"/>
    <xf numFmtId="0" fontId="4" fillId="0" borderId="11" xfId="0" applyFont="1" applyBorder="1"/>
    <xf numFmtId="164" fontId="6" fillId="0" borderId="12" xfId="0" applyNumberFormat="1" applyFont="1" applyBorder="1"/>
    <xf numFmtId="0" fontId="4" fillId="0" borderId="5" xfId="0" applyFont="1" applyBorder="1"/>
    <xf numFmtId="164" fontId="4" fillId="0" borderId="5" xfId="0" applyNumberFormat="1" applyFont="1" applyBorder="1"/>
    <xf numFmtId="0" fontId="11" fillId="0" borderId="6" xfId="0" applyFont="1" applyBorder="1"/>
    <xf numFmtId="164" fontId="4" fillId="0" borderId="12" xfId="0" applyNumberFormat="1" applyFont="1" applyBorder="1"/>
    <xf numFmtId="0" fontId="11" fillId="6" borderId="74" xfId="0" applyFont="1" applyFill="1" applyBorder="1" applyAlignment="1">
      <alignment horizontal="left"/>
    </xf>
    <xf numFmtId="0" fontId="4" fillId="0" borderId="57" xfId="0" applyFont="1" applyBorder="1"/>
    <xf numFmtId="0" fontId="11" fillId="0" borderId="75" xfId="0" applyFont="1" applyBorder="1"/>
    <xf numFmtId="0" fontId="6" fillId="0" borderId="63" xfId="0" applyFont="1" applyBorder="1"/>
    <xf numFmtId="0" fontId="4" fillId="0" borderId="45" xfId="0" applyFont="1" applyBorder="1"/>
    <xf numFmtId="0" fontId="11" fillId="6" borderId="75" xfId="0" applyFont="1" applyFill="1" applyBorder="1" applyAlignment="1">
      <alignment horizontal="left"/>
    </xf>
    <xf numFmtId="0" fontId="4" fillId="0" borderId="44" xfId="0" applyFont="1" applyBorder="1"/>
    <xf numFmtId="0" fontId="6" fillId="0" borderId="42" xfId="0" applyFont="1" applyBorder="1"/>
    <xf numFmtId="0" fontId="4" fillId="0" borderId="42" xfId="0" quotePrefix="1" applyFont="1" applyBorder="1"/>
    <xf numFmtId="0" fontId="4" fillId="0" borderId="63" xfId="0" applyFont="1" applyBorder="1"/>
    <xf numFmtId="0" fontId="6" fillId="0" borderId="45" xfId="0" applyFont="1" applyBorder="1"/>
    <xf numFmtId="164" fontId="6" fillId="0" borderId="11" xfId="0" applyNumberFormat="1" applyFont="1" applyBorder="1"/>
    <xf numFmtId="164" fontId="4" fillId="0" borderId="11" xfId="0" applyNumberFormat="1" applyFont="1" applyBorder="1"/>
    <xf numFmtId="0" fontId="6" fillId="0" borderId="6" xfId="0" applyFont="1" applyBorder="1"/>
    <xf numFmtId="164" fontId="4" fillId="0" borderId="12" xfId="0" applyNumberFormat="1" applyFont="1" applyBorder="1" applyAlignment="1">
      <alignment horizontal="center"/>
    </xf>
    <xf numFmtId="44" fontId="4" fillId="0" borderId="0" xfId="0" applyNumberFormat="1" applyFont="1"/>
    <xf numFmtId="0" fontId="8" fillId="5" borderId="10" xfId="0" applyFont="1" applyFill="1" applyBorder="1"/>
    <xf numFmtId="2" fontId="14" fillId="5" borderId="10" xfId="6" applyNumberFormat="1" applyFont="1" applyFill="1" applyBorder="1" applyAlignment="1">
      <alignment horizontal="right"/>
    </xf>
    <xf numFmtId="164" fontId="8" fillId="0" borderId="0" xfId="0" applyNumberFormat="1" applyFont="1"/>
    <xf numFmtId="0" fontId="4" fillId="0" borderId="77" xfId="0" applyFont="1" applyBorder="1" applyAlignment="1">
      <alignment vertical="center"/>
    </xf>
    <xf numFmtId="0" fontId="4" fillId="0" borderId="77" xfId="0" applyFont="1" applyBorder="1"/>
    <xf numFmtId="0" fontId="8" fillId="5" borderId="0" xfId="0" applyFont="1" applyFill="1" applyAlignment="1" applyProtection="1">
      <alignment horizontal="center" vertical="center"/>
      <protection locked="0"/>
    </xf>
    <xf numFmtId="164" fontId="4" fillId="0" borderId="42" xfId="0" applyNumberFormat="1" applyFont="1" applyBorder="1"/>
    <xf numFmtId="164" fontId="4" fillId="0" borderId="10" xfId="0" applyNumberFormat="1" applyFont="1" applyBorder="1"/>
    <xf numFmtId="0" fontId="18" fillId="0" borderId="0" xfId="0" applyFont="1" applyAlignment="1">
      <alignment horizontal="center" vertical="center"/>
    </xf>
    <xf numFmtId="168" fontId="18" fillId="0" borderId="0" xfId="0" applyNumberFormat="1" applyFont="1" applyAlignment="1">
      <alignment horizontal="center" vertical="center"/>
    </xf>
    <xf numFmtId="0" fontId="7" fillId="5" borderId="22" xfId="0" applyFont="1" applyFill="1" applyBorder="1"/>
    <xf numFmtId="0" fontId="8" fillId="5" borderId="0" xfId="0" applyFont="1" applyFill="1" applyAlignment="1">
      <alignment vertical="center" wrapText="1"/>
    </xf>
    <xf numFmtId="0" fontId="7" fillId="5" borderId="0" xfId="0" applyFont="1" applyFill="1"/>
    <xf numFmtId="0" fontId="8" fillId="5" borderId="0" xfId="0" applyFont="1" applyFill="1"/>
    <xf numFmtId="0" fontId="13" fillId="5" borderId="0" xfId="0" applyFont="1" applyFill="1"/>
    <xf numFmtId="0" fontId="8" fillId="5" borderId="4" xfId="0" applyFont="1" applyFill="1" applyBorder="1"/>
    <xf numFmtId="0" fontId="8" fillId="5" borderId="22" xfId="0" applyFont="1" applyFill="1" applyBorder="1" applyAlignment="1">
      <alignment horizontal="left" vertical="center"/>
    </xf>
    <xf numFmtId="0" fontId="8" fillId="5" borderId="0" xfId="0" applyFont="1" applyFill="1" applyAlignment="1">
      <alignment vertical="center"/>
    </xf>
    <xf numFmtId="0" fontId="8" fillId="5" borderId="0" xfId="0" applyFont="1" applyFill="1" applyAlignment="1" applyProtection="1">
      <alignment vertical="center"/>
      <protection locked="0"/>
    </xf>
    <xf numFmtId="0" fontId="14" fillId="5" borderId="0" xfId="0" applyFont="1" applyFill="1"/>
    <xf numFmtId="2" fontId="14" fillId="5" borderId="0" xfId="0" applyNumberFormat="1" applyFont="1" applyFill="1" applyAlignment="1">
      <alignment horizontal="right"/>
    </xf>
    <xf numFmtId="0" fontId="8" fillId="5" borderId="22" xfId="0" applyFont="1" applyFill="1" applyBorder="1"/>
    <xf numFmtId="1" fontId="8" fillId="5" borderId="0" xfId="0" applyNumberFormat="1" applyFont="1" applyFill="1" applyAlignment="1">
      <alignment horizontal="right" vertical="center"/>
    </xf>
    <xf numFmtId="164" fontId="8" fillId="5" borderId="0" xfId="0" applyNumberFormat="1" applyFont="1" applyFill="1"/>
    <xf numFmtId="0" fontId="8" fillId="5" borderId="0" xfId="0" applyFont="1" applyFill="1" applyAlignment="1">
      <alignment horizontal="left"/>
    </xf>
    <xf numFmtId="0" fontId="7" fillId="5" borderId="22" xfId="0" applyFont="1" applyFill="1" applyBorder="1" applyAlignment="1">
      <alignment vertical="center"/>
    </xf>
    <xf numFmtId="0" fontId="14" fillId="5" borderId="0" xfId="0" applyFont="1" applyFill="1" applyAlignment="1">
      <alignment horizontal="left"/>
    </xf>
    <xf numFmtId="0" fontId="8" fillId="5" borderId="32" xfId="0" applyFont="1" applyFill="1" applyBorder="1"/>
    <xf numFmtId="0" fontId="8" fillId="5" borderId="28" xfId="0" applyFont="1" applyFill="1" applyBorder="1"/>
    <xf numFmtId="0" fontId="8" fillId="5" borderId="31" xfId="0" applyFont="1" applyFill="1" applyBorder="1"/>
    <xf numFmtId="0" fontId="14" fillId="5" borderId="10" xfId="0" applyFont="1" applyFill="1" applyBorder="1"/>
    <xf numFmtId="0" fontId="14" fillId="5" borderId="10" xfId="0" applyFont="1" applyFill="1" applyBorder="1" applyAlignment="1">
      <alignment horizontal="left" wrapText="1"/>
    </xf>
    <xf numFmtId="0" fontId="8" fillId="5" borderId="7" xfId="0" applyFont="1" applyFill="1" applyBorder="1"/>
    <xf numFmtId="0" fontId="7" fillId="5" borderId="15" xfId="0" applyFont="1" applyFill="1" applyBorder="1"/>
    <xf numFmtId="0" fontId="4" fillId="0" borderId="0" xfId="0" applyFont="1" applyAlignment="1">
      <alignment horizontal="right"/>
    </xf>
    <xf numFmtId="0" fontId="5" fillId="0" borderId="0" xfId="0" applyFont="1" applyAlignment="1">
      <alignment horizontal="center" vertical="center" wrapText="1"/>
    </xf>
    <xf numFmtId="0" fontId="5" fillId="0" borderId="0" xfId="0" applyFont="1" applyAlignment="1">
      <alignment vertical="center" wrapText="1"/>
    </xf>
    <xf numFmtId="2" fontId="4" fillId="0" borderId="0" xfId="0" applyNumberFormat="1" applyFont="1" applyAlignment="1">
      <alignment wrapText="1"/>
    </xf>
    <xf numFmtId="0" fontId="4" fillId="0" borderId="0" xfId="0" applyFont="1" applyAlignment="1">
      <alignment horizontal="center" wrapText="1"/>
    </xf>
    <xf numFmtId="169" fontId="4" fillId="0" borderId="0" xfId="0" applyNumberFormat="1" applyFont="1" applyAlignment="1">
      <alignment wrapText="1"/>
    </xf>
    <xf numFmtId="1" fontId="4" fillId="0" borderId="0" xfId="0" applyNumberFormat="1" applyFont="1" applyAlignment="1">
      <alignment wrapText="1"/>
    </xf>
    <xf numFmtId="0" fontId="6" fillId="0" borderId="82" xfId="0" applyFont="1" applyBorder="1" applyAlignment="1">
      <alignment horizontal="center" wrapText="1"/>
    </xf>
    <xf numFmtId="0" fontId="6" fillId="0" borderId="0" xfId="0" applyFont="1" applyAlignment="1">
      <alignment horizontal="center" wrapText="1"/>
    </xf>
    <xf numFmtId="0" fontId="6" fillId="0" borderId="80" xfId="0" applyFont="1" applyBorder="1" applyAlignment="1">
      <alignment wrapText="1"/>
    </xf>
    <xf numFmtId="0" fontId="4" fillId="0" borderId="80" xfId="0" applyFont="1" applyBorder="1" applyAlignment="1">
      <alignment wrapText="1"/>
    </xf>
    <xf numFmtId="0" fontId="6" fillId="0" borderId="83" xfId="0" applyFont="1" applyBorder="1"/>
    <xf numFmtId="0" fontId="6" fillId="0" borderId="82" xfId="0" applyFont="1" applyBorder="1" applyAlignment="1">
      <alignment wrapText="1"/>
    </xf>
    <xf numFmtId="0" fontId="4" fillId="0" borderId="82" xfId="0" applyFont="1" applyBorder="1"/>
    <xf numFmtId="0" fontId="4" fillId="13" borderId="84" xfId="0" applyFont="1" applyFill="1" applyBorder="1"/>
    <xf numFmtId="0" fontId="4" fillId="13" borderId="81" xfId="0" applyFont="1" applyFill="1" applyBorder="1"/>
    <xf numFmtId="0" fontId="4" fillId="0" borderId="84" xfId="0" applyFont="1" applyBorder="1"/>
    <xf numFmtId="0" fontId="4" fillId="0" borderId="81" xfId="0" applyFont="1" applyBorder="1"/>
    <xf numFmtId="0" fontId="4" fillId="0" borderId="0" xfId="0" applyFont="1" applyAlignment="1">
      <alignment vertical="center" textRotation="90"/>
    </xf>
    <xf numFmtId="2" fontId="4" fillId="0" borderId="0" xfId="0" applyNumberFormat="1" applyFont="1" applyAlignment="1">
      <alignment horizontal="center"/>
    </xf>
    <xf numFmtId="170" fontId="4" fillId="0" borderId="0" xfId="0" applyNumberFormat="1" applyFont="1"/>
    <xf numFmtId="165" fontId="4" fillId="0" borderId="0" xfId="0" applyNumberFormat="1" applyFont="1"/>
    <xf numFmtId="0" fontId="31" fillId="0" borderId="0" xfId="0" applyFont="1"/>
    <xf numFmtId="0" fontId="8" fillId="0" borderId="0" xfId="0" applyFont="1" applyAlignment="1">
      <alignment wrapText="1"/>
    </xf>
    <xf numFmtId="0" fontId="8" fillId="5" borderId="0" xfId="0" applyFont="1" applyFill="1" applyAlignment="1" applyProtection="1">
      <alignment horizontal="center" vertical="center" wrapText="1"/>
      <protection locked="0"/>
    </xf>
    <xf numFmtId="0" fontId="8" fillId="5" borderId="28" xfId="0" applyFont="1" applyFill="1" applyBorder="1" applyAlignment="1" applyProtection="1">
      <alignment horizontal="center" vertical="center" wrapText="1"/>
      <protection locked="0"/>
    </xf>
    <xf numFmtId="0" fontId="8" fillId="0" borderId="0" xfId="0" applyFont="1" applyAlignment="1">
      <alignment horizontal="left"/>
    </xf>
    <xf numFmtId="10" fontId="4" fillId="0" borderId="65" xfId="0" applyNumberFormat="1" applyFont="1" applyBorder="1"/>
    <xf numFmtId="9" fontId="4" fillId="0" borderId="65" xfId="0" applyNumberFormat="1" applyFont="1" applyBorder="1"/>
    <xf numFmtId="0" fontId="4" fillId="0" borderId="64" xfId="0" applyFont="1" applyBorder="1"/>
    <xf numFmtId="0" fontId="4" fillId="0" borderId="66" xfId="0" applyFont="1" applyBorder="1"/>
    <xf numFmtId="0" fontId="8" fillId="0" borderId="35" xfId="0" applyFont="1" applyBorder="1"/>
    <xf numFmtId="0" fontId="8" fillId="4" borderId="10" xfId="0" applyFont="1" applyFill="1" applyBorder="1" applyAlignment="1">
      <alignment vertical="center"/>
    </xf>
    <xf numFmtId="0" fontId="7" fillId="5" borderId="0" xfId="0" applyFont="1" applyFill="1" applyAlignment="1">
      <alignment horizontal="center" vertical="center" wrapText="1"/>
    </xf>
    <xf numFmtId="0" fontId="8" fillId="3" borderId="13" xfId="0" applyFont="1" applyFill="1" applyBorder="1" applyAlignment="1">
      <alignment horizontal="center" vertical="center"/>
    </xf>
    <xf numFmtId="0" fontId="8" fillId="5" borderId="0" xfId="0" applyFont="1" applyFill="1" applyAlignment="1" applyProtection="1">
      <alignment vertical="center" wrapText="1"/>
      <protection locked="0"/>
    </xf>
    <xf numFmtId="0" fontId="8" fillId="5" borderId="0" xfId="0" applyFont="1" applyFill="1" applyProtection="1">
      <protection locked="0"/>
    </xf>
    <xf numFmtId="0" fontId="8" fillId="0" borderId="29" xfId="0" applyFont="1" applyBorder="1"/>
    <xf numFmtId="165" fontId="4" fillId="0" borderId="0" xfId="0" applyNumberFormat="1" applyFont="1" applyAlignment="1">
      <alignment horizontal="right"/>
    </xf>
    <xf numFmtId="9" fontId="4" fillId="0" borderId="0" xfId="0" applyNumberFormat="1" applyFont="1"/>
    <xf numFmtId="3" fontId="4" fillId="0" borderId="0" xfId="0" applyNumberFormat="1" applyFont="1"/>
    <xf numFmtId="1" fontId="4" fillId="0" borderId="0" xfId="0" applyNumberFormat="1" applyFont="1"/>
    <xf numFmtId="2" fontId="4" fillId="0" borderId="0" xfId="0" applyNumberFormat="1" applyFont="1"/>
    <xf numFmtId="0" fontId="8" fillId="5" borderId="42" xfId="0" applyFont="1" applyFill="1" applyBorder="1" applyAlignment="1">
      <alignment horizontal="center" vertical="center"/>
    </xf>
    <xf numFmtId="0" fontId="8" fillId="5" borderId="42" xfId="0" applyFont="1" applyFill="1" applyBorder="1"/>
    <xf numFmtId="0" fontId="8" fillId="5" borderId="42" xfId="0" applyFont="1" applyFill="1" applyBorder="1" applyAlignment="1">
      <alignment vertical="center"/>
    </xf>
    <xf numFmtId="0" fontId="8" fillId="5" borderId="42" xfId="0" applyFont="1" applyFill="1" applyBorder="1" applyAlignment="1">
      <alignment horizontal="left" vertical="center"/>
    </xf>
    <xf numFmtId="0" fontId="8" fillId="5" borderId="63" xfId="0" applyFont="1" applyFill="1" applyBorder="1"/>
    <xf numFmtId="0" fontId="8" fillId="5" borderId="42" xfId="0" applyFont="1" applyFill="1" applyBorder="1" applyAlignment="1">
      <alignment horizontal="left"/>
    </xf>
    <xf numFmtId="0" fontId="8" fillId="5" borderId="91" xfId="0" applyFont="1" applyFill="1" applyBorder="1"/>
    <xf numFmtId="165" fontId="7" fillId="5" borderId="42" xfId="0" applyNumberFormat="1" applyFont="1" applyFill="1" applyBorder="1" applyAlignment="1">
      <alignment horizontal="center" vertical="center"/>
    </xf>
    <xf numFmtId="0" fontId="14" fillId="5" borderId="42" xfId="0" applyFont="1" applyFill="1" applyBorder="1"/>
    <xf numFmtId="0" fontId="14" fillId="5" borderId="45" xfId="0" applyFont="1" applyFill="1" applyBorder="1"/>
    <xf numFmtId="0" fontId="8" fillId="5" borderId="45" xfId="0" applyFont="1" applyFill="1" applyBorder="1"/>
    <xf numFmtId="0" fontId="8" fillId="5" borderId="91" xfId="0" applyFont="1" applyFill="1" applyBorder="1" applyAlignment="1">
      <alignment horizontal="left" vertical="center"/>
    </xf>
    <xf numFmtId="0" fontId="8" fillId="5" borderId="28" xfId="0" applyFont="1" applyFill="1" applyBorder="1" applyAlignment="1">
      <alignment horizontal="center" vertical="center"/>
    </xf>
    <xf numFmtId="0" fontId="8" fillId="5" borderId="11" xfId="0" applyFont="1" applyFill="1" applyBorder="1"/>
    <xf numFmtId="0" fontId="7" fillId="5" borderId="3" xfId="0" applyFont="1" applyFill="1" applyBorder="1" applyAlignment="1">
      <alignment vertical="center"/>
    </xf>
    <xf numFmtId="0" fontId="7" fillId="5" borderId="13" xfId="0" applyFont="1" applyFill="1" applyBorder="1" applyAlignment="1">
      <alignment vertical="center" wrapText="1"/>
    </xf>
    <xf numFmtId="0" fontId="8" fillId="5" borderId="5" xfId="0" applyFont="1" applyFill="1" applyBorder="1" applyAlignment="1">
      <alignment vertical="center"/>
    </xf>
    <xf numFmtId="0" fontId="8" fillId="5" borderId="34" xfId="0" applyFont="1" applyFill="1" applyBorder="1" applyAlignment="1">
      <alignment vertical="center"/>
    </xf>
    <xf numFmtId="164" fontId="8" fillId="5" borderId="28" xfId="0" applyNumberFormat="1" applyFont="1" applyFill="1" applyBorder="1" applyAlignment="1">
      <alignment vertical="center"/>
    </xf>
    <xf numFmtId="0" fontId="39" fillId="5" borderId="10" xfId="0" applyFont="1" applyFill="1" applyBorder="1" applyAlignment="1">
      <alignment horizontal="center" vertical="center"/>
    </xf>
    <xf numFmtId="0" fontId="8" fillId="5" borderId="12" xfId="0" applyFont="1" applyFill="1" applyBorder="1" applyAlignment="1">
      <alignment vertical="center"/>
    </xf>
    <xf numFmtId="0" fontId="8" fillId="5" borderId="0" xfId="0" applyFont="1" applyFill="1" applyAlignment="1">
      <alignment horizontal="center" vertical="center" wrapText="1"/>
    </xf>
    <xf numFmtId="0" fontId="8" fillId="5" borderId="1" xfId="0" applyFont="1" applyFill="1" applyBorder="1" applyAlignment="1">
      <alignment horizontal="center" vertical="center"/>
    </xf>
    <xf numFmtId="0" fontId="8" fillId="5" borderId="37" xfId="0" applyFont="1" applyFill="1" applyBorder="1" applyAlignment="1">
      <alignment horizontal="center" vertical="center"/>
    </xf>
    <xf numFmtId="164" fontId="7" fillId="5" borderId="2" xfId="0" applyNumberFormat="1" applyFont="1" applyFill="1" applyBorder="1" applyAlignment="1">
      <alignment vertical="center"/>
    </xf>
    <xf numFmtId="164" fontId="8" fillId="5" borderId="1" xfId="0" applyNumberFormat="1" applyFont="1" applyFill="1" applyBorder="1" applyAlignment="1">
      <alignment vertical="center"/>
    </xf>
    <xf numFmtId="164" fontId="8" fillId="5" borderId="37" xfId="0" applyNumberFormat="1" applyFont="1" applyFill="1" applyBorder="1" applyAlignment="1">
      <alignment vertical="center"/>
    </xf>
    <xf numFmtId="0" fontId="8" fillId="5" borderId="12" xfId="0" applyFont="1" applyFill="1" applyBorder="1" applyAlignment="1">
      <alignment horizontal="right"/>
    </xf>
    <xf numFmtId="0" fontId="8" fillId="5" borderId="14" xfId="0" applyFont="1" applyFill="1" applyBorder="1" applyAlignment="1">
      <alignment horizontal="center" vertical="center"/>
    </xf>
    <xf numFmtId="0" fontId="8" fillId="5" borderId="10" xfId="0" applyFont="1" applyFill="1" applyBorder="1" applyAlignment="1">
      <alignment horizontal="right"/>
    </xf>
    <xf numFmtId="0" fontId="8" fillId="0" borderId="28" xfId="0" applyFont="1" applyBorder="1"/>
    <xf numFmtId="0" fontId="8" fillId="0" borderId="28" xfId="0" applyFont="1" applyBorder="1" applyAlignment="1">
      <alignment horizontal="center"/>
    </xf>
    <xf numFmtId="0" fontId="8" fillId="0" borderId="4" xfId="0" applyFont="1" applyBorder="1"/>
    <xf numFmtId="0" fontId="8" fillId="0" borderId="0" xfId="0" applyFont="1" applyAlignment="1">
      <alignment vertical="center"/>
    </xf>
    <xf numFmtId="0" fontId="8" fillId="0" borderId="30" xfId="0" applyFont="1" applyBorder="1"/>
    <xf numFmtId="0" fontId="7" fillId="4" borderId="18" xfId="0" applyFont="1" applyFill="1" applyBorder="1" applyAlignment="1">
      <alignment vertical="center"/>
    </xf>
    <xf numFmtId="0" fontId="8" fillId="4" borderId="13" xfId="0" applyFont="1" applyFill="1" applyBorder="1" applyAlignment="1">
      <alignment horizontal="center" vertical="center"/>
    </xf>
    <xf numFmtId="0" fontId="8" fillId="4" borderId="7" xfId="0" applyFont="1" applyFill="1" applyBorder="1" applyAlignment="1">
      <alignment horizontal="center" vertical="center"/>
    </xf>
    <xf numFmtId="0" fontId="8" fillId="2" borderId="13" xfId="0" applyFont="1" applyFill="1" applyBorder="1" applyAlignment="1">
      <alignment vertical="center"/>
    </xf>
    <xf numFmtId="0" fontId="7" fillId="3" borderId="13" xfId="0" applyFont="1" applyFill="1" applyBorder="1" applyAlignment="1">
      <alignment vertical="center"/>
    </xf>
    <xf numFmtId="0" fontId="8" fillId="3" borderId="13" xfId="0" applyFont="1" applyFill="1" applyBorder="1" applyAlignment="1">
      <alignment vertical="center"/>
    </xf>
    <xf numFmtId="0" fontId="8" fillId="3" borderId="19" xfId="0" applyFont="1" applyFill="1" applyBorder="1" applyAlignment="1">
      <alignment vertical="center"/>
    </xf>
    <xf numFmtId="0" fontId="7" fillId="5" borderId="0" xfId="0" applyFont="1" applyFill="1" applyAlignment="1">
      <alignment horizontal="center" vertical="center"/>
    </xf>
    <xf numFmtId="0" fontId="8" fillId="6" borderId="0" xfId="0" applyFont="1" applyFill="1" applyAlignment="1">
      <alignment horizontal="center" vertical="center"/>
    </xf>
    <xf numFmtId="0" fontId="8" fillId="5" borderId="1" xfId="0" applyFont="1" applyFill="1" applyBorder="1" applyAlignment="1">
      <alignment horizontal="center" vertical="center" wrapText="1"/>
    </xf>
    <xf numFmtId="2" fontId="8" fillId="5" borderId="0" xfId="0" applyNumberFormat="1" applyFont="1" applyFill="1" applyAlignment="1">
      <alignment horizontal="center" vertical="center"/>
    </xf>
    <xf numFmtId="0" fontId="8" fillId="5" borderId="4" xfId="0" applyFont="1" applyFill="1" applyBorder="1" applyAlignment="1">
      <alignment horizontal="center" vertical="center"/>
    </xf>
    <xf numFmtId="0" fontId="8" fillId="5" borderId="22" xfId="0" applyFont="1" applyFill="1" applyBorder="1" applyAlignment="1">
      <alignment vertical="center"/>
    </xf>
    <xf numFmtId="0" fontId="8" fillId="5" borderId="1" xfId="0" applyFont="1" applyFill="1" applyBorder="1" applyAlignment="1">
      <alignment horizontal="center"/>
    </xf>
    <xf numFmtId="0" fontId="8" fillId="5" borderId="21" xfId="0" applyFont="1" applyFill="1" applyBorder="1" applyAlignment="1">
      <alignment horizontal="center" vertical="center" wrapText="1"/>
    </xf>
    <xf numFmtId="0" fontId="8" fillId="5" borderId="4" xfId="0" applyFont="1" applyFill="1" applyBorder="1" applyProtection="1">
      <protection locked="0"/>
    </xf>
    <xf numFmtId="0" fontId="8" fillId="6" borderId="0" xfId="0" applyFont="1" applyFill="1"/>
    <xf numFmtId="0" fontId="8" fillId="5" borderId="17" xfId="0" applyFont="1" applyFill="1" applyBorder="1" applyAlignment="1">
      <alignment horizontal="left" vertical="center"/>
    </xf>
    <xf numFmtId="0" fontId="8" fillId="5" borderId="24" xfId="0" applyFont="1" applyFill="1" applyBorder="1" applyAlignment="1">
      <alignment horizontal="center" vertical="center" wrapText="1"/>
    </xf>
    <xf numFmtId="0" fontId="7" fillId="5" borderId="4" xfId="0" applyFont="1" applyFill="1" applyBorder="1" applyAlignment="1">
      <alignment horizontal="center" vertical="center"/>
    </xf>
    <xf numFmtId="0" fontId="8" fillId="5" borderId="14" xfId="0" applyFont="1" applyFill="1" applyBorder="1"/>
    <xf numFmtId="0" fontId="7" fillId="5" borderId="7" xfId="0" applyFont="1" applyFill="1" applyBorder="1" applyAlignment="1">
      <alignment horizontal="center" vertical="center"/>
    </xf>
    <xf numFmtId="1" fontId="8" fillId="5" borderId="0" xfId="0" applyNumberFormat="1" applyFont="1" applyFill="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40" fillId="0" borderId="22" xfId="0" applyFont="1" applyBorder="1" applyAlignment="1">
      <alignment vertical="center"/>
    </xf>
    <xf numFmtId="0" fontId="8" fillId="0" borderId="13" xfId="0" applyFont="1" applyBorder="1"/>
    <xf numFmtId="0" fontId="8" fillId="0" borderId="10" xfId="0" applyFont="1" applyBorder="1"/>
    <xf numFmtId="0" fontId="8" fillId="0" borderId="19" xfId="0" applyFont="1" applyBorder="1"/>
    <xf numFmtId="0" fontId="7" fillId="2" borderId="13" xfId="0" applyFont="1" applyFill="1" applyBorder="1" applyAlignment="1">
      <alignment vertical="center"/>
    </xf>
    <xf numFmtId="0" fontId="7" fillId="3" borderId="18" xfId="0" applyFont="1" applyFill="1" applyBorder="1" applyAlignment="1">
      <alignment vertical="center"/>
    </xf>
    <xf numFmtId="0" fontId="7" fillId="5" borderId="15" xfId="0" applyFont="1" applyFill="1" applyBorder="1" applyAlignment="1">
      <alignment vertical="center"/>
    </xf>
    <xf numFmtId="0" fontId="8" fillId="5" borderId="17" xfId="0" applyFont="1" applyFill="1" applyBorder="1"/>
    <xf numFmtId="0" fontId="8" fillId="5" borderId="1" xfId="0" applyFont="1" applyFill="1" applyBorder="1"/>
    <xf numFmtId="0" fontId="7" fillId="5" borderId="28" xfId="0" applyFont="1" applyFill="1" applyBorder="1" applyAlignment="1">
      <alignment horizontal="center"/>
    </xf>
    <xf numFmtId="0" fontId="8" fillId="5" borderId="28" xfId="0" applyFont="1" applyFill="1" applyBorder="1" applyProtection="1">
      <protection locked="0"/>
    </xf>
    <xf numFmtId="0" fontId="8" fillId="0" borderId="29" xfId="0" applyFont="1" applyBorder="1" applyAlignment="1">
      <alignment horizontal="center"/>
    </xf>
    <xf numFmtId="0" fontId="8" fillId="5" borderId="10" xfId="0" applyFont="1" applyFill="1" applyBorder="1" applyAlignment="1">
      <alignment horizontal="center" vertical="center"/>
    </xf>
    <xf numFmtId="0" fontId="8" fillId="5" borderId="0" xfId="0" applyFont="1" applyFill="1" applyAlignment="1">
      <alignment horizontal="left" vertical="center" wrapText="1"/>
    </xf>
    <xf numFmtId="0" fontId="8" fillId="5" borderId="29" xfId="0" applyFont="1" applyFill="1" applyBorder="1" applyAlignment="1">
      <alignment horizontal="center" vertical="center"/>
    </xf>
    <xf numFmtId="0" fontId="8" fillId="0" borderId="29" xfId="0" applyFont="1" applyBorder="1" applyAlignment="1">
      <alignment horizontal="center" vertical="center"/>
    </xf>
    <xf numFmtId="0" fontId="39" fillId="5" borderId="5" xfId="0" applyFont="1" applyFill="1" applyBorder="1" applyAlignment="1">
      <alignment horizontal="center" vertical="center"/>
    </xf>
    <xf numFmtId="0" fontId="39" fillId="5" borderId="0" xfId="0" applyFont="1" applyFill="1" applyAlignment="1">
      <alignment horizontal="center" vertical="center"/>
    </xf>
    <xf numFmtId="0" fontId="39" fillId="5" borderId="1" xfId="0" applyFont="1" applyFill="1" applyBorder="1" applyAlignment="1">
      <alignment horizontal="center" vertical="center"/>
    </xf>
    <xf numFmtId="0" fontId="8" fillId="5" borderId="28" xfId="0" applyFont="1" applyFill="1" applyBorder="1" applyAlignment="1">
      <alignment vertical="center"/>
    </xf>
    <xf numFmtId="0" fontId="40" fillId="0" borderId="10" xfId="0" applyFont="1" applyBorder="1" applyAlignment="1">
      <alignment vertical="center"/>
    </xf>
    <xf numFmtId="0" fontId="7" fillId="4" borderId="0" xfId="0" applyFont="1" applyFill="1" applyAlignment="1">
      <alignment vertical="center"/>
    </xf>
    <xf numFmtId="0" fontId="8" fillId="4" borderId="63" xfId="0" applyFont="1" applyFill="1" applyBorder="1" applyAlignment="1">
      <alignment horizontal="center" vertical="center"/>
    </xf>
    <xf numFmtId="0" fontId="7" fillId="2" borderId="7" xfId="0" applyFont="1" applyFill="1" applyBorder="1" applyAlignment="1">
      <alignment vertical="center"/>
    </xf>
    <xf numFmtId="0" fontId="8" fillId="3" borderId="13" xfId="0" applyFont="1" applyFill="1" applyBorder="1"/>
    <xf numFmtId="0" fontId="8" fillId="3" borderId="19" xfId="0" applyFont="1" applyFill="1" applyBorder="1"/>
    <xf numFmtId="0" fontId="8" fillId="5" borderId="15" xfId="0" applyFont="1" applyFill="1" applyBorder="1" applyAlignment="1">
      <alignment horizontal="left" vertical="center"/>
    </xf>
    <xf numFmtId="0" fontId="8" fillId="5" borderId="5" xfId="0" applyFont="1" applyFill="1" applyBorder="1" applyAlignment="1">
      <alignment horizontal="center" vertical="center"/>
    </xf>
    <xf numFmtId="0" fontId="8" fillId="5" borderId="63" xfId="0" applyFont="1" applyFill="1" applyBorder="1" applyAlignment="1">
      <alignment vertical="center"/>
    </xf>
    <xf numFmtId="0" fontId="8" fillId="5" borderId="7" xfId="0" applyFont="1" applyFill="1" applyBorder="1" applyAlignment="1">
      <alignment horizontal="left" vertical="center"/>
    </xf>
    <xf numFmtId="0" fontId="8" fillId="5" borderId="63" xfId="0" applyFont="1" applyFill="1" applyBorder="1" applyAlignment="1">
      <alignment horizontal="center" vertical="center" wrapText="1"/>
    </xf>
    <xf numFmtId="0" fontId="8" fillId="5" borderId="12" xfId="0" applyFont="1" applyFill="1" applyBorder="1" applyAlignment="1">
      <alignment horizontal="center" vertical="center"/>
    </xf>
    <xf numFmtId="0" fontId="8" fillId="5" borderId="45" xfId="0" applyFont="1" applyFill="1" applyBorder="1" applyAlignment="1">
      <alignment vertical="center"/>
    </xf>
    <xf numFmtId="0" fontId="8" fillId="5" borderId="10" xfId="0" applyFont="1" applyFill="1" applyBorder="1" applyAlignment="1">
      <alignment horizontal="left" vertical="center"/>
    </xf>
    <xf numFmtId="0" fontId="8" fillId="5" borderId="45" xfId="0" applyFont="1" applyFill="1" applyBorder="1" applyAlignment="1">
      <alignment horizontal="center" vertical="center" wrapText="1"/>
    </xf>
    <xf numFmtId="0" fontId="8" fillId="5" borderId="2" xfId="0" applyFont="1" applyFill="1" applyBorder="1" applyAlignment="1">
      <alignment horizontal="center" vertical="center"/>
    </xf>
    <xf numFmtId="0" fontId="8" fillId="5" borderId="6" xfId="0" applyFont="1" applyFill="1" applyBorder="1" applyAlignment="1">
      <alignment horizontal="center" vertical="center"/>
    </xf>
    <xf numFmtId="0" fontId="8" fillId="5" borderId="11" xfId="0" applyFont="1" applyFill="1" applyBorder="1" applyAlignment="1">
      <alignment horizontal="center" vertical="center"/>
    </xf>
    <xf numFmtId="0" fontId="8" fillId="5" borderId="8" xfId="0" applyFont="1" applyFill="1" applyBorder="1" applyAlignment="1">
      <alignment horizontal="center" vertical="center"/>
    </xf>
    <xf numFmtId="0" fontId="7" fillId="4" borderId="13" xfId="0" applyFont="1" applyFill="1" applyBorder="1" applyAlignment="1">
      <alignment vertical="center"/>
    </xf>
    <xf numFmtId="0" fontId="8" fillId="4" borderId="44" xfId="0" applyFont="1" applyFill="1" applyBorder="1" applyAlignment="1">
      <alignment horizontal="center" vertical="center"/>
    </xf>
    <xf numFmtId="0" fontId="8" fillId="2" borderId="44" xfId="0" applyFont="1" applyFill="1" applyBorder="1"/>
    <xf numFmtId="0" fontId="41" fillId="5" borderId="5" xfId="0" applyFont="1" applyFill="1" applyBorder="1" applyAlignment="1">
      <alignment horizontal="left" vertical="center"/>
    </xf>
    <xf numFmtId="0" fontId="8" fillId="5" borderId="45" xfId="0" applyFont="1" applyFill="1" applyBorder="1" applyAlignment="1">
      <alignment horizontal="center" vertical="center"/>
    </xf>
    <xf numFmtId="0" fontId="41" fillId="5" borderId="6" xfId="0" applyFont="1" applyFill="1" applyBorder="1" applyAlignment="1">
      <alignment horizontal="left" vertical="center"/>
    </xf>
    <xf numFmtId="0" fontId="8" fillId="5" borderId="17" xfId="0" applyFont="1" applyFill="1" applyBorder="1" applyAlignment="1">
      <alignment vertical="center"/>
    </xf>
    <xf numFmtId="0" fontId="8" fillId="5" borderId="10" xfId="0" applyFont="1" applyFill="1" applyBorder="1" applyAlignment="1">
      <alignment vertical="center"/>
    </xf>
    <xf numFmtId="0" fontId="8" fillId="5" borderId="11" xfId="0" applyFont="1" applyFill="1" applyBorder="1" applyAlignment="1">
      <alignment vertical="center"/>
    </xf>
    <xf numFmtId="0" fontId="40" fillId="0" borderId="0" xfId="0" applyFont="1" applyAlignment="1">
      <alignment vertical="center"/>
    </xf>
    <xf numFmtId="0" fontId="8" fillId="5" borderId="7" xfId="0" applyFont="1" applyFill="1" applyBorder="1" applyAlignment="1">
      <alignment vertical="center"/>
    </xf>
    <xf numFmtId="0" fontId="8" fillId="5" borderId="5" xfId="0" applyFont="1" applyFill="1" applyBorder="1" applyAlignment="1">
      <alignment vertical="center" wrapText="1"/>
    </xf>
    <xf numFmtId="0" fontId="8" fillId="0" borderId="22" xfId="0" applyFont="1" applyBorder="1"/>
    <xf numFmtId="0" fontId="8" fillId="5" borderId="42" xfId="0" applyFont="1" applyFill="1" applyBorder="1" applyAlignment="1">
      <alignment horizontal="center" vertical="center" wrapText="1"/>
    </xf>
    <xf numFmtId="0" fontId="8" fillId="5" borderId="1" xfId="0" applyFont="1" applyFill="1" applyBorder="1" applyAlignment="1">
      <alignment vertical="center"/>
    </xf>
    <xf numFmtId="0" fontId="8" fillId="5" borderId="18" xfId="0" applyFont="1" applyFill="1" applyBorder="1" applyAlignment="1">
      <alignment vertical="center"/>
    </xf>
    <xf numFmtId="0" fontId="8" fillId="5" borderId="13" xfId="0" applyFont="1" applyFill="1" applyBorder="1" applyAlignment="1">
      <alignment horizontal="center" vertical="center"/>
    </xf>
    <xf numFmtId="0" fontId="8" fillId="5" borderId="13" xfId="0" applyFont="1" applyFill="1" applyBorder="1" applyAlignment="1">
      <alignment vertical="center"/>
    </xf>
    <xf numFmtId="0" fontId="8" fillId="5" borderId="44" xfId="0" applyFont="1" applyFill="1" applyBorder="1" applyAlignment="1">
      <alignment vertical="center"/>
    </xf>
    <xf numFmtId="0" fontId="8" fillId="5" borderId="63" xfId="0" applyFont="1" applyFill="1" applyBorder="1" applyAlignment="1">
      <alignment horizontal="center" vertical="center"/>
    </xf>
    <xf numFmtId="0" fontId="8" fillId="5" borderId="15" xfId="0" applyFont="1" applyFill="1" applyBorder="1" applyAlignment="1">
      <alignment vertical="center"/>
    </xf>
    <xf numFmtId="0" fontId="7" fillId="3" borderId="0" xfId="0" applyFont="1" applyFill="1" applyAlignment="1">
      <alignment vertical="center"/>
    </xf>
    <xf numFmtId="0" fontId="8" fillId="5" borderId="7" xfId="0" applyFont="1" applyFill="1" applyBorder="1" applyAlignment="1" applyProtection="1">
      <alignment vertical="center"/>
      <protection locked="0"/>
    </xf>
    <xf numFmtId="0" fontId="7" fillId="5" borderId="17" xfId="0" applyFont="1" applyFill="1" applyBorder="1" applyAlignment="1">
      <alignment vertical="center"/>
    </xf>
    <xf numFmtId="0" fontId="8" fillId="5" borderId="26" xfId="0" applyFont="1" applyFill="1" applyBorder="1" applyAlignment="1">
      <alignment horizontal="left" vertical="center" wrapText="1"/>
    </xf>
    <xf numFmtId="2" fontId="8" fillId="5" borderId="42" xfId="0" applyNumberFormat="1" applyFont="1" applyFill="1" applyBorder="1" applyAlignment="1">
      <alignment horizontal="center" vertical="center" wrapText="1"/>
    </xf>
    <xf numFmtId="0" fontId="8" fillId="5" borderId="23" xfId="0" applyFont="1" applyFill="1" applyBorder="1" applyAlignment="1">
      <alignment horizontal="center" vertical="center" wrapText="1"/>
    </xf>
    <xf numFmtId="0" fontId="8" fillId="5" borderId="27" xfId="0" applyFont="1" applyFill="1" applyBorder="1" applyAlignment="1">
      <alignment horizontal="left" vertical="center" wrapText="1"/>
    </xf>
    <xf numFmtId="2" fontId="8" fillId="5" borderId="95" xfId="0" applyNumberFormat="1" applyFont="1" applyFill="1" applyBorder="1" applyAlignment="1">
      <alignment horizontal="center" vertical="center" wrapText="1"/>
    </xf>
    <xf numFmtId="0" fontId="8" fillId="5" borderId="4" xfId="0" applyFont="1" applyFill="1" applyBorder="1" applyAlignment="1" applyProtection="1">
      <alignment vertical="center"/>
      <protection locked="0"/>
    </xf>
    <xf numFmtId="0" fontId="8" fillId="5" borderId="32" xfId="0" applyFont="1" applyFill="1" applyBorder="1" applyAlignment="1">
      <alignment vertical="center"/>
    </xf>
    <xf numFmtId="0" fontId="7" fillId="0" borderId="0" xfId="0" applyFont="1"/>
    <xf numFmtId="0" fontId="8" fillId="0" borderId="0" xfId="0" applyFont="1" applyAlignment="1">
      <alignment vertical="center" wrapText="1"/>
    </xf>
    <xf numFmtId="0" fontId="7" fillId="0" borderId="0" xfId="0" applyFont="1" applyAlignment="1">
      <alignment horizontal="left"/>
    </xf>
    <xf numFmtId="2" fontId="8" fillId="0" borderId="0" xfId="0" applyNumberFormat="1" applyFont="1" applyAlignment="1">
      <alignment horizontal="center" vertical="center" wrapText="1"/>
    </xf>
    <xf numFmtId="0" fontId="7" fillId="0" borderId="0" xfId="0" applyFont="1" applyAlignment="1">
      <alignment vertical="center" wrapText="1"/>
    </xf>
    <xf numFmtId="0" fontId="39" fillId="5" borderId="0" xfId="0" applyFont="1" applyFill="1" applyAlignment="1">
      <alignment vertical="center"/>
    </xf>
    <xf numFmtId="0" fontId="39" fillId="5" borderId="1" xfId="0" applyFont="1" applyFill="1" applyBorder="1" applyAlignment="1">
      <alignment vertical="center"/>
    </xf>
    <xf numFmtId="0" fontId="40" fillId="0" borderId="43" xfId="0" applyFont="1" applyBorder="1" applyAlignment="1">
      <alignment vertical="center"/>
    </xf>
    <xf numFmtId="0" fontId="8" fillId="8" borderId="3" xfId="0" applyFont="1" applyFill="1" applyBorder="1" applyAlignment="1">
      <alignment vertical="center"/>
    </xf>
    <xf numFmtId="0" fontId="8" fillId="7" borderId="3" xfId="0" applyFont="1" applyFill="1" applyBorder="1" applyAlignment="1">
      <alignment horizontal="left" vertical="center"/>
    </xf>
    <xf numFmtId="0" fontId="8" fillId="9" borderId="3" xfId="0" applyFont="1" applyFill="1" applyBorder="1" applyAlignment="1">
      <alignment vertical="center"/>
    </xf>
    <xf numFmtId="0" fontId="8" fillId="4" borderId="13" xfId="0" applyFont="1" applyFill="1" applyBorder="1" applyAlignment="1">
      <alignment vertical="center"/>
    </xf>
    <xf numFmtId="0" fontId="8" fillId="4" borderId="44" xfId="0" applyFont="1" applyFill="1" applyBorder="1" applyAlignment="1">
      <alignment vertical="center"/>
    </xf>
    <xf numFmtId="0" fontId="8" fillId="4" borderId="19" xfId="0" applyFont="1" applyFill="1" applyBorder="1" applyAlignment="1">
      <alignment vertical="center"/>
    </xf>
    <xf numFmtId="0" fontId="8" fillId="5" borderId="4" xfId="0" applyFont="1" applyFill="1" applyBorder="1" applyAlignment="1">
      <alignment vertical="center"/>
    </xf>
    <xf numFmtId="2" fontId="8" fillId="5" borderId="42" xfId="0" applyNumberFormat="1" applyFont="1" applyFill="1" applyBorder="1" applyAlignment="1">
      <alignment horizontal="center" vertical="center"/>
    </xf>
    <xf numFmtId="164" fontId="8" fillId="5" borderId="0" xfId="0" applyNumberFormat="1" applyFont="1" applyFill="1" applyAlignment="1">
      <alignment horizontal="center" vertical="center"/>
    </xf>
    <xf numFmtId="164" fontId="8" fillId="5" borderId="4" xfId="0" applyNumberFormat="1" applyFont="1" applyFill="1" applyBorder="1" applyAlignment="1">
      <alignment horizontal="center" vertical="center"/>
    </xf>
    <xf numFmtId="2" fontId="8" fillId="5" borderId="45" xfId="0" applyNumberFormat="1" applyFont="1" applyFill="1" applyBorder="1" applyAlignment="1">
      <alignment horizontal="center" vertical="center"/>
    </xf>
    <xf numFmtId="0" fontId="8" fillId="0" borderId="14" xfId="0" applyFont="1" applyBorder="1"/>
    <xf numFmtId="0" fontId="8" fillId="3" borderId="13" xfId="0" applyFont="1" applyFill="1" applyBorder="1" applyAlignment="1">
      <alignment horizontal="left" vertical="center"/>
    </xf>
    <xf numFmtId="0" fontId="8" fillId="3" borderId="44" xfId="0" applyFont="1" applyFill="1" applyBorder="1" applyAlignment="1">
      <alignment horizontal="center" vertical="center"/>
    </xf>
    <xf numFmtId="0" fontId="8" fillId="3" borderId="10" xfId="0" applyFont="1" applyFill="1" applyBorder="1" applyAlignment="1">
      <alignment vertical="center"/>
    </xf>
    <xf numFmtId="0" fontId="7" fillId="5" borderId="85" xfId="0" applyFont="1" applyFill="1" applyBorder="1" applyAlignment="1">
      <alignment vertical="center"/>
    </xf>
    <xf numFmtId="0" fontId="13" fillId="5" borderId="85" xfId="0" applyFont="1" applyFill="1" applyBorder="1" applyAlignment="1">
      <alignment vertical="center"/>
    </xf>
    <xf numFmtId="0" fontId="44" fillId="0" borderId="4" xfId="0" applyFont="1" applyBorder="1"/>
    <xf numFmtId="0" fontId="44" fillId="0" borderId="0" xfId="0" applyFont="1"/>
    <xf numFmtId="0" fontId="7" fillId="5" borderId="0" xfId="0" applyFont="1" applyFill="1" applyAlignment="1">
      <alignment vertical="center"/>
    </xf>
    <xf numFmtId="0" fontId="7" fillId="5" borderId="13" xfId="0" applyFont="1" applyFill="1" applyBorder="1" applyAlignment="1">
      <alignment horizontal="left" vertical="center"/>
    </xf>
    <xf numFmtId="0" fontId="7" fillId="5" borderId="44" xfId="0" applyFont="1" applyFill="1" applyBorder="1" applyAlignment="1">
      <alignment horizontal="center" vertical="center"/>
    </xf>
    <xf numFmtId="0" fontId="7" fillId="5" borderId="13" xfId="0" applyFont="1" applyFill="1" applyBorder="1" applyAlignment="1">
      <alignment horizontal="left"/>
    </xf>
    <xf numFmtId="0" fontId="7" fillId="5" borderId="13" xfId="0" applyFont="1" applyFill="1" applyBorder="1" applyAlignment="1" applyProtection="1">
      <alignment horizontal="center" vertical="center"/>
      <protection locked="0"/>
    </xf>
    <xf numFmtId="0" fontId="7" fillId="5" borderId="2" xfId="0" applyFont="1" applyFill="1" applyBorder="1" applyAlignment="1" applyProtection="1">
      <alignment horizontal="center" vertical="center"/>
      <protection locked="0"/>
    </xf>
    <xf numFmtId="0" fontId="7" fillId="5" borderId="9" xfId="0" applyFont="1" applyFill="1" applyBorder="1" applyAlignment="1" applyProtection="1">
      <alignment horizontal="center" vertical="center"/>
      <protection locked="0"/>
    </xf>
    <xf numFmtId="165" fontId="8" fillId="5" borderId="42" xfId="0" applyNumberFormat="1" applyFont="1" applyFill="1" applyBorder="1" applyAlignment="1">
      <alignment horizontal="center" vertical="center"/>
    </xf>
    <xf numFmtId="0" fontId="8" fillId="5" borderId="9" xfId="0" applyFont="1" applyFill="1" applyBorder="1" applyProtection="1">
      <protection locked="0"/>
    </xf>
    <xf numFmtId="165" fontId="8" fillId="5" borderId="1" xfId="0" applyNumberFormat="1" applyFont="1" applyFill="1" applyBorder="1" applyAlignment="1" applyProtection="1">
      <alignment horizontal="center" vertical="center"/>
      <protection locked="0"/>
    </xf>
    <xf numFmtId="0" fontId="8" fillId="5" borderId="0" xfId="0" applyFont="1" applyFill="1" applyAlignment="1">
      <alignment horizontal="left" wrapText="1"/>
    </xf>
    <xf numFmtId="9" fontId="8" fillId="5" borderId="1" xfId="0" applyNumberFormat="1" applyFont="1" applyFill="1" applyBorder="1" applyAlignment="1" applyProtection="1">
      <alignment horizontal="center"/>
      <protection locked="0"/>
    </xf>
    <xf numFmtId="10" fontId="8" fillId="5" borderId="0" xfId="0" applyNumberFormat="1" applyFont="1" applyFill="1" applyAlignment="1">
      <alignment horizontal="left"/>
    </xf>
    <xf numFmtId="0" fontId="8" fillId="5" borderId="1" xfId="0" applyFont="1" applyFill="1" applyBorder="1" applyAlignment="1" applyProtection="1">
      <alignment horizontal="center"/>
      <protection locked="0"/>
    </xf>
    <xf numFmtId="0" fontId="7" fillId="5" borderId="13" xfId="0" applyFont="1" applyFill="1" applyBorder="1" applyAlignment="1">
      <alignment vertical="center"/>
    </xf>
    <xf numFmtId="164" fontId="7" fillId="5" borderId="13" xfId="0" applyNumberFormat="1" applyFont="1" applyFill="1" applyBorder="1" applyAlignment="1">
      <alignment horizontal="center" vertical="center"/>
    </xf>
    <xf numFmtId="164" fontId="7" fillId="5" borderId="44" xfId="0" applyNumberFormat="1" applyFont="1" applyFill="1" applyBorder="1" applyAlignment="1">
      <alignment horizontal="center" vertical="center"/>
    </xf>
    <xf numFmtId="10" fontId="8" fillId="5" borderId="7" xfId="0" applyNumberFormat="1" applyFont="1" applyFill="1" applyBorder="1" applyAlignment="1" applyProtection="1">
      <alignment vertical="center"/>
      <protection locked="0"/>
    </xf>
    <xf numFmtId="0" fontId="8" fillId="5" borderId="1" xfId="0" applyFont="1" applyFill="1" applyBorder="1" applyAlignment="1" applyProtection="1">
      <alignment horizontal="center" vertical="center"/>
      <protection locked="0"/>
    </xf>
    <xf numFmtId="0" fontId="8" fillId="5" borderId="0" xfId="0" applyFont="1" applyFill="1" applyAlignment="1">
      <alignment vertical="top" wrapText="1"/>
    </xf>
    <xf numFmtId="0" fontId="8" fillId="5" borderId="0" xfId="0" applyFont="1" applyFill="1" applyAlignment="1">
      <alignment horizontal="center"/>
    </xf>
    <xf numFmtId="0" fontId="8" fillId="5" borderId="10" xfId="0" applyFont="1" applyFill="1" applyBorder="1" applyAlignment="1">
      <alignment vertical="top" wrapText="1"/>
    </xf>
    <xf numFmtId="165" fontId="8" fillId="5" borderId="76" xfId="0" applyNumberFormat="1" applyFont="1" applyFill="1" applyBorder="1" applyAlignment="1">
      <alignment horizontal="center" vertical="center"/>
    </xf>
    <xf numFmtId="0" fontId="7" fillId="0" borderId="0" xfId="0" applyFont="1" applyAlignment="1">
      <alignment horizontal="left" vertical="center"/>
    </xf>
    <xf numFmtId="0" fontId="7" fillId="0" borderId="0" xfId="0" applyFont="1" applyAlignment="1">
      <alignment vertical="center"/>
    </xf>
    <xf numFmtId="0" fontId="40" fillId="0" borderId="17" xfId="0" applyFont="1" applyBorder="1" applyAlignment="1">
      <alignment vertical="center"/>
    </xf>
    <xf numFmtId="0" fontId="7" fillId="4" borderId="3" xfId="0" applyFont="1" applyFill="1" applyBorder="1" applyAlignment="1">
      <alignment vertical="center"/>
    </xf>
    <xf numFmtId="0" fontId="7" fillId="3" borderId="10" xfId="0" applyFont="1" applyFill="1" applyBorder="1" applyAlignment="1">
      <alignment vertical="center"/>
    </xf>
    <xf numFmtId="0" fontId="7" fillId="5" borderId="4" xfId="0" applyFont="1" applyFill="1" applyBorder="1" applyAlignment="1">
      <alignment horizontal="center" vertical="center" wrapText="1"/>
    </xf>
    <xf numFmtId="0" fontId="8" fillId="0" borderId="10" xfId="0" applyFont="1" applyBorder="1" applyAlignment="1">
      <alignment horizontal="center" vertical="center"/>
    </xf>
    <xf numFmtId="0" fontId="45" fillId="0" borderId="0" xfId="0" applyFont="1"/>
    <xf numFmtId="0" fontId="8" fillId="0" borderId="0" xfId="0" applyFont="1" applyAlignment="1">
      <alignment vertical="center" textRotation="90" wrapText="1"/>
    </xf>
    <xf numFmtId="0" fontId="7" fillId="5" borderId="7" xfId="0" applyFont="1" applyFill="1" applyBorder="1" applyAlignment="1">
      <alignment vertical="center"/>
    </xf>
    <xf numFmtId="0" fontId="8" fillId="5" borderId="0" xfId="0" applyFont="1" applyFill="1" applyAlignment="1">
      <alignment wrapText="1"/>
    </xf>
    <xf numFmtId="0" fontId="8" fillId="5" borderId="31" xfId="0" applyFont="1" applyFill="1" applyBorder="1" applyAlignment="1">
      <alignment horizontal="center" vertical="center"/>
    </xf>
    <xf numFmtId="0" fontId="8" fillId="4" borderId="19" xfId="0" applyFont="1" applyFill="1" applyBorder="1" applyAlignment="1">
      <alignment horizontal="center" vertical="center"/>
    </xf>
    <xf numFmtId="0" fontId="7" fillId="3" borderId="13" xfId="0" applyFont="1" applyFill="1" applyBorder="1" applyAlignment="1">
      <alignment horizontal="center" vertical="center"/>
    </xf>
    <xf numFmtId="0" fontId="8" fillId="5" borderId="22" xfId="0" applyFont="1" applyFill="1" applyBorder="1" applyAlignment="1">
      <alignment horizontal="left" vertical="center" wrapText="1"/>
    </xf>
    <xf numFmtId="0" fontId="8" fillId="5" borderId="4" xfId="0" applyFont="1" applyFill="1" applyBorder="1" applyAlignment="1">
      <alignment horizontal="left" vertical="top"/>
    </xf>
    <xf numFmtId="0" fontId="8" fillId="5" borderId="22" xfId="0" applyFont="1" applyFill="1" applyBorder="1" applyAlignment="1">
      <alignment horizontal="left" vertical="top"/>
    </xf>
    <xf numFmtId="0" fontId="8" fillId="5" borderId="32" xfId="0" applyFont="1" applyFill="1" applyBorder="1" applyAlignment="1">
      <alignment horizontal="left"/>
    </xf>
    <xf numFmtId="0" fontId="39" fillId="5" borderId="11"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0" xfId="0" applyFont="1" applyFill="1" applyBorder="1" applyAlignment="1">
      <alignment vertical="center" wrapText="1"/>
    </xf>
    <xf numFmtId="0" fontId="8" fillId="5" borderId="32" xfId="0" applyFont="1" applyFill="1" applyBorder="1" applyAlignment="1">
      <alignment horizontal="center" vertical="center"/>
    </xf>
    <xf numFmtId="0" fontId="8" fillId="0" borderId="13" xfId="0" applyFont="1" applyBorder="1" applyAlignment="1">
      <alignment horizontal="center" vertical="center"/>
    </xf>
    <xf numFmtId="2" fontId="8" fillId="5" borderId="10" xfId="0" applyNumberFormat="1" applyFont="1" applyFill="1" applyBorder="1" applyAlignment="1">
      <alignment horizontal="center" vertical="center"/>
    </xf>
    <xf numFmtId="0" fontId="7" fillId="4" borderId="15" xfId="0" applyFont="1" applyFill="1" applyBorder="1" applyAlignment="1">
      <alignment vertical="center"/>
    </xf>
    <xf numFmtId="0" fontId="8" fillId="0" borderId="4" xfId="0" applyFont="1" applyBorder="1" applyAlignment="1">
      <alignment vertical="center"/>
    </xf>
    <xf numFmtId="0" fontId="39" fillId="5" borderId="36" xfId="0" applyFont="1" applyFill="1" applyBorder="1" applyAlignment="1">
      <alignment vertical="center"/>
    </xf>
    <xf numFmtId="0" fontId="39" fillId="5" borderId="29" xfId="0" applyFont="1" applyFill="1" applyBorder="1" applyAlignment="1">
      <alignment vertical="center"/>
    </xf>
    <xf numFmtId="0" fontId="39" fillId="5" borderId="39" xfId="0" applyFont="1" applyFill="1" applyBorder="1" applyAlignment="1">
      <alignment vertical="center"/>
    </xf>
    <xf numFmtId="0" fontId="39" fillId="5" borderId="5" xfId="0" applyFont="1" applyFill="1" applyBorder="1" applyAlignment="1">
      <alignment vertical="center"/>
    </xf>
    <xf numFmtId="0" fontId="8" fillId="5" borderId="1" xfId="0" applyFont="1" applyFill="1" applyBorder="1" applyAlignment="1" applyProtection="1">
      <alignment vertical="center" wrapText="1"/>
      <protection locked="0"/>
    </xf>
    <xf numFmtId="164" fontId="8" fillId="5" borderId="0" xfId="0" applyNumberFormat="1" applyFont="1" applyFill="1" applyAlignment="1" applyProtection="1">
      <alignment vertical="center"/>
      <protection locked="0"/>
    </xf>
    <xf numFmtId="164" fontId="8" fillId="5" borderId="1" xfId="0" applyNumberFormat="1" applyFont="1" applyFill="1" applyBorder="1" applyAlignment="1" applyProtection="1">
      <alignment vertical="center"/>
      <protection locked="0"/>
    </xf>
    <xf numFmtId="164" fontId="8" fillId="5" borderId="28" xfId="0" applyNumberFormat="1" applyFont="1" applyFill="1" applyBorder="1" applyAlignment="1" applyProtection="1">
      <alignment vertical="center"/>
      <protection locked="0"/>
    </xf>
    <xf numFmtId="164" fontId="8" fillId="5" borderId="37" xfId="0" applyNumberFormat="1" applyFont="1" applyFill="1" applyBorder="1" applyAlignment="1" applyProtection="1">
      <alignment vertical="center"/>
      <protection locked="0"/>
    </xf>
    <xf numFmtId="0" fontId="7" fillId="4" borderId="13" xfId="0" applyFont="1" applyFill="1" applyBorder="1" applyAlignment="1">
      <alignment horizontal="center" vertical="center"/>
    </xf>
    <xf numFmtId="0" fontId="7" fillId="4" borderId="19" xfId="0" applyFont="1" applyFill="1" applyBorder="1" applyAlignment="1">
      <alignment horizontal="center" vertical="center"/>
    </xf>
    <xf numFmtId="0" fontId="7" fillId="4" borderId="13" xfId="0" applyFont="1" applyFill="1" applyBorder="1" applyAlignment="1">
      <alignment horizontal="left" vertical="center"/>
    </xf>
    <xf numFmtId="0" fontId="7" fillId="5" borderId="15" xfId="0" applyFont="1" applyFill="1" applyBorder="1" applyAlignment="1">
      <alignment horizontal="center" vertical="center" wrapText="1"/>
    </xf>
    <xf numFmtId="0" fontId="8" fillId="5" borderId="4" xfId="0" applyFont="1" applyFill="1" applyBorder="1" applyAlignment="1" applyProtection="1">
      <alignment horizontal="center" vertical="center" wrapText="1"/>
      <protection locked="0"/>
    </xf>
    <xf numFmtId="0" fontId="40" fillId="0" borderId="0" xfId="0" applyFont="1" applyAlignment="1">
      <alignment horizontal="left" vertical="center"/>
    </xf>
    <xf numFmtId="0" fontId="40" fillId="0" borderId="18" xfId="0" applyFont="1" applyBorder="1" applyAlignment="1">
      <alignment vertical="center"/>
    </xf>
    <xf numFmtId="0" fontId="8" fillId="0" borderId="20" xfId="0" applyFont="1" applyBorder="1"/>
    <xf numFmtId="0" fontId="7" fillId="0" borderId="4" xfId="0" applyFont="1" applyBorder="1"/>
    <xf numFmtId="0" fontId="7" fillId="2" borderId="13" xfId="0" applyFont="1" applyFill="1" applyBorder="1" applyAlignment="1">
      <alignment horizontal="left" vertical="center" wrapText="1"/>
    </xf>
    <xf numFmtId="0" fontId="7" fillId="3" borderId="13" xfId="0" applyFont="1" applyFill="1" applyBorder="1" applyAlignment="1">
      <alignment horizontal="left" vertical="center"/>
    </xf>
    <xf numFmtId="0" fontId="7" fillId="3" borderId="19" xfId="0" applyFont="1" applyFill="1" applyBorder="1" applyAlignment="1">
      <alignment horizontal="center" vertical="center" wrapText="1"/>
    </xf>
    <xf numFmtId="0" fontId="7" fillId="2" borderId="13" xfId="0" applyFont="1" applyFill="1" applyBorder="1" applyAlignment="1">
      <alignment horizontal="left" vertical="center"/>
    </xf>
    <xf numFmtId="0" fontId="7" fillId="2" borderId="13" xfId="0" applyFont="1" applyFill="1" applyBorder="1"/>
    <xf numFmtId="0" fontId="7" fillId="3" borderId="13" xfId="0" applyFont="1" applyFill="1" applyBorder="1" applyAlignment="1">
      <alignment horizontal="center" vertical="center" wrapText="1"/>
    </xf>
    <xf numFmtId="0" fontId="8" fillId="0" borderId="4" xfId="0" applyFont="1" applyBorder="1" applyAlignment="1">
      <alignment vertical="center" wrapText="1"/>
    </xf>
    <xf numFmtId="0" fontId="7" fillId="5" borderId="0" xfId="0" applyFont="1" applyFill="1" applyAlignment="1" applyProtection="1">
      <alignment horizontal="center" vertical="center" wrapText="1"/>
      <protection locked="0"/>
    </xf>
    <xf numFmtId="0" fontId="8" fillId="5" borderId="4" xfId="0" applyFont="1" applyFill="1" applyBorder="1" applyAlignment="1" applyProtection="1">
      <alignment vertical="center" wrapText="1"/>
      <protection locked="0"/>
    </xf>
    <xf numFmtId="1" fontId="8" fillId="0" borderId="0" xfId="0" applyNumberFormat="1" applyFont="1" applyAlignment="1">
      <alignment horizontal="center" vertical="center"/>
    </xf>
    <xf numFmtId="1" fontId="8" fillId="5" borderId="28" xfId="0" applyNumberFormat="1" applyFont="1" applyFill="1" applyBorder="1" applyAlignment="1">
      <alignment horizontal="center" vertical="center"/>
    </xf>
    <xf numFmtId="0" fontId="8" fillId="5" borderId="31" xfId="0" applyFont="1" applyFill="1" applyBorder="1" applyAlignment="1" applyProtection="1">
      <alignment horizontal="center" vertical="center" wrapText="1"/>
      <protection locked="0"/>
    </xf>
    <xf numFmtId="0" fontId="7" fillId="5" borderId="28" xfId="0" applyFont="1" applyFill="1" applyBorder="1" applyAlignment="1" applyProtection="1">
      <alignment horizontal="center" vertical="center" wrapText="1"/>
      <protection locked="0"/>
    </xf>
    <xf numFmtId="0" fontId="7" fillId="4" borderId="22" xfId="0" applyFont="1" applyFill="1" applyBorder="1" applyAlignment="1">
      <alignment vertical="center"/>
    </xf>
    <xf numFmtId="0" fontId="8" fillId="5" borderId="10" xfId="0" applyFont="1" applyFill="1" applyBorder="1" applyAlignment="1">
      <alignment horizontal="center"/>
    </xf>
    <xf numFmtId="0" fontId="8" fillId="5" borderId="22" xfId="0" applyFont="1" applyFill="1" applyBorder="1" applyAlignment="1">
      <alignment vertical="center" wrapText="1"/>
    </xf>
    <xf numFmtId="0" fontId="8" fillId="0" borderId="28" xfId="0" applyFont="1" applyBorder="1" applyAlignment="1">
      <alignment vertical="center"/>
    </xf>
    <xf numFmtId="0" fontId="8" fillId="2" borderId="20" xfId="0" applyFont="1" applyFill="1" applyBorder="1"/>
    <xf numFmtId="0" fontId="8" fillId="5" borderId="15" xfId="0" applyFont="1" applyFill="1" applyBorder="1" applyAlignment="1">
      <alignment horizontal="left" vertical="top"/>
    </xf>
    <xf numFmtId="0" fontId="8" fillId="5" borderId="0" xfId="0" applyFont="1" applyFill="1" applyAlignment="1">
      <alignment horizontal="left" vertical="top"/>
    </xf>
    <xf numFmtId="0" fontId="8" fillId="5" borderId="32" xfId="0" applyFont="1" applyFill="1" applyBorder="1" applyAlignment="1">
      <alignment horizontal="left" vertical="top"/>
    </xf>
    <xf numFmtId="0" fontId="8" fillId="5" borderId="28" xfId="0" applyFont="1" applyFill="1" applyBorder="1" applyAlignment="1">
      <alignment horizontal="left" vertical="top"/>
    </xf>
    <xf numFmtId="0" fontId="8" fillId="5" borderId="31" xfId="0" applyFont="1" applyFill="1" applyBorder="1" applyAlignment="1">
      <alignment horizontal="left" vertical="top"/>
    </xf>
    <xf numFmtId="0" fontId="48" fillId="5" borderId="0" xfId="0" applyFont="1" applyFill="1"/>
    <xf numFmtId="0" fontId="8" fillId="5" borderId="22" xfId="0" applyFont="1" applyFill="1" applyBorder="1" applyAlignment="1">
      <alignment vertical="top" wrapText="1"/>
    </xf>
    <xf numFmtId="0" fontId="8" fillId="5" borderId="91" xfId="0" applyFont="1" applyFill="1" applyBorder="1" applyProtection="1">
      <protection locked="0"/>
    </xf>
    <xf numFmtId="0" fontId="7" fillId="15" borderId="13" xfId="0" applyFont="1" applyFill="1" applyBorder="1"/>
    <xf numFmtId="0" fontId="8" fillId="15" borderId="13" xfId="0" applyFont="1" applyFill="1" applyBorder="1"/>
    <xf numFmtId="0" fontId="8" fillId="15" borderId="19" xfId="0" applyFont="1" applyFill="1" applyBorder="1"/>
    <xf numFmtId="44" fontId="52" fillId="5" borderId="10" xfId="0" applyNumberFormat="1" applyFont="1" applyFill="1" applyBorder="1" applyAlignment="1">
      <alignment vertical="center"/>
    </xf>
    <xf numFmtId="0" fontId="4" fillId="5" borderId="0" xfId="0" applyFont="1" applyFill="1" applyAlignment="1">
      <alignment horizontal="center"/>
    </xf>
    <xf numFmtId="0" fontId="4" fillId="5" borderId="1" xfId="0" applyFont="1" applyFill="1" applyBorder="1" applyAlignment="1">
      <alignment horizontal="center"/>
    </xf>
    <xf numFmtId="0" fontId="8" fillId="0" borderId="38" xfId="0" applyFont="1" applyBorder="1" applyAlignment="1">
      <alignment vertical="center"/>
    </xf>
    <xf numFmtId="0" fontId="8" fillId="0" borderId="10" xfId="0" applyFont="1" applyBorder="1" applyAlignment="1">
      <alignment vertical="center"/>
    </xf>
    <xf numFmtId="2" fontId="7" fillId="0" borderId="0" xfId="0" applyNumberFormat="1" applyFont="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8" fillId="0" borderId="0" xfId="0" applyFont="1" applyAlignment="1" applyProtection="1">
      <alignment horizontal="center" vertical="center"/>
      <protection locked="0"/>
    </xf>
    <xf numFmtId="2" fontId="8" fillId="0" borderId="0" xfId="0" applyNumberFormat="1" applyFont="1" applyAlignment="1" applyProtection="1">
      <alignment horizontal="center" vertical="center"/>
      <protection locked="0"/>
    </xf>
    <xf numFmtId="0" fontId="7" fillId="0" borderId="0" xfId="0" applyFont="1" applyAlignment="1" applyProtection="1">
      <alignment horizontal="left" vertical="center"/>
      <protection locked="0"/>
    </xf>
    <xf numFmtId="0" fontId="8" fillId="5" borderId="28" xfId="0" applyFont="1" applyFill="1" applyBorder="1" applyAlignment="1">
      <alignment horizontal="center"/>
    </xf>
    <xf numFmtId="0" fontId="8" fillId="5" borderId="41" xfId="0" applyFont="1" applyFill="1" applyBorder="1" applyAlignment="1" applyProtection="1">
      <alignment vertical="center"/>
      <protection locked="0"/>
    </xf>
    <xf numFmtId="0" fontId="8" fillId="5" borderId="89" xfId="0" applyFont="1" applyFill="1" applyBorder="1" applyAlignment="1" applyProtection="1">
      <alignment vertical="center"/>
      <protection locked="0"/>
    </xf>
    <xf numFmtId="0" fontId="8" fillId="5" borderId="42" xfId="0" applyFont="1" applyFill="1" applyBorder="1" applyAlignment="1">
      <alignment vertical="top" wrapText="1"/>
    </xf>
    <xf numFmtId="0" fontId="8" fillId="5" borderId="0" xfId="0" applyFont="1" applyFill="1" applyAlignment="1">
      <alignment vertical="top"/>
    </xf>
    <xf numFmtId="0" fontId="49" fillId="5" borderId="0" xfId="0" applyFont="1" applyFill="1" applyAlignment="1" applyProtection="1">
      <alignment horizontal="right" vertical="center"/>
      <protection locked="0"/>
    </xf>
    <xf numFmtId="0" fontId="49" fillId="5" borderId="0" xfId="0" applyFont="1" applyFill="1" applyAlignment="1" applyProtection="1">
      <alignment horizontal="left" vertical="center"/>
      <protection locked="0"/>
    </xf>
    <xf numFmtId="165" fontId="8" fillId="5" borderId="1" xfId="0" applyNumberFormat="1" applyFont="1" applyFill="1" applyBorder="1" applyAlignment="1">
      <alignment horizontal="center"/>
    </xf>
    <xf numFmtId="9" fontId="7" fillId="5" borderId="10" xfId="0" applyNumberFormat="1" applyFont="1" applyFill="1" applyBorder="1" applyAlignment="1">
      <alignment horizontal="center" vertical="center"/>
    </xf>
    <xf numFmtId="0" fontId="7" fillId="5" borderId="96" xfId="0" applyFont="1" applyFill="1" applyBorder="1" applyAlignment="1">
      <alignment vertical="center"/>
    </xf>
    <xf numFmtId="1" fontId="50" fillId="16" borderId="0" xfId="0" applyNumberFormat="1" applyFont="1" applyFill="1" applyAlignment="1">
      <alignment horizontal="right" vertical="center" wrapText="1"/>
    </xf>
    <xf numFmtId="0" fontId="8" fillId="16" borderId="0" xfId="0" applyFont="1" applyFill="1" applyAlignment="1">
      <alignment horizontal="right" vertical="center"/>
    </xf>
    <xf numFmtId="8" fontId="8" fillId="16" borderId="0" xfId="0" applyNumberFormat="1" applyFont="1" applyFill="1" applyAlignment="1">
      <alignment horizontal="right" vertical="center"/>
    </xf>
    <xf numFmtId="0" fontId="8" fillId="16" borderId="0" xfId="0" applyFont="1" applyFill="1" applyAlignment="1">
      <alignment horizontal="left" vertical="center" wrapText="1"/>
    </xf>
    <xf numFmtId="164" fontId="8" fillId="5" borderId="0" xfId="0" applyNumberFormat="1" applyFont="1" applyFill="1" applyAlignment="1">
      <alignment horizontal="right" vertical="center"/>
    </xf>
    <xf numFmtId="0" fontId="8" fillId="5" borderId="63" xfId="0" applyFont="1" applyFill="1" applyBorder="1" applyAlignment="1">
      <alignment horizontal="left" vertical="center"/>
    </xf>
    <xf numFmtId="0" fontId="8" fillId="5" borderId="4" xfId="0" applyFont="1" applyFill="1" applyBorder="1" applyAlignment="1">
      <alignment horizontal="left" vertical="center"/>
    </xf>
    <xf numFmtId="8" fontId="8" fillId="16" borderId="10" xfId="0" applyNumberFormat="1" applyFont="1" applyFill="1" applyBorder="1" applyAlignment="1">
      <alignment horizontal="right" vertical="center"/>
    </xf>
    <xf numFmtId="0" fontId="8" fillId="16" borderId="14" xfId="0" applyFont="1" applyFill="1" applyBorder="1" applyAlignment="1">
      <alignment horizontal="left" vertical="center"/>
    </xf>
    <xf numFmtId="0" fontId="8" fillId="5" borderId="45" xfId="0" applyFont="1" applyFill="1" applyBorder="1" applyAlignment="1">
      <alignment horizontal="left" vertical="center"/>
    </xf>
    <xf numFmtId="0" fontId="44" fillId="5" borderId="10" xfId="0" applyFont="1" applyFill="1" applyBorder="1" applyAlignment="1">
      <alignment horizontal="left" vertical="center" wrapText="1"/>
    </xf>
    <xf numFmtId="0" fontId="8" fillId="5" borderId="22" xfId="0" applyFont="1" applyFill="1" applyBorder="1" applyAlignment="1">
      <alignment horizontal="center" vertical="center"/>
    </xf>
    <xf numFmtId="0" fontId="8" fillId="5" borderId="7" xfId="0" applyFont="1" applyFill="1" applyBorder="1" applyAlignment="1">
      <alignment horizontal="center" vertical="center"/>
    </xf>
    <xf numFmtId="0" fontId="7" fillId="5" borderId="6" xfId="0" applyFont="1" applyFill="1" applyBorder="1" applyAlignment="1">
      <alignment vertical="center"/>
    </xf>
    <xf numFmtId="164" fontId="7" fillId="5" borderId="7" xfId="0" applyNumberFormat="1" applyFont="1" applyFill="1" applyBorder="1" applyAlignment="1">
      <alignment vertical="center"/>
    </xf>
    <xf numFmtId="0" fontId="7" fillId="5" borderId="11" xfId="0" applyFont="1" applyFill="1" applyBorder="1" applyAlignment="1">
      <alignment vertical="center"/>
    </xf>
    <xf numFmtId="0" fontId="7" fillId="5" borderId="9" xfId="0" applyFont="1" applyFill="1" applyBorder="1" applyAlignment="1">
      <alignment horizontal="center" vertical="center"/>
    </xf>
    <xf numFmtId="164" fontId="8" fillId="5" borderId="10" xfId="0" applyNumberFormat="1" applyFont="1" applyFill="1" applyBorder="1" applyAlignment="1">
      <alignment vertical="center" wrapText="1"/>
    </xf>
    <xf numFmtId="0" fontId="8" fillId="5" borderId="12" xfId="0" applyFont="1" applyFill="1" applyBorder="1" applyAlignment="1">
      <alignment horizontal="center" vertical="center" wrapText="1"/>
    </xf>
    <xf numFmtId="0" fontId="8" fillId="5" borderId="6" xfId="0" applyFont="1" applyFill="1" applyBorder="1"/>
    <xf numFmtId="0" fontId="8" fillId="3" borderId="45" xfId="0" applyFont="1" applyFill="1" applyBorder="1" applyAlignment="1">
      <alignment vertical="center"/>
    </xf>
    <xf numFmtId="0" fontId="44" fillId="5" borderId="10" xfId="0" applyFont="1" applyFill="1" applyBorder="1" applyAlignment="1">
      <alignment horizontal="center" vertical="center"/>
    </xf>
    <xf numFmtId="0" fontId="8" fillId="3" borderId="19" xfId="0" applyFont="1" applyFill="1" applyBorder="1" applyAlignment="1">
      <alignment horizontal="center" vertical="center"/>
    </xf>
    <xf numFmtId="164" fontId="44" fillId="5" borderId="10" xfId="0" applyNumberFormat="1" applyFont="1" applyFill="1" applyBorder="1" applyAlignment="1">
      <alignment vertical="center"/>
    </xf>
    <xf numFmtId="0" fontId="8" fillId="3" borderId="35" xfId="0" applyFont="1" applyFill="1" applyBorder="1" applyAlignment="1">
      <alignment horizontal="center" vertical="center"/>
    </xf>
    <xf numFmtId="0" fontId="7" fillId="5" borderId="18" xfId="0" applyFont="1" applyFill="1" applyBorder="1" applyAlignment="1">
      <alignment vertical="center"/>
    </xf>
    <xf numFmtId="0" fontId="7" fillId="5" borderId="3" xfId="0" applyFont="1" applyFill="1" applyBorder="1" applyAlignment="1">
      <alignment horizontal="left" vertical="center"/>
    </xf>
    <xf numFmtId="0" fontId="8" fillId="3" borderId="2" xfId="0" applyFont="1" applyFill="1" applyBorder="1" applyAlignment="1">
      <alignment vertical="center"/>
    </xf>
    <xf numFmtId="164" fontId="8" fillId="5" borderId="1" xfId="7" applyNumberFormat="1" applyFont="1" applyFill="1" applyBorder="1" applyAlignment="1">
      <alignment vertical="center"/>
    </xf>
    <xf numFmtId="165" fontId="46" fillId="5" borderId="12" xfId="0" applyNumberFormat="1" applyFont="1" applyFill="1" applyBorder="1" applyAlignment="1">
      <alignment horizontal="right" vertical="center"/>
    </xf>
    <xf numFmtId="0" fontId="8" fillId="0" borderId="31" xfId="0" applyFont="1" applyBorder="1"/>
    <xf numFmtId="0" fontId="7" fillId="5" borderId="7" xfId="0" applyFont="1" applyFill="1" applyBorder="1"/>
    <xf numFmtId="165" fontId="46" fillId="5" borderId="2" xfId="0" applyNumberFormat="1" applyFont="1" applyFill="1" applyBorder="1" applyAlignment="1">
      <alignment horizontal="right" vertical="center"/>
    </xf>
    <xf numFmtId="164" fontId="4" fillId="0" borderId="2" xfId="0" applyNumberFormat="1" applyFont="1" applyBorder="1"/>
    <xf numFmtId="164" fontId="8" fillId="5" borderId="98" xfId="7" applyNumberFormat="1" applyFont="1" applyFill="1" applyBorder="1" applyAlignment="1">
      <alignment vertical="center"/>
    </xf>
    <xf numFmtId="0" fontId="7" fillId="5" borderId="2" xfId="0" applyFont="1" applyFill="1" applyBorder="1" applyAlignment="1">
      <alignment horizontal="right" vertical="center"/>
    </xf>
    <xf numFmtId="0" fontId="8" fillId="3" borderId="97" xfId="0" applyFont="1" applyFill="1" applyBorder="1" applyAlignment="1">
      <alignment horizontal="center" vertical="center"/>
    </xf>
    <xf numFmtId="0" fontId="7" fillId="5" borderId="97" xfId="0" applyFont="1" applyFill="1" applyBorder="1" applyAlignment="1">
      <alignment horizontal="right" vertical="center"/>
    </xf>
    <xf numFmtId="164" fontId="8" fillId="5" borderId="87" xfId="0" applyNumberFormat="1" applyFont="1" applyFill="1" applyBorder="1"/>
    <xf numFmtId="164" fontId="8" fillId="5" borderId="97" xfId="0" applyNumberFormat="1" applyFont="1" applyFill="1" applyBorder="1"/>
    <xf numFmtId="0" fontId="8" fillId="5" borderId="8" xfId="0" applyFont="1" applyFill="1" applyBorder="1"/>
    <xf numFmtId="165" fontId="46" fillId="5" borderId="97" xfId="0" applyNumberFormat="1" applyFont="1" applyFill="1" applyBorder="1" applyAlignment="1">
      <alignment horizontal="right" vertical="center"/>
    </xf>
    <xf numFmtId="0" fontId="7" fillId="5" borderId="2" xfId="0" applyFont="1" applyFill="1" applyBorder="1" applyAlignment="1">
      <alignment horizontal="right"/>
    </xf>
    <xf numFmtId="165" fontId="45" fillId="6" borderId="97" xfId="0" applyNumberFormat="1" applyFont="1" applyFill="1" applyBorder="1" applyAlignment="1">
      <alignment horizontal="right" vertical="center"/>
    </xf>
    <xf numFmtId="164" fontId="8" fillId="6" borderId="87" xfId="7" applyNumberFormat="1" applyFont="1" applyFill="1" applyBorder="1" applyAlignment="1">
      <alignment vertical="center"/>
    </xf>
    <xf numFmtId="0" fontId="45" fillId="6" borderId="97" xfId="0" applyFont="1" applyFill="1" applyBorder="1" applyAlignment="1">
      <alignment horizontal="right"/>
    </xf>
    <xf numFmtId="164" fontId="8" fillId="6" borderId="98" xfId="7" applyNumberFormat="1" applyFont="1" applyFill="1" applyBorder="1" applyAlignment="1">
      <alignment vertical="center"/>
    </xf>
    <xf numFmtId="164" fontId="8" fillId="5" borderId="7" xfId="0" applyNumberFormat="1" applyFont="1" applyFill="1" applyBorder="1" applyAlignment="1">
      <alignment horizontal="center" vertical="center"/>
    </xf>
    <xf numFmtId="164" fontId="8" fillId="5" borderId="63" xfId="0" applyNumberFormat="1" applyFont="1" applyFill="1" applyBorder="1" applyAlignment="1">
      <alignment horizontal="center" vertical="center"/>
    </xf>
    <xf numFmtId="0" fontId="8" fillId="0" borderId="35" xfId="0" applyFont="1" applyBorder="1" applyAlignment="1">
      <alignment vertical="center"/>
    </xf>
    <xf numFmtId="0" fontId="7" fillId="5" borderId="44" xfId="0" applyFont="1" applyFill="1" applyBorder="1"/>
    <xf numFmtId="0" fontId="7" fillId="3" borderId="2" xfId="0" applyFont="1" applyFill="1" applyBorder="1" applyAlignment="1">
      <alignment vertical="center"/>
    </xf>
    <xf numFmtId="2" fontId="8" fillId="5" borderId="10" xfId="0" applyNumberFormat="1" applyFont="1" applyFill="1" applyBorder="1"/>
    <xf numFmtId="0" fontId="7" fillId="5" borderId="44" xfId="0" applyFont="1" applyFill="1" applyBorder="1" applyAlignment="1">
      <alignment horizontal="right"/>
    </xf>
    <xf numFmtId="0" fontId="8" fillId="3" borderId="75" xfId="0" applyFont="1" applyFill="1" applyBorder="1" applyAlignment="1">
      <alignment horizontal="center" vertical="center"/>
    </xf>
    <xf numFmtId="0" fontId="54" fillId="0" borderId="0" xfId="0" applyFont="1"/>
    <xf numFmtId="0" fontId="51" fillId="6" borderId="10" xfId="0" applyFont="1" applyFill="1" applyBorder="1" applyAlignment="1" applyProtection="1">
      <alignment horizontal="left" vertical="top"/>
      <protection locked="0"/>
    </xf>
    <xf numFmtId="0" fontId="49" fillId="5" borderId="0" xfId="0" applyFont="1" applyFill="1" applyAlignment="1" applyProtection="1">
      <alignment vertical="top" wrapText="1"/>
      <protection locked="0"/>
    </xf>
    <xf numFmtId="0" fontId="52" fillId="5" borderId="10" xfId="0" applyFont="1" applyFill="1" applyBorder="1" applyAlignment="1">
      <alignment horizontal="center" vertical="center"/>
    </xf>
    <xf numFmtId="0" fontId="44" fillId="5" borderId="0" xfId="0" applyFont="1" applyFill="1" applyAlignment="1">
      <alignment horizontal="center" vertical="center"/>
    </xf>
    <xf numFmtId="0" fontId="44" fillId="5" borderId="7" xfId="0" applyFont="1" applyFill="1" applyBorder="1" applyAlignment="1">
      <alignment horizontal="center" vertical="center"/>
    </xf>
    <xf numFmtId="165" fontId="44" fillId="5" borderId="63" xfId="0" applyNumberFormat="1" applyFont="1" applyFill="1" applyBorder="1" applyAlignment="1">
      <alignment horizontal="center" vertical="center"/>
    </xf>
    <xf numFmtId="165" fontId="44" fillId="5" borderId="7" xfId="0" applyNumberFormat="1" applyFont="1" applyFill="1" applyBorder="1" applyAlignment="1">
      <alignment horizontal="left" vertical="center"/>
    </xf>
    <xf numFmtId="165" fontId="44" fillId="5" borderId="7" xfId="0" applyNumberFormat="1" applyFont="1" applyFill="1" applyBorder="1" applyAlignment="1">
      <alignment horizontal="center" vertical="center"/>
    </xf>
    <xf numFmtId="0" fontId="44" fillId="0" borderId="10" xfId="0" applyFont="1" applyBorder="1"/>
    <xf numFmtId="0" fontId="51" fillId="6" borderId="0" xfId="0" applyFont="1" applyFill="1" applyAlignment="1" applyProtection="1">
      <alignment horizontal="left" vertical="top"/>
      <protection locked="0"/>
    </xf>
    <xf numFmtId="0" fontId="49" fillId="0" borderId="0" xfId="0" applyFont="1" applyAlignment="1" applyProtection="1">
      <alignment horizontal="center"/>
      <protection locked="0"/>
    </xf>
    <xf numFmtId="0" fontId="13" fillId="0" borderId="0" xfId="0" applyFont="1" applyAlignment="1">
      <alignment vertical="center"/>
    </xf>
    <xf numFmtId="0" fontId="49" fillId="0" borderId="0" xfId="0" applyFont="1" applyAlignment="1" applyProtection="1">
      <alignment horizontal="left" vertical="center"/>
      <protection locked="0"/>
    </xf>
    <xf numFmtId="0" fontId="49" fillId="0" borderId="0" xfId="0" applyFont="1" applyAlignment="1" applyProtection="1">
      <alignment vertical="top" wrapText="1"/>
      <protection locked="0"/>
    </xf>
    <xf numFmtId="0" fontId="44" fillId="0" borderId="14" xfId="0" applyFont="1" applyBorder="1"/>
    <xf numFmtId="0" fontId="7" fillId="0" borderId="28" xfId="0" applyFont="1" applyBorder="1" applyAlignment="1">
      <alignment horizontal="left" vertical="top" wrapText="1"/>
    </xf>
    <xf numFmtId="0" fontId="51" fillId="0" borderId="0" xfId="0" applyFont="1" applyAlignment="1" applyProtection="1">
      <alignment vertical="top"/>
      <protection locked="0"/>
    </xf>
    <xf numFmtId="0" fontId="7" fillId="5" borderId="85" xfId="0" applyFont="1" applyFill="1" applyBorder="1" applyAlignment="1">
      <alignment horizontal="left" vertical="center" wrapText="1"/>
    </xf>
    <xf numFmtId="0" fontId="55" fillId="0" borderId="0" xfId="0" applyFont="1"/>
    <xf numFmtId="0" fontId="4" fillId="0" borderId="4" xfId="0" applyFont="1" applyBorder="1" applyAlignment="1">
      <alignment horizontal="center"/>
    </xf>
    <xf numFmtId="2" fontId="4" fillId="0" borderId="0" xfId="0" applyNumberFormat="1" applyFont="1" applyAlignment="1">
      <alignment horizontal="center" wrapText="1"/>
    </xf>
    <xf numFmtId="1" fontId="4" fillId="0" borderId="0" xfId="0" applyNumberFormat="1" applyFont="1" applyAlignment="1">
      <alignment horizontal="center" wrapText="1"/>
    </xf>
    <xf numFmtId="0" fontId="7" fillId="5" borderId="96" xfId="0" applyFont="1" applyFill="1" applyBorder="1"/>
    <xf numFmtId="164" fontId="4" fillId="0" borderId="0" xfId="7" applyNumberFormat="1" applyFont="1" applyFill="1" applyBorder="1" applyAlignment="1">
      <alignment horizontal="center" vertical="center"/>
    </xf>
    <xf numFmtId="164" fontId="4" fillId="0" borderId="0" xfId="7" applyNumberFormat="1" applyFont="1" applyFill="1" applyBorder="1" applyAlignment="1">
      <alignment horizontal="center"/>
    </xf>
    <xf numFmtId="0" fontId="11" fillId="0" borderId="0" xfId="0" applyFont="1" applyAlignment="1">
      <alignment horizontal="left"/>
    </xf>
    <xf numFmtId="0" fontId="15" fillId="0" borderId="0" xfId="0" applyFont="1" applyAlignment="1">
      <alignment horizontal="left"/>
    </xf>
    <xf numFmtId="0" fontId="16" fillId="0" borderId="0" xfId="0" applyFont="1" applyAlignment="1">
      <alignment horizontal="right" indent="1"/>
    </xf>
    <xf numFmtId="0" fontId="16" fillId="0" borderId="0" xfId="0" applyFont="1" applyAlignment="1">
      <alignment horizontal="center"/>
    </xf>
    <xf numFmtId="1" fontId="16" fillId="0" borderId="0" xfId="0" applyNumberFormat="1" applyFont="1" applyAlignment="1">
      <alignment horizontal="center"/>
    </xf>
    <xf numFmtId="10" fontId="9" fillId="0" borderId="0" xfId="5" applyNumberFormat="1" applyFont="1" applyFill="1" applyBorder="1" applyAlignment="1" applyProtection="1">
      <alignment horizontal="center"/>
    </xf>
    <xf numFmtId="10" fontId="14" fillId="0" borderId="0" xfId="5" applyNumberFormat="1" applyFont="1" applyFill="1" applyBorder="1" applyAlignment="1" applyProtection="1">
      <alignment horizontal="center"/>
    </xf>
    <xf numFmtId="3" fontId="9" fillId="0" borderId="0" xfId="0" applyNumberFormat="1" applyFont="1" applyAlignment="1">
      <alignment horizontal="center"/>
    </xf>
    <xf numFmtId="0" fontId="4" fillId="0" borderId="0" xfId="0" quotePrefix="1" applyFont="1" applyAlignment="1">
      <alignment horizontal="right"/>
    </xf>
    <xf numFmtId="164" fontId="6" fillId="0" borderId="0" xfId="0" applyNumberFormat="1" applyFont="1"/>
    <xf numFmtId="0" fontId="17" fillId="0" borderId="0" xfId="0" applyFont="1" applyAlignment="1">
      <alignment horizontal="left"/>
    </xf>
    <xf numFmtId="0" fontId="4" fillId="0" borderId="0" xfId="0" quotePrefix="1" applyFont="1"/>
    <xf numFmtId="165" fontId="4" fillId="0" borderId="0" xfId="0" applyNumberFormat="1" applyFont="1" applyAlignment="1">
      <alignment horizontal="center" vertical="center"/>
    </xf>
    <xf numFmtId="0" fontId="4" fillId="0" borderId="100" xfId="0" applyFont="1" applyBorder="1"/>
    <xf numFmtId="0" fontId="4" fillId="0" borderId="28" xfId="0" applyFont="1" applyBorder="1"/>
    <xf numFmtId="164" fontId="4" fillId="0" borderId="28" xfId="0" applyNumberFormat="1" applyFont="1" applyBorder="1" applyAlignment="1">
      <alignment horizontal="center"/>
    </xf>
    <xf numFmtId="0" fontId="4" fillId="0" borderId="34" xfId="0" applyFont="1" applyBorder="1"/>
    <xf numFmtId="0" fontId="4" fillId="0" borderId="37" xfId="0" applyFont="1" applyBorder="1"/>
    <xf numFmtId="0" fontId="4" fillId="0" borderId="91" xfId="0" applyFont="1" applyBorder="1"/>
    <xf numFmtId="0" fontId="44" fillId="6" borderId="14" xfId="0" applyFont="1" applyFill="1" applyBorder="1"/>
    <xf numFmtId="0" fontId="51" fillId="6" borderId="13" xfId="0" applyFont="1" applyFill="1" applyBorder="1" applyAlignment="1" applyProtection="1">
      <alignment horizontal="left" vertical="top"/>
      <protection locked="0"/>
    </xf>
    <xf numFmtId="0" fontId="8" fillId="3" borderId="10" xfId="0" applyFont="1" applyFill="1" applyBorder="1" applyAlignment="1">
      <alignment horizontal="center" vertical="center"/>
    </xf>
    <xf numFmtId="0" fontId="44" fillId="6" borderId="13" xfId="0" applyFont="1" applyFill="1" applyBorder="1"/>
    <xf numFmtId="0" fontId="7" fillId="6" borderId="18" xfId="0" applyFont="1" applyFill="1" applyBorder="1" applyAlignment="1">
      <alignment horizontal="left" vertical="center" wrapText="1"/>
    </xf>
    <xf numFmtId="0" fontId="7" fillId="5" borderId="10" xfId="0" applyFont="1" applyFill="1" applyBorder="1" applyAlignment="1" applyProtection="1">
      <alignment horizontal="center" vertical="center"/>
      <protection locked="0"/>
    </xf>
    <xf numFmtId="0" fontId="46" fillId="3" borderId="56" xfId="0" applyFont="1" applyFill="1" applyBorder="1" applyAlignment="1">
      <alignment horizontal="center" vertical="center"/>
    </xf>
    <xf numFmtId="165" fontId="8" fillId="5" borderId="1" xfId="0" applyNumberFormat="1" applyFont="1" applyFill="1" applyBorder="1" applyAlignment="1">
      <alignment horizontal="center" vertical="center"/>
    </xf>
    <xf numFmtId="165" fontId="46" fillId="3" borderId="101" xfId="0" applyNumberFormat="1" applyFont="1" applyFill="1" applyBorder="1" applyAlignment="1">
      <alignment horizontal="center" vertical="center"/>
    </xf>
    <xf numFmtId="0" fontId="4" fillId="16" borderId="45" xfId="0" applyFont="1" applyFill="1" applyBorder="1" applyAlignment="1">
      <alignment horizontal="left" vertical="center" wrapText="1"/>
    </xf>
    <xf numFmtId="0" fontId="4" fillId="16" borderId="10" xfId="0" applyFont="1" applyFill="1" applyBorder="1" applyAlignment="1">
      <alignment horizontal="left" vertical="center" wrapText="1"/>
    </xf>
    <xf numFmtId="0" fontId="45" fillId="5" borderId="79" xfId="0" applyFont="1" applyFill="1" applyBorder="1" applyAlignment="1">
      <alignment vertical="center"/>
    </xf>
    <xf numFmtId="0" fontId="49" fillId="0" borderId="0" xfId="0" applyFont="1" applyAlignment="1" applyProtection="1">
      <alignment horizontal="center" vertical="center"/>
      <protection locked="0"/>
    </xf>
    <xf numFmtId="0" fontId="49" fillId="5" borderId="6" xfId="0" applyFont="1" applyFill="1" applyBorder="1" applyAlignment="1" applyProtection="1">
      <alignment horizontal="left" vertical="center"/>
      <protection locked="0"/>
    </xf>
    <xf numFmtId="0" fontId="7" fillId="0" borderId="0" xfId="0" applyFont="1" applyAlignment="1">
      <alignment horizontal="right"/>
    </xf>
    <xf numFmtId="44" fontId="49" fillId="0" borderId="0" xfId="7" applyFont="1" applyFill="1" applyBorder="1" applyAlignment="1" applyProtection="1">
      <alignment horizontal="right" vertical="center"/>
      <protection locked="0"/>
    </xf>
    <xf numFmtId="0" fontId="49" fillId="0" borderId="0" xfId="0" applyFont="1" applyAlignment="1" applyProtection="1">
      <alignment horizontal="right" vertical="center"/>
      <protection locked="0"/>
    </xf>
    <xf numFmtId="44" fontId="49" fillId="0" borderId="0" xfId="7" applyFont="1" applyFill="1" applyBorder="1" applyAlignment="1" applyProtection="1">
      <alignment vertical="center"/>
      <protection locked="0"/>
    </xf>
    <xf numFmtId="44" fontId="49" fillId="0" borderId="0" xfId="7" applyFont="1" applyFill="1" applyBorder="1" applyAlignment="1" applyProtection="1">
      <alignment horizontal="left" vertical="center"/>
      <protection locked="0"/>
    </xf>
    <xf numFmtId="44" fontId="49" fillId="0" borderId="0" xfId="7" applyFont="1" applyFill="1" applyBorder="1" applyAlignment="1" applyProtection="1">
      <alignment horizontal="left" vertical="center"/>
    </xf>
    <xf numFmtId="0" fontId="49" fillId="0" borderId="0" xfId="0" applyFont="1" applyAlignment="1" applyProtection="1">
      <alignment vertical="center"/>
      <protection locked="0"/>
    </xf>
    <xf numFmtId="0" fontId="49" fillId="0" borderId="0" xfId="0" applyFont="1" applyProtection="1">
      <protection locked="0"/>
    </xf>
    <xf numFmtId="0" fontId="51" fillId="0" borderId="0" xfId="0" applyFont="1" applyAlignment="1" applyProtection="1">
      <alignment vertical="center" wrapText="1"/>
      <protection locked="0"/>
    </xf>
    <xf numFmtId="0" fontId="51" fillId="0" borderId="0" xfId="0" applyFont="1" applyAlignment="1" applyProtection="1">
      <alignment vertical="center"/>
      <protection locked="0"/>
    </xf>
    <xf numFmtId="44" fontId="52" fillId="0" borderId="0" xfId="0" applyNumberFormat="1" applyFont="1" applyAlignment="1">
      <alignment vertical="center"/>
    </xf>
    <xf numFmtId="0" fontId="52" fillId="0" borderId="0" xfId="0" applyFont="1" applyAlignment="1">
      <alignment horizontal="center" vertical="center"/>
    </xf>
    <xf numFmtId="0" fontId="49" fillId="0" borderId="0" xfId="0" applyFont="1" applyAlignment="1" applyProtection="1">
      <alignment horizontal="left" vertical="top"/>
      <protection locked="0"/>
    </xf>
    <xf numFmtId="0" fontId="8" fillId="5" borderId="0" xfId="0" applyFont="1" applyFill="1" applyAlignment="1">
      <alignment horizontal="right" vertical="center"/>
    </xf>
    <xf numFmtId="0" fontId="8" fillId="5" borderId="0" xfId="0" applyFont="1" applyFill="1" applyAlignment="1">
      <alignment horizontal="right"/>
    </xf>
    <xf numFmtId="0" fontId="8" fillId="5" borderId="89" xfId="0" applyFont="1" applyFill="1" applyBorder="1" applyAlignment="1">
      <alignment vertical="center"/>
    </xf>
    <xf numFmtId="0" fontId="8" fillId="5" borderId="6" xfId="0" applyFont="1" applyFill="1" applyBorder="1" applyAlignment="1">
      <alignment vertical="center"/>
    </xf>
    <xf numFmtId="0" fontId="7" fillId="2" borderId="7" xfId="0" applyFont="1" applyFill="1" applyBorder="1"/>
    <xf numFmtId="0" fontId="7" fillId="3" borderId="75" xfId="0" applyFont="1" applyFill="1" applyBorder="1" applyAlignment="1">
      <alignment vertical="center"/>
    </xf>
    <xf numFmtId="0" fontId="8" fillId="3" borderId="75" xfId="0" applyFont="1" applyFill="1" applyBorder="1" applyAlignment="1">
      <alignment vertical="center"/>
    </xf>
    <xf numFmtId="0" fontId="8" fillId="5" borderId="100" xfId="0" applyFont="1" applyFill="1" applyBorder="1"/>
    <xf numFmtId="10" fontId="14" fillId="0" borderId="50" xfId="5" applyNumberFormat="1" applyFont="1" applyFill="1" applyBorder="1" applyAlignment="1" applyProtection="1">
      <alignment horizontal="center"/>
    </xf>
    <xf numFmtId="3" fontId="9" fillId="0" borderId="50" xfId="0" applyNumberFormat="1" applyFont="1" applyBorder="1" applyAlignment="1">
      <alignment horizontal="center"/>
    </xf>
    <xf numFmtId="0" fontId="22" fillId="0" borderId="0" xfId="0" applyFont="1" applyAlignment="1">
      <alignment vertical="center"/>
    </xf>
    <xf numFmtId="0" fontId="19" fillId="0" borderId="0" xfId="0" applyFont="1" applyAlignment="1">
      <alignment horizontal="left" vertical="center"/>
    </xf>
    <xf numFmtId="0" fontId="20" fillId="0" borderId="0" xfId="0" applyFont="1" applyAlignment="1">
      <alignment horizontal="center" vertical="center"/>
    </xf>
    <xf numFmtId="0" fontId="19" fillId="0" borderId="0" xfId="0" applyFont="1" applyAlignment="1">
      <alignment horizontal="center" vertical="center"/>
    </xf>
    <xf numFmtId="43" fontId="23" fillId="0" borderId="0" xfId="6" applyFont="1" applyFill="1" applyBorder="1" applyAlignment="1">
      <alignment horizontal="center" vertical="center"/>
    </xf>
    <xf numFmtId="0" fontId="19" fillId="6" borderId="0" xfId="0" applyFont="1" applyFill="1" applyAlignment="1">
      <alignment horizontal="center" vertical="center"/>
    </xf>
    <xf numFmtId="0" fontId="6" fillId="0" borderId="0" xfId="0" applyFont="1" applyAlignment="1">
      <alignment horizontal="left" vertical="center"/>
    </xf>
    <xf numFmtId="0" fontId="25" fillId="0" borderId="0" xfId="0" applyFont="1"/>
    <xf numFmtId="0" fontId="7" fillId="5" borderId="93" xfId="0" applyFont="1" applyFill="1" applyBorder="1" applyAlignment="1" applyProtection="1">
      <alignment horizontal="center" vertical="center"/>
      <protection locked="0"/>
    </xf>
    <xf numFmtId="0" fontId="8" fillId="5" borderId="93" xfId="0" applyFont="1" applyFill="1" applyBorder="1" applyProtection="1">
      <protection locked="0"/>
    </xf>
    <xf numFmtId="165" fontId="8" fillId="5" borderId="94" xfId="0" applyNumberFormat="1" applyFont="1" applyFill="1" applyBorder="1" applyAlignment="1">
      <alignment horizontal="center"/>
    </xf>
    <xf numFmtId="9" fontId="8" fillId="5" borderId="94" xfId="0" applyNumberFormat="1" applyFont="1" applyFill="1" applyBorder="1" applyAlignment="1" applyProtection="1">
      <alignment horizontal="center"/>
      <protection locked="0"/>
    </xf>
    <xf numFmtId="0" fontId="8" fillId="5" borderId="94" xfId="0" applyFont="1" applyFill="1" applyBorder="1" applyAlignment="1" applyProtection="1">
      <alignment horizontal="center"/>
      <protection locked="0"/>
    </xf>
    <xf numFmtId="165" fontId="8" fillId="5" borderId="94" xfId="0" applyNumberFormat="1" applyFont="1" applyFill="1" applyBorder="1" applyAlignment="1" applyProtection="1">
      <alignment horizontal="center" vertical="center"/>
      <protection locked="0"/>
    </xf>
    <xf numFmtId="0" fontId="8" fillId="5" borderId="94" xfId="0" applyFont="1" applyFill="1" applyBorder="1" applyAlignment="1" applyProtection="1">
      <alignment horizontal="center" vertical="center"/>
      <protection locked="0"/>
    </xf>
    <xf numFmtId="0" fontId="8" fillId="5" borderId="94" xfId="0" applyFont="1" applyFill="1" applyBorder="1" applyAlignment="1">
      <alignment horizontal="center" vertical="center"/>
    </xf>
    <xf numFmtId="165" fontId="8" fillId="5" borderId="102" xfId="0" applyNumberFormat="1" applyFont="1" applyFill="1" applyBorder="1" applyAlignment="1">
      <alignment horizontal="center" vertical="center"/>
    </xf>
    <xf numFmtId="0" fontId="8" fillId="3" borderId="3" xfId="0" applyFont="1" applyFill="1" applyBorder="1" applyAlignment="1">
      <alignment vertical="center"/>
    </xf>
    <xf numFmtId="9" fontId="4" fillId="0" borderId="0" xfId="5" applyFont="1" applyBorder="1"/>
    <xf numFmtId="165" fontId="4" fillId="0" borderId="0" xfId="5" applyNumberFormat="1" applyFont="1" applyBorder="1"/>
    <xf numFmtId="164" fontId="4" fillId="0" borderId="0" xfId="0" applyNumberFormat="1" applyFont="1" applyAlignment="1">
      <alignment horizontal="right"/>
    </xf>
    <xf numFmtId="0" fontId="59" fillId="3" borderId="44" xfId="0" applyFont="1" applyFill="1" applyBorder="1" applyAlignment="1">
      <alignment vertical="center"/>
    </xf>
    <xf numFmtId="0" fontId="59" fillId="3" borderId="45" xfId="0" applyFont="1" applyFill="1" applyBorder="1" applyAlignment="1">
      <alignment vertical="center"/>
    </xf>
    <xf numFmtId="165" fontId="8" fillId="5" borderId="0" xfId="0" applyNumberFormat="1" applyFont="1" applyFill="1" applyAlignment="1">
      <alignment horizontal="center"/>
    </xf>
    <xf numFmtId="165" fontId="8" fillId="5" borderId="76" xfId="0" applyNumberFormat="1" applyFont="1" applyFill="1" applyBorder="1" applyAlignment="1">
      <alignment horizontal="center"/>
    </xf>
    <xf numFmtId="0" fontId="56" fillId="0" borderId="0" xfId="0" applyFont="1" applyAlignment="1">
      <alignment horizontal="center"/>
    </xf>
    <xf numFmtId="0" fontId="8" fillId="17" borderId="0" xfId="0" applyFont="1" applyFill="1" applyAlignment="1" applyProtection="1">
      <alignment horizontal="right" vertical="center" wrapText="1"/>
      <protection locked="0"/>
    </xf>
    <xf numFmtId="0" fontId="8" fillId="17" borderId="0" xfId="0" applyFont="1" applyFill="1" applyAlignment="1" applyProtection="1">
      <alignment horizontal="right" vertical="center"/>
      <protection locked="0"/>
    </xf>
    <xf numFmtId="0" fontId="8" fillId="7" borderId="0" xfId="0" applyFont="1" applyFill="1" applyAlignment="1" applyProtection="1">
      <alignment horizontal="center"/>
      <protection locked="0"/>
    </xf>
    <xf numFmtId="0" fontId="8" fillId="7" borderId="1" xfId="0" applyFont="1" applyFill="1" applyBorder="1" applyAlignment="1" applyProtection="1">
      <alignment horizontal="center"/>
      <protection locked="0"/>
    </xf>
    <xf numFmtId="9" fontId="8" fillId="18" borderId="0" xfId="0" applyNumberFormat="1" applyFont="1" applyFill="1" applyAlignment="1" applyProtection="1">
      <alignment horizontal="center" vertical="center"/>
      <protection locked="0"/>
    </xf>
    <xf numFmtId="165" fontId="8" fillId="18" borderId="0" xfId="0" applyNumberFormat="1" applyFont="1" applyFill="1" applyAlignment="1" applyProtection="1">
      <alignment horizontal="center" vertical="center"/>
      <protection locked="0"/>
    </xf>
    <xf numFmtId="0" fontId="8" fillId="7" borderId="0" xfId="0" applyFont="1" applyFill="1" applyAlignment="1" applyProtection="1">
      <alignment horizontal="right"/>
      <protection locked="0"/>
    </xf>
    <xf numFmtId="0" fontId="8" fillId="7" borderId="88" xfId="0" applyFont="1" applyFill="1" applyBorder="1" applyProtection="1">
      <protection locked="0"/>
    </xf>
    <xf numFmtId="165" fontId="8" fillId="18" borderId="1" xfId="0" applyNumberFormat="1" applyFont="1" applyFill="1" applyBorder="1" applyAlignment="1" applyProtection="1">
      <alignment horizontal="center" vertical="center"/>
      <protection locked="0"/>
    </xf>
    <xf numFmtId="9" fontId="8" fillId="18" borderId="0" xfId="5" applyFont="1" applyFill="1" applyAlignment="1" applyProtection="1">
      <alignment horizontal="center"/>
      <protection locked="0"/>
    </xf>
    <xf numFmtId="9" fontId="8" fillId="18" borderId="1" xfId="5" applyFont="1" applyFill="1" applyBorder="1" applyAlignment="1" applyProtection="1">
      <alignment horizontal="center"/>
      <protection locked="0"/>
    </xf>
    <xf numFmtId="10" fontId="8" fillId="18" borderId="0" xfId="5" applyNumberFormat="1" applyFont="1" applyFill="1" applyAlignment="1" applyProtection="1">
      <alignment horizontal="center"/>
      <protection locked="0"/>
    </xf>
    <xf numFmtId="10" fontId="8" fillId="18" borderId="1" xfId="5" applyNumberFormat="1" applyFont="1" applyFill="1" applyBorder="1" applyAlignment="1" applyProtection="1">
      <alignment horizontal="center"/>
      <protection locked="0"/>
    </xf>
    <xf numFmtId="0" fontId="8" fillId="18" borderId="0" xfId="0" applyFont="1" applyFill="1" applyAlignment="1" applyProtection="1">
      <alignment horizontal="center"/>
      <protection locked="0"/>
    </xf>
    <xf numFmtId="0" fontId="8" fillId="18" borderId="1" xfId="0" applyFont="1" applyFill="1" applyBorder="1" applyAlignment="1" applyProtection="1">
      <alignment horizontal="center"/>
      <protection locked="0"/>
    </xf>
    <xf numFmtId="0" fontId="46" fillId="7" borderId="10" xfId="0" applyFont="1" applyFill="1" applyBorder="1" applyAlignment="1" applyProtection="1">
      <alignment vertical="center" wrapText="1"/>
      <protection locked="0"/>
    </xf>
    <xf numFmtId="0" fontId="7" fillId="7" borderId="10" xfId="0" applyFont="1" applyFill="1" applyBorder="1" applyAlignment="1" applyProtection="1">
      <alignment vertical="center"/>
      <protection locked="0"/>
    </xf>
    <xf numFmtId="0" fontId="8" fillId="7" borderId="75" xfId="0" applyFont="1" applyFill="1" applyBorder="1" applyAlignment="1" applyProtection="1">
      <alignment horizontal="center" vertical="center"/>
      <protection locked="0"/>
    </xf>
    <xf numFmtId="0" fontId="8" fillId="7" borderId="87" xfId="0" applyFont="1" applyFill="1" applyBorder="1" applyAlignment="1" applyProtection="1">
      <alignment horizontal="center"/>
      <protection locked="0"/>
    </xf>
    <xf numFmtId="0" fontId="8" fillId="7" borderId="86" xfId="0" applyFont="1" applyFill="1" applyBorder="1" applyAlignment="1" applyProtection="1">
      <alignment horizontal="center"/>
      <protection locked="0"/>
    </xf>
    <xf numFmtId="0" fontId="7" fillId="7" borderId="12" xfId="0" applyFont="1" applyFill="1" applyBorder="1" applyAlignment="1" applyProtection="1">
      <alignment vertical="center"/>
      <protection locked="0"/>
    </xf>
    <xf numFmtId="9" fontId="7" fillId="18" borderId="13" xfId="0" applyNumberFormat="1" applyFont="1" applyFill="1" applyBorder="1" applyAlignment="1" applyProtection="1">
      <alignment horizontal="center" vertical="center"/>
      <protection locked="0"/>
    </xf>
    <xf numFmtId="164" fontId="7" fillId="18" borderId="13" xfId="0" applyNumberFormat="1" applyFont="1" applyFill="1" applyBorder="1" applyAlignment="1" applyProtection="1">
      <alignment horizontal="center" vertical="center"/>
      <protection locked="0"/>
    </xf>
    <xf numFmtId="0" fontId="7" fillId="6" borderId="13" xfId="0" applyFont="1" applyFill="1" applyBorder="1" applyAlignment="1" applyProtection="1">
      <alignment horizontal="left" vertical="top"/>
      <protection locked="0"/>
    </xf>
    <xf numFmtId="0" fontId="8" fillId="5" borderId="11" xfId="0" applyFont="1" applyFill="1" applyBorder="1" applyAlignment="1" applyProtection="1">
      <alignment horizontal="right" vertical="center"/>
      <protection locked="0"/>
    </xf>
    <xf numFmtId="0" fontId="8" fillId="5" borderId="0" xfId="0" applyFont="1" applyFill="1" applyAlignment="1" applyProtection="1">
      <alignment horizontal="left" vertical="center"/>
      <protection locked="0"/>
    </xf>
    <xf numFmtId="0" fontId="8" fillId="5" borderId="0" xfId="0" applyFont="1" applyFill="1" applyAlignment="1" applyProtection="1">
      <alignment vertical="top" wrapText="1"/>
      <protection locked="0"/>
    </xf>
    <xf numFmtId="44" fontId="44" fillId="5" borderId="10" xfId="0" applyNumberFormat="1" applyFont="1" applyFill="1" applyBorder="1" applyAlignment="1">
      <alignment vertical="center"/>
    </xf>
    <xf numFmtId="2" fontId="14" fillId="18" borderId="10" xfId="6" applyNumberFormat="1" applyFont="1" applyFill="1" applyBorder="1" applyAlignment="1" applyProtection="1">
      <alignment horizontal="right"/>
      <protection locked="0"/>
    </xf>
    <xf numFmtId="2" fontId="14" fillId="18" borderId="0" xfId="6" applyNumberFormat="1" applyFont="1" applyFill="1" applyBorder="1" applyAlignment="1" applyProtection="1">
      <alignment horizontal="right"/>
      <protection locked="0"/>
    </xf>
    <xf numFmtId="2" fontId="14" fillId="18" borderId="0" xfId="0" applyNumberFormat="1" applyFont="1" applyFill="1" applyAlignment="1" applyProtection="1">
      <alignment horizontal="right"/>
      <protection locked="0"/>
    </xf>
    <xf numFmtId="0" fontId="8" fillId="7" borderId="99" xfId="0" applyFont="1" applyFill="1" applyBorder="1" applyAlignment="1" applyProtection="1">
      <alignment horizontal="center"/>
      <protection locked="0"/>
    </xf>
    <xf numFmtId="0" fontId="8" fillId="7" borderId="8" xfId="0" applyFont="1" applyFill="1" applyBorder="1" applyAlignment="1" applyProtection="1">
      <alignment horizontal="center"/>
      <protection locked="0"/>
    </xf>
    <xf numFmtId="0" fontId="8" fillId="7" borderId="12" xfId="0" applyFont="1" applyFill="1" applyBorder="1" applyAlignment="1" applyProtection="1">
      <alignment horizontal="center"/>
      <protection locked="0"/>
    </xf>
    <xf numFmtId="0" fontId="8" fillId="18" borderId="0" xfId="0" applyFont="1" applyFill="1" applyAlignment="1">
      <alignment horizontal="center" vertical="center"/>
    </xf>
    <xf numFmtId="2" fontId="8" fillId="18" borderId="0" xfId="0" applyNumberFormat="1" applyFont="1" applyFill="1" applyAlignment="1">
      <alignment horizontal="center" vertical="center"/>
    </xf>
    <xf numFmtId="43" fontId="23" fillId="0" borderId="0" xfId="6" applyFont="1" applyAlignment="1">
      <alignment horizontal="center" vertical="center"/>
    </xf>
    <xf numFmtId="0" fontId="8" fillId="0" borderId="0" xfId="0" applyFont="1" applyAlignment="1">
      <alignment horizontal="left" vertical="center"/>
    </xf>
    <xf numFmtId="0" fontId="50" fillId="0" borderId="0" xfId="0" applyFont="1" applyAlignment="1">
      <alignment horizontal="left" vertical="center"/>
    </xf>
    <xf numFmtId="0" fontId="8" fillId="5" borderId="103" xfId="0" applyFont="1" applyFill="1" applyBorder="1" applyAlignment="1">
      <alignment vertical="center"/>
    </xf>
    <xf numFmtId="0" fontId="8" fillId="5" borderId="104" xfId="0" applyFont="1" applyFill="1" applyBorder="1" applyAlignment="1">
      <alignment vertical="center"/>
    </xf>
    <xf numFmtId="0" fontId="8" fillId="5" borderId="104" xfId="0" applyFont="1" applyFill="1" applyBorder="1" applyAlignment="1">
      <alignment horizontal="center" vertical="center"/>
    </xf>
    <xf numFmtId="0" fontId="7" fillId="2" borderId="75" xfId="0" applyFont="1" applyFill="1" applyBorder="1" applyAlignment="1">
      <alignment vertical="center"/>
    </xf>
    <xf numFmtId="0" fontId="8" fillId="2" borderId="7" xfId="0" applyFont="1" applyFill="1" applyBorder="1"/>
    <xf numFmtId="0" fontId="7" fillId="5" borderId="7" xfId="0" applyFont="1" applyFill="1" applyBorder="1" applyAlignment="1" applyProtection="1">
      <alignment horizontal="left" vertical="top"/>
      <protection locked="0"/>
    </xf>
    <xf numFmtId="0" fontId="8" fillId="5" borderId="42" xfId="0" applyFont="1" applyFill="1" applyBorder="1" applyAlignment="1" applyProtection="1">
      <alignment horizontal="center" vertical="center"/>
      <protection locked="0"/>
    </xf>
    <xf numFmtId="0" fontId="8" fillId="5" borderId="6" xfId="0" applyFont="1" applyFill="1" applyBorder="1" applyAlignment="1" applyProtection="1">
      <alignment vertical="top" wrapText="1"/>
      <protection locked="0"/>
    </xf>
    <xf numFmtId="0" fontId="43" fillId="0" borderId="0" xfId="0" applyFont="1" applyAlignment="1">
      <alignment vertical="center"/>
    </xf>
    <xf numFmtId="0" fontId="8" fillId="0" borderId="13" xfId="0" applyFont="1" applyBorder="1" applyAlignment="1">
      <alignment horizontal="left"/>
    </xf>
    <xf numFmtId="0" fontId="60" fillId="20" borderId="65" xfId="0" applyFont="1" applyFill="1" applyBorder="1" applyAlignment="1">
      <alignment horizontal="center" vertical="center"/>
    </xf>
    <xf numFmtId="0" fontId="60" fillId="20" borderId="105" xfId="0" applyFont="1" applyFill="1" applyBorder="1" applyAlignment="1">
      <alignment horizontal="center" vertical="center"/>
    </xf>
    <xf numFmtId="0" fontId="4" fillId="0" borderId="0" xfId="0" applyFont="1" applyAlignment="1">
      <alignment horizontal="center" vertical="center"/>
    </xf>
    <xf numFmtId="4" fontId="4" fillId="21" borderId="65" xfId="0" applyNumberFormat="1" applyFont="1" applyFill="1" applyBorder="1" applyAlignment="1">
      <alignment horizontal="center" vertical="center"/>
    </xf>
    <xf numFmtId="4" fontId="4" fillId="0" borderId="65" xfId="0" applyNumberFormat="1" applyFont="1" applyBorder="1" applyAlignment="1">
      <alignment horizontal="center" vertical="center"/>
    </xf>
    <xf numFmtId="0" fontId="4" fillId="0" borderId="77" xfId="0" applyFont="1" applyBorder="1" applyAlignment="1">
      <alignment horizontal="center" vertical="center"/>
    </xf>
    <xf numFmtId="4" fontId="4" fillId="0" borderId="66" xfId="0" applyNumberFormat="1" applyFont="1" applyBorder="1" applyAlignment="1">
      <alignment horizontal="center" vertical="center"/>
    </xf>
    <xf numFmtId="0" fontId="7" fillId="5" borderId="97" xfId="0" applyFont="1" applyFill="1" applyBorder="1"/>
    <xf numFmtId="4" fontId="4" fillId="0" borderId="106" xfId="0" applyNumberFormat="1" applyFont="1" applyBorder="1" applyAlignment="1">
      <alignment horizontal="center" vertical="center"/>
    </xf>
    <xf numFmtId="4" fontId="4" fillId="21" borderId="106" xfId="0" applyNumberFormat="1" applyFont="1" applyFill="1" applyBorder="1" applyAlignment="1">
      <alignment horizontal="center" vertical="center"/>
    </xf>
    <xf numFmtId="0" fontId="8" fillId="5" borderId="28" xfId="0" applyFont="1" applyFill="1" applyBorder="1" applyAlignment="1" applyProtection="1">
      <alignment vertical="top"/>
      <protection locked="0"/>
    </xf>
    <xf numFmtId="0" fontId="8" fillId="5" borderId="0" xfId="0" applyFont="1" applyFill="1" applyAlignment="1" applyProtection="1">
      <alignment vertical="top"/>
      <protection locked="0"/>
    </xf>
    <xf numFmtId="0" fontId="8" fillId="5" borderId="41" xfId="0" applyFont="1" applyFill="1" applyBorder="1" applyAlignment="1" applyProtection="1">
      <alignment vertical="center" wrapText="1"/>
      <protection locked="0"/>
    </xf>
    <xf numFmtId="0" fontId="8" fillId="5" borderId="89" xfId="0" applyFont="1" applyFill="1" applyBorder="1" applyAlignment="1" applyProtection="1">
      <alignment vertical="center" wrapText="1"/>
      <protection locked="0"/>
    </xf>
    <xf numFmtId="0" fontId="8" fillId="6" borderId="0" xfId="0" applyFont="1" applyFill="1" applyAlignment="1" applyProtection="1">
      <alignment vertical="center"/>
      <protection locked="0"/>
    </xf>
    <xf numFmtId="0" fontId="7" fillId="6" borderId="0" xfId="0" applyFont="1" applyFill="1" applyAlignment="1">
      <alignment horizontal="center" vertical="center" wrapText="1"/>
    </xf>
    <xf numFmtId="0" fontId="8" fillId="6" borderId="0" xfId="0" applyFont="1" applyFill="1" applyAlignment="1">
      <alignment horizontal="left" vertical="center"/>
    </xf>
    <xf numFmtId="0" fontId="8" fillId="6" borderId="0" xfId="0" applyFont="1" applyFill="1" applyAlignment="1" applyProtection="1">
      <alignment vertical="top"/>
      <protection locked="0"/>
    </xf>
    <xf numFmtId="0" fontId="8" fillId="5" borderId="99" xfId="0" applyFont="1" applyFill="1" applyBorder="1" applyAlignment="1" applyProtection="1">
      <alignment vertical="center"/>
      <protection locked="0"/>
    </xf>
    <xf numFmtId="0" fontId="8" fillId="5" borderId="86" xfId="0" applyFont="1" applyFill="1" applyBorder="1" applyAlignment="1">
      <alignment vertical="center"/>
    </xf>
    <xf numFmtId="0" fontId="8" fillId="5" borderId="86" xfId="0" applyFont="1" applyFill="1" applyBorder="1" applyAlignment="1" applyProtection="1">
      <alignment vertical="center" wrapText="1"/>
      <protection locked="0"/>
    </xf>
    <xf numFmtId="0" fontId="8" fillId="5" borderId="86" xfId="0" applyFont="1" applyFill="1" applyBorder="1" applyAlignment="1" applyProtection="1">
      <alignment vertical="center"/>
      <protection locked="0"/>
    </xf>
    <xf numFmtId="0" fontId="8" fillId="5" borderId="86" xfId="0" applyFont="1" applyFill="1" applyBorder="1"/>
    <xf numFmtId="1" fontId="8" fillId="5" borderId="4" xfId="0" applyNumberFormat="1" applyFont="1" applyFill="1" applyBorder="1" applyAlignment="1">
      <alignment horizontal="center" vertical="center" wrapText="1"/>
    </xf>
    <xf numFmtId="0" fontId="8" fillId="5" borderId="4" xfId="0" applyFont="1" applyFill="1" applyBorder="1" applyAlignment="1">
      <alignment horizontal="center" vertical="center" wrapText="1"/>
    </xf>
    <xf numFmtId="1" fontId="8" fillId="5" borderId="25" xfId="0" applyNumberFormat="1" applyFont="1" applyFill="1" applyBorder="1" applyAlignment="1">
      <alignment horizontal="center" vertical="center" wrapText="1"/>
    </xf>
    <xf numFmtId="0" fontId="8" fillId="5" borderId="108" xfId="0" applyFont="1" applyFill="1" applyBorder="1" applyAlignment="1" applyProtection="1">
      <alignment vertical="center"/>
      <protection locked="0"/>
    </xf>
    <xf numFmtId="0" fontId="8" fillId="5" borderId="86" xfId="0" applyFont="1" applyFill="1" applyBorder="1" applyAlignment="1">
      <alignment horizontal="left" vertical="center"/>
    </xf>
    <xf numFmtId="0" fontId="8" fillId="5" borderId="89" xfId="0" applyFont="1" applyFill="1" applyBorder="1" applyAlignment="1">
      <alignment horizontal="left" vertical="center"/>
    </xf>
    <xf numFmtId="0" fontId="8" fillId="0" borderId="44" xfId="0" applyFont="1" applyBorder="1"/>
    <xf numFmtId="0" fontId="8" fillId="3" borderId="97" xfId="0" applyFont="1" applyFill="1" applyBorder="1" applyAlignment="1">
      <alignment vertical="center"/>
    </xf>
    <xf numFmtId="0" fontId="8" fillId="0" borderId="38" xfId="0" applyFont="1" applyBorder="1"/>
    <xf numFmtId="0" fontId="8" fillId="0" borderId="10" xfId="0" applyFont="1" applyBorder="1" applyAlignment="1">
      <alignment horizontal="right" vertical="center"/>
    </xf>
    <xf numFmtId="0" fontId="8" fillId="5" borderId="40" xfId="0" applyFont="1" applyFill="1" applyBorder="1" applyAlignment="1">
      <alignment vertical="center"/>
    </xf>
    <xf numFmtId="0" fontId="8" fillId="5" borderId="91" xfId="0" applyFont="1" applyFill="1" applyBorder="1" applyAlignment="1">
      <alignment horizontal="center" vertical="center"/>
    </xf>
    <xf numFmtId="0" fontId="8" fillId="5" borderId="86" xfId="0" applyFont="1" applyFill="1" applyBorder="1" applyAlignment="1" applyProtection="1">
      <alignment vertical="top"/>
      <protection locked="0"/>
    </xf>
    <xf numFmtId="0" fontId="8" fillId="5" borderId="99" xfId="0" applyFont="1" applyFill="1" applyBorder="1" applyAlignment="1" applyProtection="1">
      <alignment vertical="top"/>
      <protection locked="0"/>
    </xf>
    <xf numFmtId="0" fontId="8" fillId="5" borderId="108" xfId="0" applyFont="1" applyFill="1" applyBorder="1" applyAlignment="1" applyProtection="1">
      <alignment vertical="top"/>
      <protection locked="0"/>
    </xf>
    <xf numFmtId="0" fontId="7" fillId="5" borderId="42" xfId="0" applyFont="1" applyFill="1" applyBorder="1" applyAlignment="1">
      <alignment horizontal="center" vertical="center"/>
    </xf>
    <xf numFmtId="0" fontId="7" fillId="5" borderId="91" xfId="0" applyFont="1" applyFill="1" applyBorder="1" applyAlignment="1">
      <alignment horizontal="center" vertical="center"/>
    </xf>
    <xf numFmtId="0" fontId="7" fillId="5" borderId="63" xfId="0" applyFont="1" applyFill="1" applyBorder="1" applyAlignment="1">
      <alignment horizontal="center" vertical="center" wrapText="1"/>
    </xf>
    <xf numFmtId="0" fontId="7" fillId="5" borderId="42" xfId="0" applyFont="1" applyFill="1" applyBorder="1" applyAlignment="1">
      <alignment horizontal="center" vertical="center" wrapText="1"/>
    </xf>
    <xf numFmtId="0" fontId="46" fillId="3" borderId="113" xfId="0" applyFont="1" applyFill="1" applyBorder="1" applyAlignment="1">
      <alignment vertical="center"/>
    </xf>
    <xf numFmtId="0" fontId="44" fillId="5" borderId="60" xfId="0" applyFont="1" applyFill="1" applyBorder="1" applyAlignment="1">
      <alignment horizontal="center" vertical="center"/>
    </xf>
    <xf numFmtId="0" fontId="44" fillId="5" borderId="116" xfId="0" applyFont="1" applyFill="1" applyBorder="1" applyAlignment="1">
      <alignment horizontal="center" vertical="center"/>
    </xf>
    <xf numFmtId="165" fontId="44" fillId="5" borderId="117" xfId="0" applyNumberFormat="1" applyFont="1" applyFill="1" applyBorder="1" applyAlignment="1">
      <alignment horizontal="center" vertical="center"/>
    </xf>
    <xf numFmtId="165" fontId="44" fillId="5" borderId="116" xfId="0" applyNumberFormat="1" applyFont="1" applyFill="1" applyBorder="1" applyAlignment="1">
      <alignment horizontal="left" vertical="center"/>
    </xf>
    <xf numFmtId="165" fontId="44" fillId="5" borderId="116" xfId="0" applyNumberFormat="1" applyFont="1" applyFill="1" applyBorder="1" applyAlignment="1">
      <alignment horizontal="center" vertical="center"/>
    </xf>
    <xf numFmtId="0" fontId="46" fillId="3" borderId="118" xfId="0" applyFont="1" applyFill="1" applyBorder="1" applyAlignment="1">
      <alignment horizontal="center" vertical="center"/>
    </xf>
    <xf numFmtId="0" fontId="46" fillId="5" borderId="116" xfId="0" applyFont="1" applyFill="1" applyBorder="1" applyAlignment="1">
      <alignment vertical="center"/>
    </xf>
    <xf numFmtId="0" fontId="8" fillId="5" borderId="62" xfId="0" applyFont="1" applyFill="1" applyBorder="1"/>
    <xf numFmtId="0" fontId="44" fillId="5" borderId="62" xfId="0" applyFont="1" applyFill="1" applyBorder="1" applyAlignment="1">
      <alignment horizontal="center" vertical="center"/>
    </xf>
    <xf numFmtId="165" fontId="44" fillId="5" borderId="120" xfId="0" applyNumberFormat="1" applyFont="1" applyFill="1" applyBorder="1" applyAlignment="1">
      <alignment horizontal="left" vertical="center"/>
    </xf>
    <xf numFmtId="165" fontId="46" fillId="3" borderId="102" xfId="0" applyNumberFormat="1" applyFont="1" applyFill="1" applyBorder="1" applyAlignment="1">
      <alignment horizontal="center" vertical="center"/>
    </xf>
    <xf numFmtId="0" fontId="8" fillId="5" borderId="42" xfId="0" applyFont="1" applyFill="1" applyBorder="1" applyAlignment="1">
      <alignment horizontal="center"/>
    </xf>
    <xf numFmtId="0" fontId="7" fillId="4" borderId="75" xfId="0" applyFont="1" applyFill="1" applyBorder="1" applyAlignment="1">
      <alignment horizontal="left" vertical="center"/>
    </xf>
    <xf numFmtId="0" fontId="8" fillId="5" borderId="42" xfId="0" applyFont="1" applyFill="1" applyBorder="1" applyAlignment="1" applyProtection="1">
      <alignment horizontal="center" vertical="center" wrapText="1"/>
      <protection locked="0"/>
    </xf>
    <xf numFmtId="0" fontId="7" fillId="4" borderId="44" xfId="0" applyFont="1" applyFill="1" applyBorder="1" applyAlignment="1">
      <alignment horizontal="center" vertical="center"/>
    </xf>
    <xf numFmtId="2" fontId="8" fillId="5" borderId="91" xfId="0" applyNumberFormat="1" applyFont="1" applyFill="1" applyBorder="1" applyAlignment="1">
      <alignment horizontal="center" vertical="center"/>
    </xf>
    <xf numFmtId="0" fontId="7" fillId="2" borderId="44" xfId="0" applyFont="1" applyFill="1" applyBorder="1" applyAlignment="1">
      <alignment horizontal="center" vertical="center" wrapText="1"/>
    </xf>
    <xf numFmtId="0" fontId="7" fillId="5" borderId="42" xfId="0" applyFont="1" applyFill="1" applyBorder="1" applyAlignment="1" applyProtection="1">
      <alignment horizontal="center" vertical="center" wrapText="1"/>
      <protection locked="0"/>
    </xf>
    <xf numFmtId="0" fontId="8" fillId="5" borderId="91" xfId="0" applyFont="1" applyFill="1" applyBorder="1" applyAlignment="1" applyProtection="1">
      <alignment horizontal="center" vertical="center" wrapText="1"/>
      <protection locked="0"/>
    </xf>
    <xf numFmtId="0" fontId="7" fillId="3" borderId="44" xfId="0" applyFont="1" applyFill="1" applyBorder="1" applyAlignment="1">
      <alignment horizontal="center" vertical="center" wrapText="1"/>
    </xf>
    <xf numFmtId="1" fontId="8" fillId="5" borderId="42" xfId="0" applyNumberFormat="1" applyFont="1" applyFill="1" applyBorder="1" applyAlignment="1">
      <alignment horizontal="center" vertical="center"/>
    </xf>
    <xf numFmtId="0" fontId="7" fillId="2" borderId="44" xfId="0" applyFont="1" applyFill="1" applyBorder="1"/>
    <xf numFmtId="0" fontId="7" fillId="5" borderId="91" xfId="0" applyFont="1" applyFill="1" applyBorder="1" applyAlignment="1" applyProtection="1">
      <alignment horizontal="center" vertical="center" wrapText="1"/>
      <protection locked="0"/>
    </xf>
    <xf numFmtId="0" fontId="4" fillId="0" borderId="64" xfId="0" applyFont="1" applyBorder="1" applyAlignment="1">
      <alignment horizontal="center" vertical="center"/>
    </xf>
    <xf numFmtId="0" fontId="46" fillId="5" borderId="0" xfId="0" applyFont="1" applyFill="1" applyAlignment="1" applyProtection="1">
      <alignment vertical="center" wrapText="1"/>
      <protection locked="0"/>
    </xf>
    <xf numFmtId="0" fontId="46" fillId="5" borderId="92" xfId="0" applyFont="1" applyFill="1" applyBorder="1" applyAlignment="1" applyProtection="1">
      <alignment vertical="center" wrapText="1"/>
      <protection locked="0"/>
    </xf>
    <xf numFmtId="0" fontId="46" fillId="5" borderId="41" xfId="0" applyFont="1" applyFill="1" applyBorder="1" applyAlignment="1" applyProtection="1">
      <alignment vertical="center" wrapText="1"/>
      <protection locked="0"/>
    </xf>
    <xf numFmtId="0" fontId="11" fillId="5" borderId="41" xfId="0" applyFont="1" applyFill="1" applyBorder="1" applyAlignment="1">
      <alignment horizontal="left" vertical="center"/>
    </xf>
    <xf numFmtId="0" fontId="46" fillId="5" borderId="86" xfId="0" applyFont="1" applyFill="1" applyBorder="1" applyAlignment="1" applyProtection="1">
      <alignment vertical="center" wrapText="1"/>
      <protection locked="0"/>
    </xf>
    <xf numFmtId="0" fontId="4" fillId="0" borderId="121" xfId="0" applyFont="1" applyBorder="1" applyAlignment="1">
      <alignment horizontal="center"/>
    </xf>
    <xf numFmtId="0" fontId="4" fillId="0" borderId="66" xfId="0" applyFont="1" applyBorder="1" applyAlignment="1">
      <alignment horizontal="center"/>
    </xf>
    <xf numFmtId="0" fontId="4" fillId="21" borderId="121" xfId="0" applyFont="1" applyFill="1" applyBorder="1" applyAlignment="1">
      <alignment horizontal="left" vertical="center"/>
    </xf>
    <xf numFmtId="0" fontId="46" fillId="5" borderId="86" xfId="0" applyFont="1" applyFill="1" applyBorder="1"/>
    <xf numFmtId="0" fontId="7" fillId="3" borderId="75" xfId="0" applyFont="1" applyFill="1" applyBorder="1" applyAlignment="1">
      <alignment horizontal="left" vertical="center"/>
    </xf>
    <xf numFmtId="0" fontId="8" fillId="5" borderId="41" xfId="0" applyFont="1" applyFill="1" applyBorder="1" applyAlignment="1" applyProtection="1">
      <alignment horizontal="left" vertical="center"/>
      <protection locked="0"/>
    </xf>
    <xf numFmtId="0" fontId="8" fillId="5" borderId="41" xfId="0" applyFont="1" applyFill="1" applyBorder="1" applyAlignment="1" applyProtection="1">
      <alignment vertical="top"/>
      <protection locked="0"/>
    </xf>
    <xf numFmtId="0" fontId="8" fillId="7" borderId="0" xfId="0" applyFont="1" applyFill="1" applyAlignment="1" applyProtection="1">
      <alignment vertical="center"/>
      <protection locked="0"/>
    </xf>
    <xf numFmtId="0" fontId="8" fillId="7" borderId="98" xfId="0" applyFont="1" applyFill="1" applyBorder="1" applyAlignment="1" applyProtection="1">
      <alignment vertical="center"/>
      <protection locked="0"/>
    </xf>
    <xf numFmtId="0" fontId="8" fillId="7" borderId="87" xfId="0" applyFont="1" applyFill="1" applyBorder="1" applyAlignment="1" applyProtection="1">
      <alignment vertical="center"/>
      <protection locked="0"/>
    </xf>
    <xf numFmtId="0" fontId="8" fillId="7" borderId="8" xfId="0" applyFont="1" applyFill="1" applyBorder="1" applyAlignment="1" applyProtection="1">
      <alignment vertical="center"/>
      <protection locked="0"/>
    </xf>
    <xf numFmtId="0" fontId="8" fillId="7" borderId="1" xfId="0" applyFont="1" applyFill="1" applyBorder="1" applyAlignment="1" applyProtection="1">
      <alignment vertical="center"/>
      <protection locked="0"/>
    </xf>
    <xf numFmtId="0" fontId="46" fillId="5" borderId="0" xfId="0" applyFont="1" applyFill="1"/>
    <xf numFmtId="0" fontId="8" fillId="5" borderId="41" xfId="0" applyFont="1" applyFill="1" applyBorder="1"/>
    <xf numFmtId="0" fontId="4" fillId="21" borderId="77" xfId="0" applyFont="1" applyFill="1" applyBorder="1" applyAlignment="1">
      <alignment horizontal="left" vertical="center"/>
    </xf>
    <xf numFmtId="0" fontId="7" fillId="5" borderId="86" xfId="0" applyFont="1" applyFill="1" applyBorder="1" applyAlignment="1" applyProtection="1">
      <alignment vertical="center"/>
      <protection locked="0"/>
    </xf>
    <xf numFmtId="0" fontId="7" fillId="5" borderId="0" xfId="0" applyFont="1" applyFill="1" applyAlignment="1" applyProtection="1">
      <alignment vertical="center"/>
      <protection locked="0"/>
    </xf>
    <xf numFmtId="0" fontId="46" fillId="5" borderId="88" xfId="0" applyFont="1" applyFill="1" applyBorder="1" applyAlignment="1">
      <alignment vertical="center"/>
    </xf>
    <xf numFmtId="0" fontId="46" fillId="5" borderId="88" xfId="0" applyFont="1" applyFill="1" applyBorder="1" applyAlignment="1" applyProtection="1">
      <alignment vertical="center"/>
      <protection locked="0"/>
    </xf>
    <xf numFmtId="0" fontId="8" fillId="5" borderId="42" xfId="0" applyFont="1" applyFill="1" applyBorder="1" applyAlignment="1" applyProtection="1">
      <alignment vertical="top"/>
      <protection locked="0"/>
    </xf>
    <xf numFmtId="0" fontId="8" fillId="5" borderId="89" xfId="0" applyFont="1" applyFill="1" applyBorder="1" applyAlignment="1" applyProtection="1">
      <alignment vertical="top"/>
      <protection locked="0"/>
    </xf>
    <xf numFmtId="0" fontId="8" fillId="5" borderId="45" xfId="0" applyFont="1" applyFill="1" applyBorder="1" applyAlignment="1" applyProtection="1">
      <alignment vertical="top"/>
      <protection locked="0"/>
    </xf>
    <xf numFmtId="0" fontId="8" fillId="7" borderId="41" xfId="0" applyFont="1" applyFill="1" applyBorder="1" applyAlignment="1" applyProtection="1">
      <alignment vertical="top"/>
      <protection locked="0"/>
    </xf>
    <xf numFmtId="0" fontId="4" fillId="21" borderId="77" xfId="0" applyFont="1" applyFill="1" applyBorder="1"/>
    <xf numFmtId="0" fontId="60" fillId="20" borderId="105" xfId="0" applyFont="1" applyFill="1" applyBorder="1"/>
    <xf numFmtId="0" fontId="4" fillId="21" borderId="121" xfId="0" applyFont="1" applyFill="1" applyBorder="1"/>
    <xf numFmtId="0" fontId="60" fillId="0" borderId="0" xfId="0" applyFont="1" applyAlignment="1">
      <alignment horizontal="center" vertical="center"/>
    </xf>
    <xf numFmtId="0" fontId="8" fillId="5" borderId="86" xfId="0" applyFont="1" applyFill="1" applyBorder="1" applyAlignment="1" applyProtection="1">
      <alignment horizontal="left" vertical="center"/>
      <protection locked="0"/>
    </xf>
    <xf numFmtId="0" fontId="7" fillId="3" borderId="92" xfId="0" applyFont="1" applyFill="1" applyBorder="1" applyAlignment="1">
      <alignment horizontal="left" vertical="center"/>
    </xf>
    <xf numFmtId="0" fontId="46" fillId="5" borderId="92" xfId="0" applyFont="1" applyFill="1" applyBorder="1" applyAlignment="1">
      <alignment vertical="center"/>
    </xf>
    <xf numFmtId="0" fontId="8" fillId="6" borderId="0" xfId="0" applyFont="1" applyFill="1" applyAlignment="1">
      <alignment horizontal="center"/>
    </xf>
    <xf numFmtId="0" fontId="8" fillId="5" borderId="86" xfId="0" applyFont="1" applyFill="1" applyBorder="1" applyAlignment="1" applyProtection="1">
      <alignment vertical="top" wrapText="1"/>
      <protection locked="0"/>
    </xf>
    <xf numFmtId="0" fontId="8" fillId="5" borderId="91" xfId="0" applyFont="1" applyFill="1" applyBorder="1" applyAlignment="1" applyProtection="1">
      <alignment vertical="top"/>
      <protection locked="0"/>
    </xf>
    <xf numFmtId="0" fontId="8" fillId="7" borderId="89" xfId="0" applyFont="1" applyFill="1" applyBorder="1" applyProtection="1">
      <protection locked="0"/>
    </xf>
    <xf numFmtId="0" fontId="8" fillId="7" borderId="11" xfId="0" applyFont="1" applyFill="1" applyBorder="1" applyAlignment="1" applyProtection="1">
      <alignment horizontal="right"/>
      <protection locked="0"/>
    </xf>
    <xf numFmtId="0" fontId="8" fillId="7" borderId="89" xfId="0" applyFont="1" applyFill="1" applyBorder="1" applyAlignment="1" applyProtection="1">
      <alignment horizontal="center" vertical="center"/>
      <protection locked="0"/>
    </xf>
    <xf numFmtId="0" fontId="4" fillId="0" borderId="121" xfId="0" applyFont="1" applyBorder="1" applyAlignment="1">
      <alignment horizontal="left" vertical="center"/>
    </xf>
    <xf numFmtId="2" fontId="8" fillId="5" borderId="86" xfId="0" applyNumberFormat="1" applyFont="1" applyFill="1" applyBorder="1" applyAlignment="1" applyProtection="1">
      <alignment horizontal="left" vertical="center"/>
      <protection locked="0"/>
    </xf>
    <xf numFmtId="0" fontId="8" fillId="5" borderId="86" xfId="0" applyFont="1" applyFill="1" applyBorder="1" applyAlignment="1" applyProtection="1">
      <alignment horizontal="left" vertical="center" wrapText="1"/>
      <protection locked="0"/>
    </xf>
    <xf numFmtId="0" fontId="8" fillId="5" borderId="57" xfId="0" applyFont="1" applyFill="1" applyBorder="1" applyAlignment="1">
      <alignment vertical="center"/>
    </xf>
    <xf numFmtId="0" fontId="7" fillId="5" borderId="57" xfId="0" applyFont="1" applyFill="1" applyBorder="1" applyAlignment="1">
      <alignment horizontal="center" vertical="center"/>
    </xf>
    <xf numFmtId="0" fontId="7" fillId="5" borderId="57" xfId="0" applyFont="1" applyFill="1" applyBorder="1" applyAlignment="1">
      <alignment horizontal="center" vertical="center" wrapText="1"/>
    </xf>
    <xf numFmtId="0" fontId="7" fillId="5" borderId="58" xfId="0" applyFont="1" applyFill="1" applyBorder="1" applyAlignment="1">
      <alignment horizontal="center" vertical="center" wrapText="1"/>
    </xf>
    <xf numFmtId="0" fontId="8" fillId="5" borderId="62" xfId="0" applyFont="1" applyFill="1" applyBorder="1" applyAlignment="1">
      <alignment vertical="center"/>
    </xf>
    <xf numFmtId="0" fontId="8" fillId="5" borderId="62" xfId="0" applyFont="1" applyFill="1" applyBorder="1" applyAlignment="1">
      <alignment horizontal="center" vertical="center"/>
    </xf>
    <xf numFmtId="0" fontId="8" fillId="5" borderId="126" xfId="0" applyFont="1" applyFill="1" applyBorder="1" applyAlignment="1">
      <alignment vertical="center"/>
    </xf>
    <xf numFmtId="0" fontId="7" fillId="5" borderId="22" xfId="0" applyFont="1" applyFill="1" applyBorder="1" applyAlignment="1">
      <alignment vertical="top"/>
    </xf>
    <xf numFmtId="0" fontId="7" fillId="5" borderId="22" xfId="0" applyFont="1" applyFill="1" applyBorder="1" applyAlignment="1">
      <alignment horizontal="left" vertical="center"/>
    </xf>
    <xf numFmtId="0" fontId="7" fillId="5" borderId="125" xfId="0" applyFont="1" applyFill="1" applyBorder="1" applyAlignment="1">
      <alignment vertical="center"/>
    </xf>
    <xf numFmtId="0" fontId="7" fillId="0" borderId="0" xfId="0" applyFont="1" applyAlignment="1" applyProtection="1">
      <alignment horizontal="left" vertical="center" wrapText="1"/>
      <protection locked="0"/>
    </xf>
    <xf numFmtId="3" fontId="4" fillId="0" borderId="0" xfId="0" applyNumberFormat="1" applyFont="1" applyAlignment="1">
      <alignment horizontal="center" vertical="center"/>
    </xf>
    <xf numFmtId="0" fontId="8" fillId="5" borderId="41" xfId="0" applyFont="1" applyFill="1" applyBorder="1" applyAlignment="1" applyProtection="1">
      <alignment vertical="top" wrapText="1"/>
      <protection locked="0"/>
    </xf>
    <xf numFmtId="0" fontId="8" fillId="5" borderId="126" xfId="0" applyFont="1" applyFill="1" applyBorder="1"/>
    <xf numFmtId="0" fontId="8" fillId="5" borderId="57" xfId="0" applyFont="1" applyFill="1" applyBorder="1"/>
    <xf numFmtId="0" fontId="8" fillId="5" borderId="0" xfId="0" applyFont="1" applyFill="1" applyAlignment="1">
      <alignment horizontal="center" wrapText="1"/>
    </xf>
    <xf numFmtId="164" fontId="8" fillId="5" borderId="0" xfId="0" applyNumberFormat="1" applyFont="1" applyFill="1" applyAlignment="1">
      <alignment vertical="center" wrapText="1"/>
    </xf>
    <xf numFmtId="164" fontId="8" fillId="5" borderId="0" xfId="0" applyNumberFormat="1" applyFont="1" applyFill="1" applyAlignment="1">
      <alignment vertical="center"/>
    </xf>
    <xf numFmtId="0" fontId="8" fillId="5" borderId="0" xfId="0" applyFont="1" applyFill="1" applyAlignment="1" applyProtection="1">
      <alignment horizontal="left" vertical="center" wrapText="1"/>
      <protection locked="0"/>
    </xf>
    <xf numFmtId="0" fontId="4" fillId="0" borderId="77" xfId="0" applyFont="1" applyBorder="1" applyAlignment="1">
      <alignment horizontal="left" vertical="center"/>
    </xf>
    <xf numFmtId="0" fontId="8" fillId="0" borderId="0" xfId="0" applyFont="1" applyAlignment="1" applyProtection="1">
      <alignment vertical="top"/>
      <protection locked="0"/>
    </xf>
    <xf numFmtId="0" fontId="8" fillId="5" borderId="92" xfId="0" applyFont="1" applyFill="1" applyBorder="1" applyAlignment="1" applyProtection="1">
      <alignment vertical="top"/>
      <protection locked="0"/>
    </xf>
    <xf numFmtId="0" fontId="7" fillId="5" borderId="131" xfId="0" applyFont="1" applyFill="1" applyBorder="1" applyAlignment="1">
      <alignment horizontal="left" vertical="center" wrapText="1"/>
    </xf>
    <xf numFmtId="0" fontId="4" fillId="21" borderId="77" xfId="0" applyFont="1" applyFill="1" applyBorder="1" applyAlignment="1">
      <alignment horizontal="center" vertical="center"/>
    </xf>
    <xf numFmtId="0" fontId="4" fillId="21" borderId="65" xfId="0" applyFont="1" applyFill="1" applyBorder="1" applyAlignment="1">
      <alignment horizontal="center" vertical="center"/>
    </xf>
    <xf numFmtId="0" fontId="7" fillId="21" borderId="64" xfId="0" applyFont="1" applyFill="1" applyBorder="1" applyAlignment="1">
      <alignment horizontal="left" vertical="center" wrapText="1"/>
    </xf>
    <xf numFmtId="0" fontId="7" fillId="0" borderId="64" xfId="0" applyFont="1" applyBorder="1" applyAlignment="1">
      <alignment horizontal="left" vertical="center"/>
    </xf>
    <xf numFmtId="2" fontId="8" fillId="0" borderId="0" xfId="0" applyNumberFormat="1" applyFont="1"/>
    <xf numFmtId="164" fontId="8" fillId="0" borderId="121" xfId="0" applyNumberFormat="1" applyFont="1" applyBorder="1" applyAlignment="1">
      <alignment horizontal="center"/>
    </xf>
    <xf numFmtId="164" fontId="8" fillId="0" borderId="121" xfId="0" applyNumberFormat="1" applyFont="1" applyBorder="1" applyAlignment="1">
      <alignment horizontal="center" vertical="center"/>
    </xf>
    <xf numFmtId="0" fontId="7" fillId="21" borderId="127" xfId="0" applyFont="1" applyFill="1" applyBorder="1" applyAlignment="1">
      <alignment horizontal="left" vertical="center" wrapText="1"/>
    </xf>
    <xf numFmtId="164" fontId="8" fillId="21" borderId="121" xfId="0" applyNumberFormat="1" applyFont="1" applyFill="1" applyBorder="1" applyAlignment="1">
      <alignment horizontal="center" vertical="center"/>
    </xf>
    <xf numFmtId="164" fontId="8" fillId="0" borderId="77" xfId="0" applyNumberFormat="1" applyFont="1" applyBorder="1" applyAlignment="1">
      <alignment horizontal="center" vertical="center"/>
    </xf>
    <xf numFmtId="0" fontId="60" fillId="20" borderId="127" xfId="0" applyFont="1" applyFill="1" applyBorder="1" applyAlignment="1">
      <alignment horizontal="left"/>
    </xf>
    <xf numFmtId="0" fontId="60" fillId="20" borderId="121" xfId="0" applyFont="1" applyFill="1" applyBorder="1"/>
    <xf numFmtId="0" fontId="60" fillId="20" borderId="66" xfId="0" applyFont="1" applyFill="1" applyBorder="1"/>
    <xf numFmtId="0" fontId="4" fillId="21" borderId="121" xfId="0" applyFont="1" applyFill="1" applyBorder="1" applyAlignment="1">
      <alignment horizontal="center" vertical="center"/>
    </xf>
    <xf numFmtId="0" fontId="4" fillId="21" borderId="66" xfId="0" applyFont="1" applyFill="1" applyBorder="1" applyAlignment="1">
      <alignment horizontal="center" vertical="center"/>
    </xf>
    <xf numFmtId="0" fontId="4" fillId="0" borderId="65" xfId="0" applyFont="1" applyBorder="1" applyAlignment="1">
      <alignment horizontal="center" vertical="center"/>
    </xf>
    <xf numFmtId="0" fontId="4" fillId="21" borderId="64" xfId="0" applyFont="1" applyFill="1" applyBorder="1" applyAlignment="1">
      <alignment horizontal="left" vertical="center"/>
    </xf>
    <xf numFmtId="0" fontId="4" fillId="21" borderId="64" xfId="0" applyFont="1" applyFill="1" applyBorder="1" applyAlignment="1">
      <alignment horizontal="left"/>
    </xf>
    <xf numFmtId="0" fontId="7" fillId="0" borderId="127" xfId="0" applyFont="1" applyBorder="1" applyAlignment="1">
      <alignment horizontal="left" vertical="center"/>
    </xf>
    <xf numFmtId="0" fontId="62" fillId="0" borderId="64" xfId="0" applyFont="1" applyBorder="1"/>
    <xf numFmtId="164" fontId="62" fillId="0" borderId="77" xfId="0" applyNumberFormat="1" applyFont="1" applyBorder="1" applyAlignment="1">
      <alignment horizontal="center" vertical="center"/>
    </xf>
    <xf numFmtId="0" fontId="7" fillId="21" borderId="127" xfId="0" applyFont="1" applyFill="1" applyBorder="1" applyAlignment="1">
      <alignment horizontal="left" wrapText="1"/>
    </xf>
    <xf numFmtId="164" fontId="8" fillId="21" borderId="121" xfId="0" applyNumberFormat="1" applyFont="1" applyFill="1" applyBorder="1" applyAlignment="1">
      <alignment horizontal="center"/>
    </xf>
    <xf numFmtId="0" fontId="7" fillId="0" borderId="127" xfId="0" applyFont="1" applyBorder="1" applyAlignment="1">
      <alignment horizontal="left"/>
    </xf>
    <xf numFmtId="0" fontId="6" fillId="0" borderId="127" xfId="0" applyFont="1" applyBorder="1" applyAlignment="1">
      <alignment horizontal="left"/>
    </xf>
    <xf numFmtId="0" fontId="7" fillId="0" borderId="127" xfId="0" applyFont="1" applyBorder="1" applyAlignment="1">
      <alignment horizontal="left" wrapText="1"/>
    </xf>
    <xf numFmtId="0" fontId="8" fillId="0" borderId="127" xfId="0" applyFont="1" applyBorder="1" applyAlignment="1">
      <alignment horizontal="left" vertical="center"/>
    </xf>
    <xf numFmtId="164" fontId="7" fillId="0" borderId="121" xfId="0" applyNumberFormat="1" applyFont="1" applyBorder="1" applyAlignment="1">
      <alignment horizontal="center"/>
    </xf>
    <xf numFmtId="164" fontId="7" fillId="0" borderId="66" xfId="0" applyNumberFormat="1" applyFont="1" applyBorder="1" applyAlignment="1">
      <alignment horizontal="center"/>
    </xf>
    <xf numFmtId="0" fontId="7" fillId="0" borderId="128" xfId="0" applyFont="1" applyBorder="1" applyAlignment="1">
      <alignment horizontal="left" wrapText="1"/>
    </xf>
    <xf numFmtId="164" fontId="7" fillId="0" borderId="129" xfId="0" applyNumberFormat="1" applyFont="1" applyBorder="1" applyAlignment="1">
      <alignment horizontal="center"/>
    </xf>
    <xf numFmtId="164" fontId="7" fillId="0" borderId="130" xfId="0" applyNumberFormat="1" applyFont="1" applyBorder="1" applyAlignment="1">
      <alignment horizontal="center"/>
    </xf>
    <xf numFmtId="0" fontId="4" fillId="0" borderId="121" xfId="0" applyFont="1" applyBorder="1" applyAlignment="1">
      <alignment horizontal="center" vertical="center"/>
    </xf>
    <xf numFmtId="0" fontId="4" fillId="0" borderId="66" xfId="0" applyFont="1" applyBorder="1" applyAlignment="1">
      <alignment horizontal="center" vertical="center"/>
    </xf>
    <xf numFmtId="0" fontId="60" fillId="20" borderId="127" xfId="0" applyFont="1" applyFill="1" applyBorder="1"/>
    <xf numFmtId="0" fontId="6" fillId="0" borderId="127" xfId="0" applyFont="1" applyBorder="1" applyAlignment="1">
      <alignment horizontal="left" vertical="center"/>
    </xf>
    <xf numFmtId="0" fontId="7" fillId="0" borderId="127" xfId="0" applyFont="1" applyBorder="1" applyAlignment="1">
      <alignment horizontal="left" vertical="center" wrapText="1"/>
    </xf>
    <xf numFmtId="0" fontId="6" fillId="21" borderId="64" xfId="0" applyFont="1" applyFill="1" applyBorder="1" applyAlignment="1">
      <alignment horizontal="left" vertical="center"/>
    </xf>
    <xf numFmtId="0" fontId="4" fillId="21" borderId="105" xfId="0" applyFont="1" applyFill="1" applyBorder="1"/>
    <xf numFmtId="4" fontId="4" fillId="21" borderId="77" xfId="0" applyNumberFormat="1" applyFont="1" applyFill="1" applyBorder="1" applyAlignment="1">
      <alignment horizontal="right"/>
    </xf>
    <xf numFmtId="0" fontId="4" fillId="21" borderId="127" xfId="0" applyFont="1" applyFill="1" applyBorder="1" applyAlignment="1">
      <alignment vertical="center"/>
    </xf>
    <xf numFmtId="0" fontId="4" fillId="0" borderId="127" xfId="0" applyFont="1" applyBorder="1" applyAlignment="1">
      <alignment vertical="center"/>
    </xf>
    <xf numFmtId="0" fontId="4" fillId="0" borderId="127" xfId="0" applyFont="1" applyBorder="1" applyAlignment="1">
      <alignment vertical="top"/>
    </xf>
    <xf numFmtId="0" fontId="4" fillId="21" borderId="127" xfId="0" applyFont="1" applyFill="1" applyBorder="1" applyAlignment="1">
      <alignment vertical="top"/>
    </xf>
    <xf numFmtId="0" fontId="4" fillId="0" borderId="127" xfId="0" applyFont="1" applyBorder="1"/>
    <xf numFmtId="0" fontId="4" fillId="21" borderId="127" xfId="0" applyFont="1" applyFill="1" applyBorder="1"/>
    <xf numFmtId="0" fontId="6" fillId="0" borderId="128" xfId="0" applyFont="1" applyBorder="1"/>
    <xf numFmtId="0" fontId="46" fillId="7" borderId="42" xfId="0" applyFont="1" applyFill="1" applyBorder="1" applyAlignment="1" applyProtection="1">
      <alignment vertical="top"/>
      <protection locked="0"/>
    </xf>
    <xf numFmtId="0" fontId="8" fillId="17" borderId="10" xfId="0" applyFont="1" applyFill="1" applyBorder="1" applyAlignment="1" applyProtection="1">
      <alignment horizontal="right" vertical="center" wrapText="1"/>
      <protection locked="0"/>
    </xf>
    <xf numFmtId="0" fontId="8" fillId="7" borderId="0" xfId="0" applyFont="1" applyFill="1" applyProtection="1">
      <protection locked="0"/>
    </xf>
    <xf numFmtId="0" fontId="8" fillId="7" borderId="98" xfId="0" applyFont="1" applyFill="1" applyBorder="1" applyProtection="1">
      <protection locked="0"/>
    </xf>
    <xf numFmtId="165" fontId="8" fillId="18" borderId="1" xfId="0" applyNumberFormat="1" applyFont="1" applyFill="1" applyBorder="1" applyAlignment="1" applyProtection="1">
      <alignment horizontal="right" vertical="center"/>
      <protection locked="0"/>
    </xf>
    <xf numFmtId="165" fontId="8" fillId="18" borderId="12" xfId="0" applyNumberFormat="1" applyFont="1" applyFill="1" applyBorder="1" applyAlignment="1" applyProtection="1">
      <alignment horizontal="right" vertical="center"/>
      <protection locked="0"/>
    </xf>
    <xf numFmtId="165" fontId="7" fillId="18" borderId="2" xfId="0" applyNumberFormat="1" applyFont="1" applyFill="1" applyBorder="1" applyAlignment="1" applyProtection="1">
      <alignment horizontal="right" vertical="center"/>
      <protection locked="0"/>
    </xf>
    <xf numFmtId="164" fontId="8" fillId="18" borderId="9" xfId="7" applyNumberFormat="1" applyFont="1" applyFill="1" applyBorder="1" applyAlignment="1" applyProtection="1">
      <alignment vertical="center"/>
      <protection locked="0"/>
    </xf>
    <xf numFmtId="164" fontId="8" fillId="18" borderId="1" xfId="7" applyNumberFormat="1" applyFont="1" applyFill="1" applyBorder="1" applyAlignment="1" applyProtection="1">
      <alignment vertical="center"/>
      <protection locked="0"/>
    </xf>
    <xf numFmtId="164" fontId="8" fillId="18" borderId="12" xfId="7" applyNumberFormat="1" applyFont="1" applyFill="1" applyBorder="1" applyAlignment="1" applyProtection="1">
      <alignment vertical="center"/>
      <protection locked="0"/>
    </xf>
    <xf numFmtId="164" fontId="8" fillId="18" borderId="87" xfId="7" applyNumberFormat="1" applyFont="1" applyFill="1" applyBorder="1" applyAlignment="1" applyProtection="1">
      <alignment vertical="center"/>
      <protection locked="0"/>
    </xf>
    <xf numFmtId="164" fontId="7" fillId="18" borderId="97" xfId="0" applyNumberFormat="1" applyFont="1" applyFill="1" applyBorder="1" applyAlignment="1" applyProtection="1">
      <alignment vertical="center"/>
      <protection locked="0"/>
    </xf>
    <xf numFmtId="0" fontId="8" fillId="18" borderId="0" xfId="0" applyFont="1" applyFill="1" applyAlignment="1" applyProtection="1">
      <alignment horizontal="right" vertical="center"/>
      <protection locked="0"/>
    </xf>
    <xf numFmtId="0" fontId="7" fillId="19" borderId="63" xfId="0" applyFont="1" applyFill="1" applyBorder="1" applyAlignment="1" applyProtection="1">
      <alignment vertical="center"/>
      <protection locked="0"/>
    </xf>
    <xf numFmtId="0" fontId="8" fillId="5" borderId="56" xfId="0" applyFont="1" applyFill="1" applyBorder="1"/>
    <xf numFmtId="0" fontId="8" fillId="5" borderId="58" xfId="0" applyFont="1" applyFill="1" applyBorder="1" applyAlignment="1" applyProtection="1">
      <alignment vertical="center"/>
      <protection locked="0"/>
    </xf>
    <xf numFmtId="0" fontId="8" fillId="5" borderId="42" xfId="0" applyFont="1" applyFill="1" applyBorder="1" applyAlignment="1" applyProtection="1">
      <alignment vertical="center"/>
      <protection locked="0"/>
    </xf>
    <xf numFmtId="0" fontId="8" fillId="5" borderId="42" xfId="0" applyFont="1" applyFill="1" applyBorder="1" applyAlignment="1" applyProtection="1">
      <alignment horizontal="left" vertical="center" wrapText="1"/>
      <protection locked="0"/>
    </xf>
    <xf numFmtId="0" fontId="8" fillId="5" borderId="58" xfId="0" applyFont="1" applyFill="1" applyBorder="1"/>
    <xf numFmtId="0" fontId="8" fillId="5" borderId="42" xfId="0" applyFont="1" applyFill="1" applyBorder="1" applyAlignment="1" applyProtection="1">
      <alignment vertical="top" wrapText="1"/>
      <protection locked="0"/>
    </xf>
    <xf numFmtId="0" fontId="8" fillId="5" borderId="42" xfId="0" applyFont="1" applyFill="1" applyBorder="1" applyProtection="1">
      <protection locked="0"/>
    </xf>
    <xf numFmtId="0" fontId="8" fillId="5" borderId="133" xfId="0" applyFont="1" applyFill="1" applyBorder="1"/>
    <xf numFmtId="0" fontId="8" fillId="5" borderId="108" xfId="0" applyFont="1" applyFill="1" applyBorder="1" applyAlignment="1" applyProtection="1">
      <alignment vertical="top" wrapText="1"/>
      <protection locked="0"/>
    </xf>
    <xf numFmtId="0" fontId="8" fillId="18" borderId="42" xfId="0" applyFont="1" applyFill="1" applyBorder="1" applyProtection="1">
      <protection locked="0"/>
    </xf>
    <xf numFmtId="10" fontId="8" fillId="5" borderId="0" xfId="0" applyNumberFormat="1" applyFont="1" applyFill="1" applyAlignment="1" applyProtection="1">
      <alignment horizontal="left"/>
      <protection locked="0"/>
    </xf>
    <xf numFmtId="0" fontId="8" fillId="7" borderId="8" xfId="0" applyFont="1" applyFill="1" applyBorder="1" applyAlignment="1" applyProtection="1">
      <alignment horizontal="right"/>
      <protection locked="0"/>
    </xf>
    <xf numFmtId="164" fontId="7" fillId="5" borderId="7" xfId="0" applyNumberFormat="1" applyFont="1" applyFill="1" applyBorder="1" applyAlignment="1">
      <alignment horizontal="center" vertical="center"/>
    </xf>
    <xf numFmtId="164" fontId="8" fillId="18" borderId="92" xfId="0" applyNumberFormat="1" applyFont="1" applyFill="1" applyBorder="1" applyAlignment="1">
      <alignment vertical="center"/>
    </xf>
    <xf numFmtId="164" fontId="8" fillId="18" borderId="41" xfId="0" applyNumberFormat="1" applyFont="1" applyFill="1" applyBorder="1" applyAlignment="1">
      <alignment vertical="center"/>
    </xf>
    <xf numFmtId="166" fontId="14" fillId="5" borderId="0" xfId="0" applyNumberFormat="1" applyFont="1" applyFill="1" applyAlignment="1">
      <alignment horizontal="right"/>
    </xf>
    <xf numFmtId="167" fontId="14" fillId="5" borderId="10" xfId="0" applyNumberFormat="1" applyFont="1" applyFill="1" applyBorder="1" applyAlignment="1">
      <alignment horizontal="right"/>
    </xf>
    <xf numFmtId="0" fontId="14" fillId="5" borderId="7" xfId="0" applyFont="1" applyFill="1" applyBorder="1"/>
    <xf numFmtId="164" fontId="14" fillId="5" borderId="0" xfId="0" applyNumberFormat="1" applyFont="1" applyFill="1"/>
    <xf numFmtId="0" fontId="14" fillId="5" borderId="42" xfId="0" applyFont="1" applyFill="1" applyBorder="1" applyAlignment="1">
      <alignment horizontal="left" vertical="center"/>
    </xf>
    <xf numFmtId="0" fontId="14" fillId="5" borderId="42" xfId="0" applyFont="1" applyFill="1" applyBorder="1" applyAlignment="1">
      <alignment horizontal="left"/>
    </xf>
    <xf numFmtId="0" fontId="14" fillId="5" borderId="28" xfId="0" applyFont="1" applyFill="1" applyBorder="1"/>
    <xf numFmtId="164" fontId="14" fillId="5" borderId="28" xfId="0" applyNumberFormat="1" applyFont="1" applyFill="1" applyBorder="1"/>
    <xf numFmtId="0" fontId="14" fillId="5" borderId="91" xfId="0" applyFont="1" applyFill="1" applyBorder="1" applyAlignment="1">
      <alignment horizontal="left" vertical="center"/>
    </xf>
    <xf numFmtId="164" fontId="14" fillId="5" borderId="0" xfId="7" applyNumberFormat="1" applyFont="1" applyFill="1" applyBorder="1" applyAlignment="1">
      <alignment horizontal="right"/>
    </xf>
    <xf numFmtId="0" fontId="14" fillId="5" borderId="0" xfId="0" applyFont="1" applyFill="1" applyAlignment="1">
      <alignment horizontal="right"/>
    </xf>
    <xf numFmtId="0" fontId="8" fillId="5" borderId="0" xfId="0" applyFont="1" applyFill="1" applyAlignment="1">
      <alignment horizontal="left" vertical="top" wrapText="1"/>
    </xf>
    <xf numFmtId="0" fontId="8" fillId="0" borderId="0" xfId="0" applyFont="1" applyAlignment="1">
      <alignment horizontal="left" vertical="top"/>
    </xf>
    <xf numFmtId="0" fontId="4" fillId="0" borderId="89" xfId="0" applyFont="1" applyBorder="1"/>
    <xf numFmtId="1" fontId="8" fillId="0" borderId="0" xfId="0" applyNumberFormat="1" applyFont="1" applyAlignment="1">
      <alignment horizontal="center" vertical="center" wrapText="1"/>
    </xf>
    <xf numFmtId="0" fontId="8" fillId="0" borderId="135" xfId="0" applyFont="1" applyBorder="1" applyAlignment="1">
      <alignment vertical="center"/>
    </xf>
    <xf numFmtId="0" fontId="8" fillId="0" borderId="0" xfId="0" applyFont="1" applyAlignment="1" applyProtection="1">
      <alignment vertical="center"/>
      <protection locked="0"/>
    </xf>
    <xf numFmtId="0" fontId="8" fillId="5" borderId="92" xfId="0" applyFont="1" applyFill="1" applyBorder="1" applyAlignment="1" applyProtection="1">
      <alignment vertical="center"/>
      <protection locked="0"/>
    </xf>
    <xf numFmtId="0" fontId="8" fillId="5" borderId="63" xfId="0" applyFont="1" applyFill="1" applyBorder="1" applyAlignment="1" applyProtection="1">
      <alignment vertical="center"/>
      <protection locked="0"/>
    </xf>
    <xf numFmtId="0" fontId="8" fillId="5" borderId="45" xfId="0" applyFont="1" applyFill="1" applyBorder="1" applyAlignment="1" applyProtection="1">
      <alignment vertical="center"/>
      <protection locked="0"/>
    </xf>
    <xf numFmtId="165" fontId="4" fillId="0" borderId="0" xfId="0" applyNumberFormat="1" applyFont="1" applyAlignment="1">
      <alignment horizontal="center"/>
    </xf>
    <xf numFmtId="0" fontId="6" fillId="0" borderId="0" xfId="0" applyFont="1" applyAlignment="1">
      <alignment horizontal="center" vertical="center"/>
    </xf>
    <xf numFmtId="0" fontId="6" fillId="0" borderId="0" xfId="0" applyFont="1" applyAlignment="1">
      <alignment horizontal="center"/>
    </xf>
    <xf numFmtId="0" fontId="6" fillId="0" borderId="9" xfId="0" applyFont="1" applyBorder="1"/>
    <xf numFmtId="0" fontId="4" fillId="0" borderId="60" xfId="0" applyFont="1" applyBorder="1"/>
    <xf numFmtId="0" fontId="4" fillId="0" borderId="62" xfId="0" applyFont="1" applyBorder="1"/>
    <xf numFmtId="164" fontId="4" fillId="0" borderId="62" xfId="0" applyNumberFormat="1" applyFont="1" applyBorder="1" applyAlignment="1">
      <alignment horizontal="center"/>
    </xf>
    <xf numFmtId="0" fontId="4" fillId="0" borderId="124" xfId="0" applyFont="1" applyBorder="1"/>
    <xf numFmtId="0" fontId="4" fillId="0" borderId="76" xfId="0" applyFont="1" applyBorder="1"/>
    <xf numFmtId="0" fontId="4" fillId="0" borderId="61" xfId="0" applyFont="1" applyBorder="1"/>
    <xf numFmtId="164" fontId="4" fillId="0" borderId="45" xfId="7" applyNumberFormat="1" applyFont="1" applyBorder="1" applyAlignment="1">
      <alignment horizontal="center" vertical="center"/>
    </xf>
    <xf numFmtId="44" fontId="8" fillId="5" borderId="0" xfId="0" applyNumberFormat="1" applyFont="1" applyFill="1" applyAlignment="1">
      <alignment horizontal="left" vertical="top" wrapText="1"/>
    </xf>
    <xf numFmtId="0" fontId="16" fillId="23" borderId="55" xfId="0" applyFont="1" applyFill="1" applyBorder="1" applyAlignment="1">
      <alignment horizontal="right" indent="1"/>
    </xf>
    <xf numFmtId="0" fontId="16" fillId="23" borderId="59" xfId="0" applyFont="1" applyFill="1" applyBorder="1" applyAlignment="1">
      <alignment horizontal="right" indent="1"/>
    </xf>
    <xf numFmtId="0" fontId="16" fillId="23" borderId="68" xfId="0" applyFont="1" applyFill="1" applyBorder="1" applyAlignment="1">
      <alignment horizontal="center"/>
    </xf>
    <xf numFmtId="1" fontId="16" fillId="23" borderId="69" xfId="0" applyNumberFormat="1" applyFont="1" applyFill="1" applyBorder="1" applyAlignment="1">
      <alignment horizontal="center"/>
    </xf>
    <xf numFmtId="0" fontId="16" fillId="23" borderId="70" xfId="0" applyFont="1" applyFill="1" applyBorder="1" applyAlignment="1">
      <alignment horizontal="center"/>
    </xf>
    <xf numFmtId="10" fontId="4" fillId="0" borderId="0" xfId="0" applyNumberFormat="1" applyFont="1" applyAlignment="1">
      <alignment horizontal="center"/>
    </xf>
    <xf numFmtId="10" fontId="4" fillId="0" borderId="0" xfId="5" applyNumberFormat="1" applyFont="1" applyAlignment="1">
      <alignment horizontal="center"/>
    </xf>
    <xf numFmtId="168" fontId="4" fillId="0" borderId="0" xfId="0" applyNumberFormat="1" applyFont="1"/>
    <xf numFmtId="44" fontId="4" fillId="0" borderId="0" xfId="7" applyFont="1"/>
    <xf numFmtId="4" fontId="4" fillId="0" borderId="0" xfId="0" applyNumberFormat="1" applyFont="1" applyAlignment="1">
      <alignment horizontal="center" vertical="center"/>
    </xf>
    <xf numFmtId="0" fontId="65" fillId="0" borderId="0" xfId="0" applyFont="1"/>
    <xf numFmtId="0" fontId="64" fillId="0" borderId="0" xfId="0" applyFont="1"/>
    <xf numFmtId="0" fontId="60" fillId="20" borderId="64" xfId="0" applyFont="1" applyFill="1" applyBorder="1" applyAlignment="1">
      <alignment horizontal="center" vertical="center"/>
    </xf>
    <xf numFmtId="0" fontId="4" fillId="0" borderId="64" xfId="0" applyFont="1" applyBorder="1" applyAlignment="1">
      <alignment horizontal="left"/>
    </xf>
    <xf numFmtId="0" fontId="4" fillId="21" borderId="64" xfId="0" applyFont="1" applyFill="1" applyBorder="1" applyAlignment="1">
      <alignment horizontal="center" vertical="center"/>
    </xf>
    <xf numFmtId="164" fontId="4" fillId="21" borderId="64" xfId="0" applyNumberFormat="1" applyFont="1" applyFill="1" applyBorder="1" applyAlignment="1">
      <alignment horizontal="center" vertical="center"/>
    </xf>
    <xf numFmtId="164" fontId="4" fillId="0" borderId="64" xfId="0" applyNumberFormat="1" applyFont="1" applyBorder="1" applyAlignment="1">
      <alignment horizontal="center" vertical="center"/>
    </xf>
    <xf numFmtId="164" fontId="4" fillId="21" borderId="77" xfId="0" applyNumberFormat="1" applyFont="1" applyFill="1" applyBorder="1" applyAlignment="1">
      <alignment horizontal="center" vertical="center"/>
    </xf>
    <xf numFmtId="164" fontId="8" fillId="18" borderId="41" xfId="0" applyNumberFormat="1" applyFont="1" applyFill="1" applyBorder="1" applyAlignment="1">
      <alignment horizontal="right" vertical="center"/>
    </xf>
    <xf numFmtId="0" fontId="8" fillId="5" borderId="58" xfId="0" applyFont="1" applyFill="1" applyBorder="1" applyAlignment="1" applyProtection="1">
      <alignment vertical="top"/>
      <protection locked="0"/>
    </xf>
    <xf numFmtId="0" fontId="8" fillId="5" borderId="57" xfId="0" applyFont="1" applyFill="1" applyBorder="1" applyAlignment="1" applyProtection="1">
      <alignment vertical="center" wrapText="1"/>
      <protection locked="0"/>
    </xf>
    <xf numFmtId="0" fontId="8" fillId="5" borderId="56" xfId="0" applyFont="1" applyFill="1" applyBorder="1" applyAlignment="1" applyProtection="1">
      <alignment vertical="center"/>
      <protection locked="0"/>
    </xf>
    <xf numFmtId="0" fontId="8" fillId="5" borderId="91" xfId="0" applyFont="1" applyFill="1" applyBorder="1" applyAlignment="1">
      <alignment vertical="top"/>
    </xf>
    <xf numFmtId="3" fontId="4" fillId="0" borderId="0" xfId="0" applyNumberFormat="1" applyFont="1" applyAlignment="1">
      <alignment horizontal="center"/>
    </xf>
    <xf numFmtId="6" fontId="4" fillId="21" borderId="77" xfId="0" applyNumberFormat="1" applyFont="1" applyFill="1" applyBorder="1" applyAlignment="1">
      <alignment horizontal="center" vertical="center"/>
    </xf>
    <xf numFmtId="3" fontId="4" fillId="21" borderId="64" xfId="0" applyNumberFormat="1" applyFont="1" applyFill="1" applyBorder="1" applyAlignment="1">
      <alignment horizontal="center" vertical="center"/>
    </xf>
    <xf numFmtId="2" fontId="7" fillId="19" borderId="63" xfId="0" applyNumberFormat="1" applyFont="1" applyFill="1" applyBorder="1" applyAlignment="1" applyProtection="1">
      <alignment vertical="center"/>
      <protection locked="0"/>
    </xf>
    <xf numFmtId="0" fontId="44" fillId="6" borderId="0" xfId="0" applyFont="1" applyFill="1"/>
    <xf numFmtId="0" fontId="51" fillId="6" borderId="0" xfId="0" applyFont="1" applyFill="1" applyAlignment="1" applyProtection="1">
      <alignment vertical="top"/>
      <protection locked="0"/>
    </xf>
    <xf numFmtId="0" fontId="8" fillId="6" borderId="28" xfId="0" applyFont="1" applyFill="1" applyBorder="1"/>
    <xf numFmtId="0" fontId="67" fillId="3" borderId="7" xfId="0" applyFont="1" applyFill="1" applyBorder="1" applyAlignment="1">
      <alignment horizontal="center"/>
    </xf>
    <xf numFmtId="0" fontId="68" fillId="5" borderId="6" xfId="0" applyFont="1" applyFill="1" applyBorder="1" applyAlignment="1" applyProtection="1">
      <alignment horizontal="center" vertical="center" wrapText="1"/>
      <protection locked="0"/>
    </xf>
    <xf numFmtId="0" fontId="68" fillId="5" borderId="98" xfId="0" applyFont="1" applyFill="1" applyBorder="1" applyAlignment="1" applyProtection="1">
      <alignment horizontal="center" vertical="center" wrapText="1"/>
      <protection locked="0"/>
    </xf>
    <xf numFmtId="0" fontId="50" fillId="5" borderId="5" xfId="0" applyFont="1" applyFill="1" applyBorder="1" applyAlignment="1" applyProtection="1">
      <alignment horizontal="center" vertical="center" wrapText="1"/>
      <protection locked="0"/>
    </xf>
    <xf numFmtId="0" fontId="50" fillId="5" borderId="112" xfId="0" applyFont="1" applyFill="1" applyBorder="1" applyAlignment="1" applyProtection="1">
      <alignment horizontal="center" vertical="center" wrapText="1"/>
      <protection locked="0"/>
    </xf>
    <xf numFmtId="0" fontId="50" fillId="5" borderId="11" xfId="0" applyFont="1" applyFill="1" applyBorder="1" applyAlignment="1" applyProtection="1">
      <alignment horizontal="center" vertical="center" wrapText="1"/>
      <protection locked="0"/>
    </xf>
    <xf numFmtId="0" fontId="50" fillId="5" borderId="107" xfId="0" applyFont="1" applyFill="1" applyBorder="1" applyAlignment="1" applyProtection="1">
      <alignment horizontal="center" vertical="center" wrapText="1"/>
      <protection locked="0"/>
    </xf>
    <xf numFmtId="0" fontId="68" fillId="5" borderId="5" xfId="0" applyFont="1" applyFill="1" applyBorder="1" applyAlignment="1" applyProtection="1">
      <alignment horizontal="center" vertical="center" wrapText="1"/>
      <protection locked="0"/>
    </xf>
    <xf numFmtId="0" fontId="50" fillId="5" borderId="5" xfId="0" applyFont="1" applyFill="1" applyBorder="1" applyAlignment="1">
      <alignment horizontal="center" vertical="center"/>
    </xf>
    <xf numFmtId="0" fontId="50" fillId="5" borderId="11" xfId="0" applyFont="1" applyFill="1" applyBorder="1" applyAlignment="1">
      <alignment vertical="center"/>
    </xf>
    <xf numFmtId="0" fontId="50" fillId="5" borderId="107" xfId="0" applyFont="1" applyFill="1" applyBorder="1" applyAlignment="1">
      <alignment vertical="center"/>
    </xf>
    <xf numFmtId="0" fontId="50" fillId="5" borderId="5" xfId="0" applyFont="1" applyFill="1" applyBorder="1" applyAlignment="1" applyProtection="1">
      <alignment horizontal="center" vertical="center"/>
      <protection locked="0"/>
    </xf>
    <xf numFmtId="0" fontId="50" fillId="5" borderId="87" xfId="0" applyFont="1" applyFill="1" applyBorder="1" applyAlignment="1" applyProtection="1">
      <alignment horizontal="center" vertical="center"/>
      <protection locked="0"/>
    </xf>
    <xf numFmtId="0" fontId="50" fillId="5" borderId="8" xfId="0" applyFont="1" applyFill="1" applyBorder="1" applyAlignment="1" applyProtection="1">
      <alignment horizontal="center" vertical="center"/>
      <protection locked="0"/>
    </xf>
    <xf numFmtId="0" fontId="50" fillId="5" borderId="87" xfId="0" applyFont="1" applyFill="1" applyBorder="1" applyAlignment="1">
      <alignment horizontal="center" vertical="center"/>
    </xf>
    <xf numFmtId="0" fontId="50" fillId="5" borderId="11" xfId="0" applyFont="1" applyFill="1" applyBorder="1" applyAlignment="1" applyProtection="1">
      <alignment horizontal="center" vertical="center"/>
      <protection locked="0"/>
    </xf>
    <xf numFmtId="0" fontId="50" fillId="5" borderId="107" xfId="0" applyFont="1" applyFill="1" applyBorder="1" applyAlignment="1" applyProtection="1">
      <alignment horizontal="center" vertical="center"/>
      <protection locked="0"/>
    </xf>
    <xf numFmtId="0" fontId="50" fillId="5" borderId="5" xfId="0" applyFont="1" applyFill="1" applyBorder="1" applyAlignment="1" applyProtection="1">
      <alignment vertical="center"/>
      <protection locked="0"/>
    </xf>
    <xf numFmtId="0" fontId="50" fillId="5" borderId="112" xfId="0" applyFont="1" applyFill="1" applyBorder="1" applyAlignment="1" applyProtection="1">
      <alignment vertical="center"/>
      <protection locked="0"/>
    </xf>
    <xf numFmtId="0" fontId="50" fillId="5" borderId="112" xfId="0" applyFont="1" applyFill="1" applyBorder="1" applyAlignment="1" applyProtection="1">
      <alignment horizontal="center" vertical="center"/>
      <protection locked="0"/>
    </xf>
    <xf numFmtId="0" fontId="50" fillId="5" borderId="112" xfId="0" applyFont="1" applyFill="1" applyBorder="1" applyAlignment="1">
      <alignment horizontal="center" vertical="center"/>
    </xf>
    <xf numFmtId="0" fontId="67" fillId="5" borderId="11" xfId="0" applyFont="1" applyFill="1" applyBorder="1" applyAlignment="1">
      <alignment horizontal="center" vertical="center"/>
    </xf>
    <xf numFmtId="0" fontId="67" fillId="5" borderId="8" xfId="0" applyFont="1" applyFill="1" applyBorder="1" applyAlignment="1">
      <alignment vertical="center"/>
    </xf>
    <xf numFmtId="0" fontId="67" fillId="5" borderId="107" xfId="0" applyFont="1" applyFill="1" applyBorder="1" applyAlignment="1">
      <alignment vertical="center"/>
    </xf>
    <xf numFmtId="1" fontId="50" fillId="5" borderId="5" xfId="0" applyNumberFormat="1" applyFont="1" applyFill="1" applyBorder="1" applyAlignment="1" applyProtection="1">
      <alignment horizontal="center" vertical="center"/>
      <protection locked="0"/>
    </xf>
    <xf numFmtId="1" fontId="50" fillId="5" borderId="112" xfId="0" applyNumberFormat="1" applyFont="1" applyFill="1" applyBorder="1" applyAlignment="1" applyProtection="1">
      <alignment horizontal="center" vertical="center"/>
      <protection locked="0"/>
    </xf>
    <xf numFmtId="0" fontId="50" fillId="5" borderId="11" xfId="0" applyFont="1" applyFill="1" applyBorder="1" applyAlignment="1" applyProtection="1">
      <alignment vertical="center" wrapText="1"/>
      <protection locked="0"/>
    </xf>
    <xf numFmtId="0" fontId="50" fillId="5" borderId="107" xfId="0" applyFont="1" applyFill="1" applyBorder="1" applyAlignment="1" applyProtection="1">
      <alignment vertical="center" wrapText="1"/>
      <protection locked="0"/>
    </xf>
    <xf numFmtId="0" fontId="50" fillId="5" borderId="98" xfId="0" applyFont="1" applyFill="1" applyBorder="1" applyAlignment="1">
      <alignment horizontal="center" vertical="center"/>
    </xf>
    <xf numFmtId="0" fontId="50" fillId="5" borderId="98" xfId="0" applyFont="1" applyFill="1" applyBorder="1" applyAlignment="1">
      <alignment horizontal="center"/>
    </xf>
    <xf numFmtId="0" fontId="50" fillId="5" borderId="111" xfId="0" applyFont="1" applyFill="1" applyBorder="1" applyAlignment="1">
      <alignment horizontal="center"/>
    </xf>
    <xf numFmtId="0" fontId="50" fillId="5" borderId="87" xfId="0" applyFont="1" applyFill="1" applyBorder="1" applyAlignment="1">
      <alignment horizontal="center"/>
    </xf>
    <xf numFmtId="0" fontId="50" fillId="5" borderId="112" xfId="0" applyFont="1" applyFill="1" applyBorder="1" applyAlignment="1">
      <alignment horizontal="center"/>
    </xf>
    <xf numFmtId="0" fontId="50" fillId="5" borderId="109" xfId="0" applyFont="1" applyFill="1" applyBorder="1" applyAlignment="1">
      <alignment horizontal="center"/>
    </xf>
    <xf numFmtId="0" fontId="50" fillId="5" borderId="110" xfId="0" applyFont="1" applyFill="1" applyBorder="1" applyAlignment="1">
      <alignment horizontal="center"/>
    </xf>
    <xf numFmtId="0" fontId="69" fillId="3" borderId="6" xfId="0" applyFont="1" applyFill="1" applyBorder="1" applyAlignment="1">
      <alignment horizontal="center" vertical="center"/>
    </xf>
    <xf numFmtId="0" fontId="69" fillId="3" borderId="3" xfId="0" applyFont="1" applyFill="1" applyBorder="1" applyAlignment="1">
      <alignment horizontal="center" vertical="center"/>
    </xf>
    <xf numFmtId="0" fontId="69" fillId="3" borderId="115" xfId="0" applyFont="1" applyFill="1" applyBorder="1" applyAlignment="1">
      <alignment horizontal="center" vertical="center"/>
    </xf>
    <xf numFmtId="0" fontId="50" fillId="5" borderId="98" xfId="0" applyFont="1" applyFill="1" applyBorder="1" applyAlignment="1" applyProtection="1">
      <alignment horizontal="center" vertical="center"/>
      <protection locked="0"/>
    </xf>
    <xf numFmtId="0" fontId="50" fillId="5" borderId="87" xfId="0" applyFont="1" applyFill="1" applyBorder="1" applyAlignment="1" applyProtection="1">
      <alignment horizontal="center"/>
      <protection locked="0"/>
    </xf>
    <xf numFmtId="0" fontId="50" fillId="5" borderId="111" xfId="0" applyFont="1" applyFill="1" applyBorder="1" applyAlignment="1" applyProtection="1">
      <alignment horizontal="center" vertical="center"/>
      <protection locked="0"/>
    </xf>
    <xf numFmtId="0" fontId="67" fillId="3" borderId="13" xfId="0" applyFont="1" applyFill="1" applyBorder="1" applyAlignment="1">
      <alignment horizontal="center" vertical="center"/>
    </xf>
    <xf numFmtId="0" fontId="67" fillId="3" borderId="7" xfId="0" applyFont="1" applyFill="1" applyBorder="1" applyAlignment="1">
      <alignment horizontal="center" vertical="center"/>
    </xf>
    <xf numFmtId="0" fontId="67" fillId="3" borderId="19" xfId="0" applyFont="1" applyFill="1" applyBorder="1" applyAlignment="1">
      <alignment horizontal="center" vertical="center"/>
    </xf>
    <xf numFmtId="0" fontId="50" fillId="5" borderId="111" xfId="0" applyFont="1" applyFill="1" applyBorder="1" applyAlignment="1">
      <alignment horizontal="center" vertical="center"/>
    </xf>
    <xf numFmtId="0" fontId="50" fillId="5" borderId="4" xfId="0" applyFont="1" applyFill="1" applyBorder="1" applyAlignment="1" applyProtection="1">
      <alignment horizontal="center" vertical="center"/>
      <protection locked="0"/>
    </xf>
    <xf numFmtId="0" fontId="50" fillId="5" borderId="20" xfId="0" applyFont="1" applyFill="1" applyBorder="1" applyAlignment="1" applyProtection="1">
      <alignment horizontal="center" vertical="center"/>
      <protection locked="0"/>
    </xf>
    <xf numFmtId="0" fontId="50" fillId="0" borderId="0" xfId="0" applyFont="1" applyAlignment="1">
      <alignment vertical="center"/>
    </xf>
    <xf numFmtId="0" fontId="50" fillId="0" borderId="14" xfId="0" applyFont="1" applyBorder="1" applyAlignment="1">
      <alignment vertical="center"/>
    </xf>
    <xf numFmtId="0" fontId="50" fillId="5" borderId="6" xfId="0" applyFont="1" applyFill="1" applyBorder="1" applyAlignment="1" applyProtection="1">
      <alignment horizontal="center" vertical="center"/>
      <protection locked="0"/>
    </xf>
    <xf numFmtId="0" fontId="67" fillId="3" borderId="20" xfId="0" applyFont="1" applyFill="1" applyBorder="1" applyAlignment="1">
      <alignment horizontal="center" vertical="center"/>
    </xf>
    <xf numFmtId="0" fontId="50" fillId="5" borderId="97" xfId="0" applyFont="1" applyFill="1" applyBorder="1" applyAlignment="1">
      <alignment horizontal="center" vertical="center" wrapText="1"/>
    </xf>
    <xf numFmtId="0" fontId="50" fillId="5" borderId="115" xfId="0" applyFont="1" applyFill="1" applyBorder="1" applyAlignment="1">
      <alignment horizontal="center" vertical="center" wrapText="1"/>
    </xf>
    <xf numFmtId="170" fontId="50" fillId="5" borderId="9" xfId="0" applyNumberFormat="1" applyFont="1" applyFill="1" applyBorder="1" applyAlignment="1">
      <alignment horizontal="center" vertical="center"/>
    </xf>
    <xf numFmtId="2" fontId="50" fillId="5" borderId="87" xfId="0" applyNumberFormat="1" applyFont="1" applyFill="1" applyBorder="1" applyAlignment="1">
      <alignment horizontal="center" vertical="center"/>
    </xf>
    <xf numFmtId="0" fontId="50" fillId="5" borderId="4" xfId="0" applyFont="1" applyFill="1" applyBorder="1" applyAlignment="1">
      <alignment horizontal="center" vertical="center"/>
    </xf>
    <xf numFmtId="0" fontId="50" fillId="5" borderId="107" xfId="0" applyFont="1" applyFill="1" applyBorder="1" applyAlignment="1">
      <alignment horizontal="center" vertical="center"/>
    </xf>
    <xf numFmtId="0" fontId="50" fillId="5" borderId="98" xfId="0" applyFont="1" applyFill="1" applyBorder="1" applyAlignment="1">
      <alignment horizontal="center" vertical="center" wrapText="1"/>
    </xf>
    <xf numFmtId="0" fontId="50" fillId="5" borderId="5" xfId="0" applyFont="1" applyFill="1" applyBorder="1" applyAlignment="1">
      <alignment horizontal="center" vertical="center" wrapText="1"/>
    </xf>
    <xf numFmtId="0" fontId="50" fillId="5" borderId="112" xfId="0" applyFont="1" applyFill="1" applyBorder="1" applyAlignment="1">
      <alignment horizontal="center" vertical="center" wrapText="1"/>
    </xf>
    <xf numFmtId="0" fontId="50" fillId="5" borderId="132" xfId="0" applyFont="1" applyFill="1" applyBorder="1" applyAlignment="1">
      <alignment horizontal="center" vertical="center" wrapText="1"/>
    </xf>
    <xf numFmtId="0" fontId="50" fillId="5" borderId="7" xfId="0" applyFont="1" applyFill="1" applyBorder="1" applyAlignment="1">
      <alignment horizontal="center" vertical="center" wrapText="1"/>
    </xf>
    <xf numFmtId="0" fontId="50" fillId="5" borderId="3" xfId="0" applyFont="1" applyFill="1" applyBorder="1" applyAlignment="1">
      <alignment horizontal="center" vertical="center" wrapText="1"/>
    </xf>
    <xf numFmtId="0" fontId="50" fillId="5" borderId="1" xfId="0" applyFont="1" applyFill="1" applyBorder="1" applyAlignment="1">
      <alignment horizontal="center" vertical="center" wrapText="1"/>
    </xf>
    <xf numFmtId="0" fontId="50" fillId="5" borderId="87" xfId="0" applyFont="1" applyFill="1" applyBorder="1" applyAlignment="1">
      <alignment horizontal="center" vertical="center" wrapText="1"/>
    </xf>
    <xf numFmtId="0" fontId="50" fillId="5" borderId="8" xfId="0" applyFont="1" applyFill="1" applyBorder="1" applyAlignment="1">
      <alignment horizontal="center" vertical="center" wrapText="1"/>
    </xf>
    <xf numFmtId="0" fontId="50" fillId="5" borderId="4" xfId="0" applyFont="1" applyFill="1" applyBorder="1" applyAlignment="1">
      <alignment horizontal="center" vertical="center" wrapText="1"/>
    </xf>
    <xf numFmtId="0" fontId="50" fillId="5" borderId="1" xfId="0" applyFont="1" applyFill="1" applyBorder="1" applyAlignment="1">
      <alignment horizontal="center"/>
    </xf>
    <xf numFmtId="0" fontId="50" fillId="5" borderId="87" xfId="0" applyFont="1" applyFill="1" applyBorder="1" applyAlignment="1" applyProtection="1">
      <alignment horizontal="center" vertical="top" wrapText="1"/>
      <protection locked="0"/>
    </xf>
    <xf numFmtId="0" fontId="50" fillId="5" borderId="4" xfId="0" applyFont="1" applyFill="1" applyBorder="1" applyAlignment="1" applyProtection="1">
      <alignment horizontal="center" vertical="top" wrapText="1"/>
      <protection locked="0"/>
    </xf>
    <xf numFmtId="0" fontId="50" fillId="5" borderId="119" xfId="0" applyFont="1" applyFill="1" applyBorder="1" applyAlignment="1">
      <alignment horizontal="center" vertical="center"/>
    </xf>
    <xf numFmtId="0" fontId="50" fillId="5" borderId="114" xfId="0" applyFont="1" applyFill="1" applyBorder="1" applyAlignment="1">
      <alignment horizontal="center" vertical="center"/>
    </xf>
    <xf numFmtId="2" fontId="50" fillId="5" borderId="87" xfId="0" applyNumberFormat="1" applyFont="1" applyFill="1" applyBorder="1" applyAlignment="1" applyProtection="1">
      <alignment horizontal="center" vertical="center" wrapText="1"/>
      <protection locked="0"/>
    </xf>
    <xf numFmtId="2" fontId="50" fillId="5" borderId="4" xfId="0" applyNumberFormat="1" applyFont="1" applyFill="1" applyBorder="1" applyAlignment="1" applyProtection="1">
      <alignment horizontal="center" vertical="center" wrapText="1"/>
      <protection locked="0"/>
    </xf>
    <xf numFmtId="2" fontId="50" fillId="5" borderId="4" xfId="0" applyNumberFormat="1" applyFont="1" applyFill="1" applyBorder="1" applyAlignment="1">
      <alignment horizontal="center" vertical="center"/>
    </xf>
    <xf numFmtId="2" fontId="50" fillId="5" borderId="109" xfId="0" applyNumberFormat="1" applyFont="1" applyFill="1" applyBorder="1" applyAlignment="1">
      <alignment horizontal="center" vertical="center"/>
    </xf>
    <xf numFmtId="2" fontId="50" fillId="5" borderId="31" xfId="0" applyNumberFormat="1" applyFont="1" applyFill="1" applyBorder="1" applyAlignment="1">
      <alignment horizontal="center" vertical="center"/>
    </xf>
    <xf numFmtId="0" fontId="56" fillId="0" borderId="0" xfId="0" applyFont="1"/>
    <xf numFmtId="0" fontId="10" fillId="0" borderId="4" xfId="0" applyFont="1" applyBorder="1"/>
    <xf numFmtId="0" fontId="18" fillId="0" borderId="4" xfId="0" applyFont="1" applyBorder="1" applyAlignment="1">
      <alignment horizontal="center" vertical="center"/>
    </xf>
    <xf numFmtId="0" fontId="22" fillId="0" borderId="4" xfId="0" applyFont="1" applyBorder="1" applyAlignment="1">
      <alignment vertical="center"/>
    </xf>
    <xf numFmtId="0" fontId="66" fillId="0" borderId="0" xfId="0" applyFont="1"/>
    <xf numFmtId="0" fontId="21" fillId="0" borderId="0" xfId="0" applyFont="1" applyAlignment="1">
      <alignment horizontal="center" vertical="center"/>
    </xf>
    <xf numFmtId="0" fontId="18" fillId="0" borderId="0" xfId="0" applyFont="1" applyAlignment="1">
      <alignment horizontal="left" vertical="center"/>
    </xf>
    <xf numFmtId="168" fontId="4" fillId="0" borderId="0" xfId="0" applyNumberFormat="1" applyFont="1" applyAlignment="1">
      <alignment horizontal="right"/>
    </xf>
    <xf numFmtId="0" fontId="6" fillId="0" borderId="0" xfId="0" applyFont="1" applyAlignment="1">
      <alignment vertical="center"/>
    </xf>
    <xf numFmtId="0" fontId="8" fillId="5" borderId="7" xfId="0" applyFont="1" applyFill="1" applyBorder="1" applyProtection="1">
      <protection locked="0"/>
    </xf>
    <xf numFmtId="0" fontId="8" fillId="5" borderId="10" xfId="0" applyFont="1" applyFill="1" applyBorder="1" applyProtection="1">
      <protection locked="0"/>
    </xf>
    <xf numFmtId="0" fontId="8" fillId="5" borderId="92" xfId="0" applyFont="1" applyFill="1" applyBorder="1" applyAlignment="1" applyProtection="1">
      <alignment vertical="top" wrapText="1"/>
      <protection locked="0"/>
    </xf>
    <xf numFmtId="0" fontId="8" fillId="5" borderId="89" xfId="0" applyFont="1" applyFill="1" applyBorder="1" applyAlignment="1" applyProtection="1">
      <alignment vertical="top" wrapText="1"/>
      <protection locked="0"/>
    </xf>
    <xf numFmtId="0" fontId="8" fillId="5" borderId="7" xfId="0" applyFont="1" applyFill="1" applyBorder="1" applyAlignment="1" applyProtection="1">
      <alignment vertical="top" wrapText="1"/>
      <protection locked="0"/>
    </xf>
    <xf numFmtId="0" fontId="8" fillId="5" borderId="10" xfId="0" applyFont="1" applyFill="1" applyBorder="1" applyAlignment="1" applyProtection="1">
      <alignment vertical="top" wrapText="1"/>
      <protection locked="0"/>
    </xf>
    <xf numFmtId="165" fontId="8" fillId="5" borderId="0" xfId="0" applyNumberFormat="1" applyFont="1" applyFill="1" applyProtection="1">
      <protection locked="0"/>
    </xf>
    <xf numFmtId="0" fontId="8" fillId="5" borderId="41" xfId="0" applyFont="1" applyFill="1" applyBorder="1" applyAlignment="1">
      <alignment vertical="center"/>
    </xf>
    <xf numFmtId="164" fontId="8" fillId="5" borderId="0" xfId="0" applyNumberFormat="1" applyFont="1" applyFill="1" applyAlignment="1">
      <alignment horizontal="center" vertical="center" wrapText="1"/>
    </xf>
    <xf numFmtId="0" fontId="70" fillId="0" borderId="0" xfId="0" applyFont="1"/>
    <xf numFmtId="0" fontId="4" fillId="0" borderId="0" xfId="0" applyFont="1" applyAlignment="1">
      <alignment horizontal="right" wrapText="1"/>
    </xf>
    <xf numFmtId="0" fontId="8" fillId="0" borderId="22" xfId="0" applyFont="1" applyBorder="1" applyAlignment="1">
      <alignment horizontal="left" vertical="top" wrapText="1" readingOrder="1"/>
    </xf>
    <xf numFmtId="0" fontId="8" fillId="0" borderId="0" xfId="0" applyFont="1" applyAlignment="1">
      <alignment horizontal="right"/>
    </xf>
    <xf numFmtId="0" fontId="4" fillId="0" borderId="22" xfId="0" applyFont="1" applyBorder="1"/>
    <xf numFmtId="0" fontId="4" fillId="0" borderId="31" xfId="0" applyFont="1" applyBorder="1"/>
    <xf numFmtId="0" fontId="4" fillId="0" borderId="136" xfId="0" applyFont="1" applyBorder="1"/>
    <xf numFmtId="0" fontId="4" fillId="0" borderId="137" xfId="0" applyFont="1" applyBorder="1"/>
    <xf numFmtId="0" fontId="4" fillId="0" borderId="138" xfId="0" applyFont="1" applyBorder="1"/>
    <xf numFmtId="3" fontId="8" fillId="0" borderId="0" xfId="0" applyNumberFormat="1" applyFont="1" applyAlignment="1">
      <alignment horizontal="right"/>
    </xf>
    <xf numFmtId="0" fontId="24" fillId="0" borderId="22" xfId="0" applyFont="1" applyBorder="1" applyAlignment="1">
      <alignment horizontal="left" vertical="center" readingOrder="1"/>
    </xf>
    <xf numFmtId="3" fontId="4" fillId="0" borderId="0" xfId="0" applyNumberFormat="1" applyFont="1" applyAlignment="1">
      <alignment horizontal="right"/>
    </xf>
    <xf numFmtId="1" fontId="8" fillId="0" borderId="0" xfId="0" applyNumberFormat="1" applyFont="1" applyAlignment="1">
      <alignment horizontal="right"/>
    </xf>
    <xf numFmtId="0" fontId="8" fillId="0" borderId="32" xfId="0" applyFont="1" applyBorder="1" applyAlignment="1">
      <alignment horizontal="left" vertical="top" wrapText="1" readingOrder="1"/>
    </xf>
    <xf numFmtId="3" fontId="8" fillId="0" borderId="28" xfId="0" applyNumberFormat="1" applyFont="1" applyBorder="1" applyAlignment="1">
      <alignment horizontal="right"/>
    </xf>
    <xf numFmtId="2" fontId="4" fillId="0" borderId="0" xfId="0" applyNumberFormat="1" applyFont="1" applyAlignment="1">
      <alignment horizontal="right"/>
    </xf>
    <xf numFmtId="0" fontId="25" fillId="0" borderId="41" xfId="0" applyFont="1" applyBorder="1"/>
    <xf numFmtId="0" fontId="25" fillId="0" borderId="60" xfId="0" applyFont="1" applyBorder="1"/>
    <xf numFmtId="0" fontId="25" fillId="0" borderId="62" xfId="0" applyFont="1" applyBorder="1"/>
    <xf numFmtId="0" fontId="4" fillId="0" borderId="62" xfId="0" applyFont="1" applyBorder="1" applyAlignment="1">
      <alignment horizontal="center"/>
    </xf>
    <xf numFmtId="2" fontId="4" fillId="0" borderId="62" xfId="0" applyNumberFormat="1" applyFont="1" applyBorder="1"/>
    <xf numFmtId="0" fontId="6" fillId="0" borderId="56" xfId="0" applyFont="1" applyBorder="1"/>
    <xf numFmtId="0" fontId="6" fillId="0" borderId="57" xfId="0" applyFont="1" applyBorder="1"/>
    <xf numFmtId="0" fontId="6" fillId="0" borderId="58" xfId="0" applyFont="1" applyBorder="1"/>
    <xf numFmtId="0" fontId="6" fillId="0" borderId="62" xfId="0" applyFont="1" applyBorder="1"/>
    <xf numFmtId="165" fontId="4" fillId="0" borderId="61" xfId="0" applyNumberFormat="1" applyFont="1" applyBorder="1"/>
    <xf numFmtId="165" fontId="4" fillId="0" borderId="67" xfId="0" applyNumberFormat="1" applyFont="1" applyBorder="1"/>
    <xf numFmtId="165" fontId="4" fillId="0" borderId="58" xfId="0" applyNumberFormat="1" applyFont="1" applyBorder="1"/>
    <xf numFmtId="165" fontId="4" fillId="0" borderId="42" xfId="0" applyNumberFormat="1" applyFont="1" applyBorder="1"/>
    <xf numFmtId="0" fontId="4" fillId="0" borderId="55" xfId="0" applyFont="1" applyBorder="1"/>
    <xf numFmtId="165" fontId="4" fillId="0" borderId="70" xfId="0" applyNumberFormat="1" applyFont="1" applyBorder="1"/>
    <xf numFmtId="0" fontId="57" fillId="0" borderId="67" xfId="0" applyFont="1" applyBorder="1"/>
    <xf numFmtId="0" fontId="4" fillId="0" borderId="67" xfId="0" applyFont="1" applyBorder="1"/>
    <xf numFmtId="6" fontId="24" fillId="0" borderId="0" xfId="0" applyNumberFormat="1" applyFont="1" applyAlignment="1">
      <alignment horizontal="right" vertical="center" wrapText="1" readingOrder="1"/>
    </xf>
    <xf numFmtId="10" fontId="24" fillId="0" borderId="0" xfId="0" applyNumberFormat="1" applyFont="1" applyAlignment="1">
      <alignment horizontal="right" vertical="center" wrapText="1" readingOrder="1"/>
    </xf>
    <xf numFmtId="0" fontId="32" fillId="0" borderId="56" xfId="0" applyFont="1" applyBorder="1" applyAlignment="1">
      <alignment horizontal="left" vertical="center" wrapText="1" readingOrder="1"/>
    </xf>
    <xf numFmtId="0" fontId="32" fillId="0" borderId="57" xfId="0" applyFont="1" applyBorder="1" applyAlignment="1">
      <alignment horizontal="right" vertical="center" wrapText="1" readingOrder="1"/>
    </xf>
    <xf numFmtId="0" fontId="32" fillId="0" borderId="58" xfId="0" applyFont="1" applyBorder="1" applyAlignment="1">
      <alignment horizontal="right" vertical="center" wrapText="1" readingOrder="1"/>
    </xf>
    <xf numFmtId="0" fontId="32" fillId="0" borderId="41" xfId="0" applyFont="1" applyBorder="1" applyAlignment="1">
      <alignment horizontal="left" vertical="center" wrapText="1" readingOrder="1"/>
    </xf>
    <xf numFmtId="0" fontId="33" fillId="0" borderId="41" xfId="0" applyFont="1" applyBorder="1" applyAlignment="1">
      <alignment horizontal="left" vertical="center" wrapText="1" readingOrder="1"/>
    </xf>
    <xf numFmtId="165" fontId="4" fillId="0" borderId="42" xfId="5" applyNumberFormat="1" applyFont="1" applyBorder="1"/>
    <xf numFmtId="3" fontId="24" fillId="0" borderId="41" xfId="0" applyNumberFormat="1" applyFont="1" applyBorder="1" applyAlignment="1">
      <alignment horizontal="left" vertical="center" wrapText="1" readingOrder="1"/>
    </xf>
    <xf numFmtId="0" fontId="24" fillId="0" borderId="42" xfId="0" applyFont="1" applyBorder="1" applyAlignment="1">
      <alignment horizontal="right" vertical="center" wrapText="1" readingOrder="1"/>
    </xf>
    <xf numFmtId="9" fontId="35" fillId="0" borderId="62" xfId="0" applyNumberFormat="1" applyFont="1" applyBorder="1" applyAlignment="1">
      <alignment horizontal="right" vertical="center" wrapText="1" readingOrder="1"/>
    </xf>
    <xf numFmtId="0" fontId="34" fillId="0" borderId="55" xfId="0" applyFont="1" applyBorder="1" applyAlignment="1">
      <alignment horizontal="left" vertical="center" wrapText="1" readingOrder="1"/>
    </xf>
    <xf numFmtId="6" fontId="38" fillId="0" borderId="70" xfId="0" applyNumberFormat="1" applyFont="1" applyBorder="1" applyAlignment="1">
      <alignment horizontal="right" vertical="center" wrapText="1" readingOrder="1"/>
    </xf>
    <xf numFmtId="0" fontId="4" fillId="0" borderId="0" xfId="7" applyNumberFormat="1" applyFont="1" applyBorder="1" applyAlignment="1">
      <alignment horizontal="left" vertical="center"/>
    </xf>
    <xf numFmtId="165" fontId="4" fillId="0" borderId="67" xfId="0" applyNumberFormat="1" applyFont="1" applyBorder="1" applyAlignment="1">
      <alignment horizontal="left"/>
    </xf>
    <xf numFmtId="0" fontId="4" fillId="0" borderId="67" xfId="0" applyFont="1" applyBorder="1" applyAlignment="1">
      <alignment horizontal="left"/>
    </xf>
    <xf numFmtId="165" fontId="4" fillId="0" borderId="67" xfId="0" applyNumberFormat="1" applyFont="1" applyBorder="1" applyAlignment="1">
      <alignment horizontal="right"/>
    </xf>
    <xf numFmtId="0" fontId="25" fillId="0" borderId="56" xfId="0" applyFont="1" applyBorder="1"/>
    <xf numFmtId="0" fontId="4" fillId="0" borderId="41" xfId="0" applyFont="1" applyBorder="1" applyAlignment="1">
      <alignment vertical="center"/>
    </xf>
    <xf numFmtId="0" fontId="8" fillId="0" borderId="42" xfId="0" applyFont="1" applyBorder="1" applyAlignment="1">
      <alignment vertical="center"/>
    </xf>
    <xf numFmtId="0" fontId="4" fillId="0" borderId="60" xfId="0" applyFont="1" applyBorder="1" applyAlignment="1">
      <alignment vertical="center"/>
    </xf>
    <xf numFmtId="0" fontId="4" fillId="0" borderId="62" xfId="0" applyFont="1" applyBorder="1" applyAlignment="1">
      <alignment vertical="center"/>
    </xf>
    <xf numFmtId="0" fontId="8" fillId="0" borderId="61" xfId="0" applyFont="1" applyBorder="1" applyAlignment="1">
      <alignment vertical="center"/>
    </xf>
    <xf numFmtId="164" fontId="4" fillId="0" borderId="55" xfId="0" applyNumberFormat="1" applyFont="1" applyBorder="1" applyAlignment="1">
      <alignment horizontal="right"/>
    </xf>
    <xf numFmtId="164" fontId="4" fillId="0" borderId="70" xfId="0" applyNumberFormat="1" applyFont="1" applyBorder="1" applyAlignment="1">
      <alignment horizontal="left"/>
    </xf>
    <xf numFmtId="0" fontId="7" fillId="0" borderId="56" xfId="0" applyFont="1" applyBorder="1"/>
    <xf numFmtId="0" fontId="8" fillId="0" borderId="41" xfId="0" applyFont="1" applyBorder="1" applyAlignment="1">
      <alignment horizontal="left" vertical="top" wrapText="1" readingOrder="1"/>
    </xf>
    <xf numFmtId="1" fontId="4" fillId="0" borderId="0" xfId="0" applyNumberFormat="1" applyFont="1" applyAlignment="1">
      <alignment horizontal="right"/>
    </xf>
    <xf numFmtId="1" fontId="4" fillId="0" borderId="62" xfId="0" applyNumberFormat="1" applyFont="1" applyBorder="1" applyAlignment="1">
      <alignment horizontal="right"/>
    </xf>
    <xf numFmtId="0" fontId="4" fillId="0" borderId="0" xfId="0" applyFont="1" applyAlignment="1">
      <alignment horizontal="right" vertical="center" wrapText="1"/>
    </xf>
    <xf numFmtId="0" fontId="8" fillId="5" borderId="10"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4" borderId="7" xfId="0" applyFont="1" applyFill="1" applyBorder="1" applyAlignment="1">
      <alignment horizontal="left" vertical="center"/>
    </xf>
    <xf numFmtId="0" fontId="8" fillId="0" borderId="4" xfId="0" applyFont="1" applyBorder="1" applyAlignment="1">
      <alignment wrapText="1"/>
    </xf>
    <xf numFmtId="0" fontId="8" fillId="5" borderId="10" xfId="0" applyFont="1" applyFill="1" applyBorder="1" applyAlignment="1" applyProtection="1">
      <alignment vertical="top"/>
      <protection locked="0"/>
    </xf>
    <xf numFmtId="170" fontId="8" fillId="5" borderId="0" xfId="0" applyNumberFormat="1" applyFont="1" applyFill="1"/>
    <xf numFmtId="0" fontId="8" fillId="5" borderId="28" xfId="0" applyFont="1" applyFill="1" applyBorder="1" applyAlignment="1" applyProtection="1">
      <alignment vertical="center"/>
      <protection locked="0"/>
    </xf>
    <xf numFmtId="0" fontId="8" fillId="5" borderId="100" xfId="0" applyFont="1" applyFill="1" applyBorder="1" applyAlignment="1" applyProtection="1">
      <alignment vertical="top"/>
      <protection locked="0"/>
    </xf>
    <xf numFmtId="0" fontId="50" fillId="0" borderId="0" xfId="0" applyFont="1" applyAlignment="1" applyProtection="1">
      <alignment vertical="top"/>
      <protection locked="0"/>
    </xf>
    <xf numFmtId="0" fontId="8" fillId="0" borderId="29" xfId="0" applyFont="1" applyBorder="1" applyAlignment="1" applyProtection="1">
      <alignment vertical="top"/>
      <protection locked="0"/>
    </xf>
    <xf numFmtId="0" fontId="50" fillId="5" borderId="87" xfId="0" applyFont="1" applyFill="1" applyBorder="1" applyAlignment="1" applyProtection="1">
      <alignment horizontal="center" vertical="center" wrapText="1"/>
      <protection locked="0"/>
    </xf>
    <xf numFmtId="0" fontId="50" fillId="5" borderId="109" xfId="0" applyFont="1" applyFill="1" applyBorder="1" applyAlignment="1" applyProtection="1">
      <alignment horizontal="center" vertical="center" wrapText="1"/>
      <protection locked="0"/>
    </xf>
    <xf numFmtId="0" fontId="50" fillId="5" borderId="110" xfId="0" applyFont="1" applyFill="1" applyBorder="1" applyAlignment="1" applyProtection="1">
      <alignment horizontal="center" vertical="center" wrapText="1"/>
      <protection locked="0"/>
    </xf>
    <xf numFmtId="0" fontId="46" fillId="5" borderId="41" xfId="0" applyFont="1" applyFill="1" applyBorder="1" applyAlignment="1" applyProtection="1">
      <alignment horizontal="left" vertical="center"/>
      <protection locked="0"/>
    </xf>
    <xf numFmtId="0" fontId="46" fillId="5" borderId="88" xfId="0" applyFont="1" applyFill="1" applyBorder="1" applyAlignment="1" applyProtection="1">
      <alignment horizontal="left" vertical="center"/>
      <protection locked="0"/>
    </xf>
    <xf numFmtId="0" fontId="50" fillId="5" borderId="98" xfId="0" applyFont="1" applyFill="1" applyBorder="1" applyAlignment="1" applyProtection="1">
      <alignment horizontal="center" vertical="center" wrapText="1"/>
      <protection locked="0"/>
    </xf>
    <xf numFmtId="0" fontId="50" fillId="5" borderId="111" xfId="0" applyFont="1" applyFill="1" applyBorder="1" applyAlignment="1" applyProtection="1">
      <alignment horizontal="center" vertical="center" wrapText="1"/>
      <protection locked="0"/>
    </xf>
    <xf numFmtId="0" fontId="46" fillId="5" borderId="88" xfId="0" applyFont="1" applyFill="1" applyBorder="1"/>
    <xf numFmtId="0" fontId="4" fillId="2" borderId="0" xfId="0" applyFont="1" applyFill="1"/>
    <xf numFmtId="9" fontId="4" fillId="2" borderId="0" xfId="0" applyNumberFormat="1" applyFont="1" applyFill="1"/>
    <xf numFmtId="9" fontId="8" fillId="7" borderId="1" xfId="0" applyNumberFormat="1" applyFont="1" applyFill="1" applyBorder="1" applyProtection="1">
      <protection locked="0"/>
    </xf>
    <xf numFmtId="9" fontId="8" fillId="7" borderId="8" xfId="0" applyNumberFormat="1" applyFont="1" applyFill="1" applyBorder="1" applyProtection="1">
      <protection locked="0"/>
    </xf>
    <xf numFmtId="0" fontId="8" fillId="5" borderId="75" xfId="0" applyFont="1" applyFill="1" applyBorder="1" applyAlignment="1">
      <alignment vertical="center"/>
    </xf>
    <xf numFmtId="0" fontId="8" fillId="5" borderId="10" xfId="0" applyFont="1" applyFill="1" applyBorder="1" applyAlignment="1">
      <alignment horizontal="left"/>
    </xf>
    <xf numFmtId="164" fontId="7" fillId="0" borderId="0" xfId="0" applyNumberFormat="1" applyFont="1" applyAlignment="1">
      <alignment vertical="center"/>
    </xf>
    <xf numFmtId="0" fontId="4" fillId="0" borderId="62" xfId="0" applyFont="1" applyBorder="1" applyAlignment="1">
      <alignment horizontal="center" vertical="center"/>
    </xf>
    <xf numFmtId="4" fontId="4" fillId="0" borderId="62" xfId="0" applyNumberFormat="1" applyFont="1" applyBorder="1" applyAlignment="1">
      <alignment horizontal="center" vertical="center"/>
    </xf>
    <xf numFmtId="0" fontId="4" fillId="0" borderId="62" xfId="0" applyFont="1" applyBorder="1" applyAlignment="1">
      <alignment horizontal="left"/>
    </xf>
    <xf numFmtId="0" fontId="8" fillId="0" borderId="62" xfId="0" applyFont="1" applyBorder="1"/>
    <xf numFmtId="0" fontId="4" fillId="0" borderId="106" xfId="0" quotePrefix="1" applyFont="1" applyBorder="1"/>
    <xf numFmtId="0" fontId="44" fillId="5" borderId="10" xfId="0" applyFont="1" applyFill="1" applyBorder="1" applyAlignment="1">
      <alignment horizontal="left" vertical="center"/>
    </xf>
    <xf numFmtId="0" fontId="7" fillId="0" borderId="35" xfId="0" applyFont="1" applyBorder="1" applyAlignment="1">
      <alignment horizontal="center" vertical="center"/>
    </xf>
    <xf numFmtId="0" fontId="7" fillId="5" borderId="10" xfId="0" applyFont="1" applyFill="1" applyBorder="1" applyAlignment="1">
      <alignment vertical="center"/>
    </xf>
    <xf numFmtId="0" fontId="8" fillId="5" borderId="9" xfId="0" applyFont="1" applyFill="1" applyBorder="1" applyAlignment="1">
      <alignment vertical="top" wrapText="1"/>
    </xf>
    <xf numFmtId="0" fontId="8" fillId="5" borderId="1" xfId="0" applyFont="1" applyFill="1" applyBorder="1" applyAlignment="1">
      <alignment vertical="top" wrapText="1"/>
    </xf>
    <xf numFmtId="0" fontId="8" fillId="5" borderId="9" xfId="0" applyFont="1" applyFill="1" applyBorder="1" applyAlignment="1">
      <alignment vertical="top"/>
    </xf>
    <xf numFmtId="0" fontId="8" fillId="5" borderId="1" xfId="0" applyFont="1" applyFill="1" applyBorder="1" applyAlignment="1">
      <alignment vertical="top"/>
    </xf>
    <xf numFmtId="0" fontId="8" fillId="5" borderId="12" xfId="0" applyFont="1" applyFill="1" applyBorder="1" applyAlignment="1">
      <alignment vertical="top"/>
    </xf>
    <xf numFmtId="0" fontId="8" fillId="5" borderId="98" xfId="0" applyFont="1" applyFill="1" applyBorder="1" applyAlignment="1">
      <alignment vertical="top" wrapText="1"/>
    </xf>
    <xf numFmtId="0" fontId="8" fillId="5" borderId="87" xfId="0" applyFont="1" applyFill="1" applyBorder="1" applyAlignment="1">
      <alignment vertical="top" wrapText="1"/>
    </xf>
    <xf numFmtId="0" fontId="8" fillId="5" borderId="98" xfId="0" applyFont="1" applyFill="1" applyBorder="1" applyAlignment="1">
      <alignment vertical="top"/>
    </xf>
    <xf numFmtId="0" fontId="8" fillId="5" borderId="87" xfId="0" applyFont="1" applyFill="1" applyBorder="1" applyAlignment="1">
      <alignment vertical="top"/>
    </xf>
    <xf numFmtId="171" fontId="4" fillId="2" borderId="0" xfId="0" applyNumberFormat="1" applyFont="1" applyFill="1"/>
    <xf numFmtId="171" fontId="6" fillId="2" borderId="62" xfId="0" applyNumberFormat="1" applyFont="1" applyFill="1" applyBorder="1"/>
    <xf numFmtId="165" fontId="4" fillId="2" borderId="42" xfId="0" applyNumberFormat="1" applyFont="1" applyFill="1" applyBorder="1"/>
    <xf numFmtId="165" fontId="4" fillId="2" borderId="61" xfId="0" applyNumberFormat="1" applyFont="1" applyFill="1" applyBorder="1"/>
    <xf numFmtId="0" fontId="8" fillId="0" borderId="35" xfId="0" applyFont="1" applyBorder="1" applyAlignment="1">
      <alignment horizontal="center" vertical="center"/>
    </xf>
    <xf numFmtId="0" fontId="8" fillId="0" borderId="35" xfId="0" applyFont="1" applyBorder="1" applyAlignment="1">
      <alignment horizontal="left" vertical="center"/>
    </xf>
    <xf numFmtId="0" fontId="8" fillId="0" borderId="10" xfId="0" applyFont="1" applyBorder="1" applyAlignment="1">
      <alignment horizontal="left" vertical="center"/>
    </xf>
    <xf numFmtId="0" fontId="8" fillId="0" borderId="10" xfId="0" applyFont="1" applyBorder="1" applyAlignment="1">
      <alignment horizontal="left"/>
    </xf>
    <xf numFmtId="0" fontId="7" fillId="5" borderId="15" xfId="0" applyFont="1" applyFill="1" applyBorder="1" applyAlignment="1">
      <alignment horizontal="left" vertical="center"/>
    </xf>
    <xf numFmtId="0" fontId="73" fillId="5" borderId="13" xfId="0" applyFont="1" applyFill="1" applyBorder="1" applyAlignment="1">
      <alignment horizontal="center" vertical="center"/>
    </xf>
    <xf numFmtId="0" fontId="5" fillId="5" borderId="13" xfId="0" applyFont="1" applyFill="1" applyBorder="1" applyAlignment="1">
      <alignment horizontal="center" vertical="center"/>
    </xf>
    <xf numFmtId="0" fontId="72" fillId="5" borderId="13" xfId="0" applyFont="1" applyFill="1" applyBorder="1" applyAlignment="1">
      <alignment horizontal="center" vertical="center"/>
    </xf>
    <xf numFmtId="0" fontId="8" fillId="5" borderId="13" xfId="0" applyFont="1" applyFill="1" applyBorder="1" applyAlignment="1">
      <alignment horizontal="left" vertical="center"/>
    </xf>
    <xf numFmtId="0" fontId="8" fillId="5" borderId="13" xfId="0" applyFont="1" applyFill="1" applyBorder="1"/>
    <xf numFmtId="0" fontId="8" fillId="5" borderId="19" xfId="0" applyFont="1" applyFill="1" applyBorder="1"/>
    <xf numFmtId="0" fontId="8" fillId="4" borderId="0" xfId="0" applyFont="1" applyFill="1" applyAlignment="1">
      <alignment horizontal="center" vertical="center"/>
    </xf>
    <xf numFmtId="0" fontId="7" fillId="5" borderId="5" xfId="0" applyFont="1" applyFill="1" applyBorder="1" applyAlignment="1">
      <alignment horizontal="center" vertical="center"/>
    </xf>
    <xf numFmtId="0" fontId="67" fillId="5" borderId="0" xfId="0" applyFont="1" applyFill="1" applyAlignment="1">
      <alignment horizontal="center" vertical="center"/>
    </xf>
    <xf numFmtId="0" fontId="67" fillId="5" borderId="4" xfId="0" applyFont="1" applyFill="1" applyBorder="1" applyAlignment="1">
      <alignment horizontal="center" vertical="center"/>
    </xf>
    <xf numFmtId="1" fontId="67" fillId="5" borderId="0" xfId="0" applyNumberFormat="1" applyFont="1" applyFill="1" applyAlignment="1" applyProtection="1">
      <alignment horizontal="center" vertical="center"/>
      <protection locked="0"/>
    </xf>
    <xf numFmtId="49" fontId="8" fillId="5" borderId="0" xfId="0" applyNumberFormat="1" applyFont="1" applyFill="1" applyAlignment="1">
      <alignment horizontal="center" vertical="center"/>
    </xf>
    <xf numFmtId="0" fontId="8" fillId="0" borderId="38" xfId="0" applyFont="1" applyBorder="1" applyAlignment="1">
      <alignment horizontal="center" vertical="center"/>
    </xf>
    <xf numFmtId="1" fontId="67" fillId="5" borderId="4" xfId="0" applyNumberFormat="1" applyFont="1" applyFill="1" applyBorder="1" applyAlignment="1" applyProtection="1">
      <alignment horizontal="center" vertical="center"/>
      <protection locked="0"/>
    </xf>
    <xf numFmtId="0" fontId="8" fillId="2" borderId="44" xfId="0" applyFont="1" applyFill="1" applyBorder="1" applyAlignment="1">
      <alignment vertical="center"/>
    </xf>
    <xf numFmtId="0" fontId="50" fillId="5" borderId="0" xfId="0" applyFont="1" applyFill="1" applyAlignment="1" applyProtection="1">
      <alignment horizontal="center" vertical="center"/>
      <protection locked="0"/>
    </xf>
    <xf numFmtId="0" fontId="7" fillId="5" borderId="32" xfId="0" applyFont="1" applyFill="1" applyBorder="1"/>
    <xf numFmtId="0" fontId="7" fillId="5" borderId="28" xfId="0" applyFont="1" applyFill="1" applyBorder="1" applyAlignment="1">
      <alignment horizontal="center" vertical="center" wrapText="1"/>
    </xf>
    <xf numFmtId="0" fontId="7" fillId="5" borderId="28" xfId="0" applyFont="1" applyFill="1" applyBorder="1" applyAlignment="1">
      <alignment horizontal="center" vertical="center"/>
    </xf>
    <xf numFmtId="0" fontId="7" fillId="5" borderId="100" xfId="0" applyFont="1" applyFill="1" applyBorder="1" applyAlignment="1">
      <alignment horizontal="center"/>
    </xf>
    <xf numFmtId="2" fontId="7" fillId="5" borderId="28" xfId="0" applyNumberFormat="1" applyFont="1" applyFill="1" applyBorder="1" applyAlignment="1">
      <alignment horizontal="center" vertical="center"/>
    </xf>
    <xf numFmtId="0" fontId="8" fillId="5" borderId="17" xfId="0" applyFont="1" applyFill="1" applyBorder="1" applyAlignment="1">
      <alignment horizontal="center"/>
    </xf>
    <xf numFmtId="0" fontId="7" fillId="5" borderId="15" xfId="0" applyFont="1" applyFill="1" applyBorder="1" applyAlignment="1">
      <alignment horizontal="center"/>
    </xf>
    <xf numFmtId="0" fontId="7" fillId="5" borderId="139" xfId="0" applyFont="1" applyFill="1" applyBorder="1" applyAlignment="1">
      <alignment horizontal="center" vertical="center"/>
    </xf>
    <xf numFmtId="1" fontId="8" fillId="5" borderId="10" xfId="0" applyNumberFormat="1" applyFont="1" applyFill="1" applyBorder="1" applyAlignment="1">
      <alignment horizontal="center" vertical="center"/>
    </xf>
    <xf numFmtId="0" fontId="8" fillId="0" borderId="22" xfId="0" applyFont="1" applyBorder="1" applyAlignment="1">
      <alignment vertical="center"/>
    </xf>
    <xf numFmtId="0" fontId="8" fillId="0" borderId="22" xfId="0" applyFont="1" applyBorder="1" applyAlignment="1">
      <alignment horizontal="center" vertical="center"/>
    </xf>
    <xf numFmtId="0" fontId="8" fillId="4" borderId="0" xfId="0" applyFont="1" applyFill="1" applyAlignment="1">
      <alignment horizontal="left" vertical="center"/>
    </xf>
    <xf numFmtId="0" fontId="7" fillId="3" borderId="0" xfId="0" applyFont="1" applyFill="1" applyAlignment="1">
      <alignment horizontal="left" vertical="center"/>
    </xf>
    <xf numFmtId="0" fontId="46" fillId="5" borderId="0" xfId="0" applyFont="1" applyFill="1" applyAlignment="1">
      <alignment vertical="center"/>
    </xf>
    <xf numFmtId="1" fontId="50" fillId="5" borderId="0" xfId="0" applyNumberFormat="1" applyFont="1" applyFill="1" applyAlignment="1" applyProtection="1">
      <alignment horizontal="center" vertical="center"/>
      <protection locked="0"/>
    </xf>
    <xf numFmtId="0" fontId="50" fillId="5" borderId="0" xfId="0" applyFont="1" applyFill="1" applyAlignment="1">
      <alignment horizontal="center" vertical="center"/>
    </xf>
    <xf numFmtId="0" fontId="8" fillId="5" borderId="0" xfId="0" applyFont="1" applyFill="1" applyAlignment="1" applyProtection="1">
      <alignment horizontal="left"/>
      <protection locked="0"/>
    </xf>
    <xf numFmtId="0" fontId="7" fillId="5" borderId="0" xfId="0" applyFont="1" applyFill="1" applyAlignment="1">
      <alignment horizontal="left" vertical="center"/>
    </xf>
    <xf numFmtId="0" fontId="7" fillId="4" borderId="92" xfId="0" applyFont="1" applyFill="1" applyBorder="1" applyAlignment="1">
      <alignment horizontal="left" vertical="center"/>
    </xf>
    <xf numFmtId="0" fontId="8" fillId="4" borderId="63" xfId="0" applyFont="1" applyFill="1" applyBorder="1" applyAlignment="1">
      <alignment horizontal="left" vertical="center"/>
    </xf>
    <xf numFmtId="2" fontId="4" fillId="21" borderId="77" xfId="0" applyNumberFormat="1" applyFont="1" applyFill="1" applyBorder="1"/>
    <xf numFmtId="0" fontId="50" fillId="5" borderId="0" xfId="0" applyFont="1" applyFill="1" applyAlignment="1">
      <alignment horizontal="right"/>
    </xf>
    <xf numFmtId="0" fontId="50" fillId="5" borderId="28" xfId="0" applyFont="1" applyFill="1" applyBorder="1" applyAlignment="1">
      <alignment horizontal="right"/>
    </xf>
    <xf numFmtId="0" fontId="50" fillId="0" borderId="0" xfId="0" applyFont="1"/>
    <xf numFmtId="0" fontId="50" fillId="0" borderId="10" xfId="0" applyFont="1" applyBorder="1"/>
    <xf numFmtId="0" fontId="50" fillId="0" borderId="14" xfId="0" applyFont="1" applyBorder="1"/>
    <xf numFmtId="0" fontId="67" fillId="3" borderId="0" xfId="0" applyFont="1" applyFill="1" applyAlignment="1">
      <alignment horizontal="left" vertical="center"/>
    </xf>
    <xf numFmtId="0" fontId="50" fillId="0" borderId="4" xfId="0" applyFont="1" applyBorder="1"/>
    <xf numFmtId="0" fontId="50" fillId="0" borderId="29" xfId="0" applyFont="1" applyBorder="1"/>
    <xf numFmtId="0" fontId="50" fillId="2" borderId="13" xfId="0" applyFont="1" applyFill="1" applyBorder="1" applyAlignment="1">
      <alignment vertical="center"/>
    </xf>
    <xf numFmtId="0" fontId="67" fillId="3" borderId="75" xfId="0" applyFont="1" applyFill="1" applyBorder="1" applyAlignment="1">
      <alignment horizontal="left" vertical="center"/>
    </xf>
    <xf numFmtId="0" fontId="69" fillId="5" borderId="41" xfId="0" applyFont="1" applyFill="1" applyBorder="1" applyAlignment="1">
      <alignment horizontal="left" vertical="center"/>
    </xf>
    <xf numFmtId="0" fontId="50" fillId="5" borderId="88" xfId="0" applyFont="1" applyFill="1" applyBorder="1" applyAlignment="1">
      <alignment horizontal="left" vertical="center" wrapText="1"/>
    </xf>
    <xf numFmtId="2" fontId="50" fillId="5" borderId="86" xfId="0" applyNumberFormat="1" applyFont="1" applyFill="1" applyBorder="1" applyAlignment="1" applyProtection="1">
      <alignment horizontal="left" vertical="center"/>
      <protection locked="0"/>
    </xf>
    <xf numFmtId="0" fontId="50" fillId="5" borderId="86" xfId="0" applyFont="1" applyFill="1" applyBorder="1" applyAlignment="1" applyProtection="1">
      <alignment horizontal="left" vertical="center" wrapText="1"/>
      <protection locked="0"/>
    </xf>
    <xf numFmtId="0" fontId="50" fillId="5" borderId="86" xfId="0" applyFont="1" applyFill="1" applyBorder="1" applyAlignment="1">
      <alignment horizontal="left" vertical="center"/>
    </xf>
    <xf numFmtId="0" fontId="50" fillId="5" borderId="92" xfId="0" applyFont="1" applyFill="1" applyBorder="1" applyAlignment="1">
      <alignment horizontal="left" vertical="center"/>
    </xf>
    <xf numFmtId="0" fontId="50" fillId="5" borderId="41" xfId="0" applyFont="1" applyFill="1" applyBorder="1"/>
    <xf numFmtId="0" fontId="50" fillId="5" borderId="41" xfId="0" applyFont="1" applyFill="1" applyBorder="1" applyAlignment="1" applyProtection="1">
      <alignment horizontal="left" vertical="center"/>
      <protection locked="0"/>
    </xf>
    <xf numFmtId="0" fontId="50" fillId="5" borderId="41" xfId="0" applyFont="1" applyFill="1" applyBorder="1" applyAlignment="1" applyProtection="1">
      <alignment vertical="top" wrapText="1"/>
      <protection locked="0"/>
    </xf>
    <xf numFmtId="0" fontId="50" fillId="5" borderId="60" xfId="0" applyFont="1" applyFill="1" applyBorder="1"/>
    <xf numFmtId="0" fontId="69" fillId="5" borderId="113" xfId="0" applyFont="1" applyFill="1" applyBorder="1" applyAlignment="1">
      <alignment horizontal="left" vertical="center"/>
    </xf>
    <xf numFmtId="0" fontId="50" fillId="5" borderId="41" xfId="0" applyFont="1" applyFill="1" applyBorder="1" applyAlignment="1">
      <alignment horizontal="left" vertical="center" wrapText="1"/>
    </xf>
    <xf numFmtId="0" fontId="50" fillId="5" borderId="92" xfId="0" applyFont="1" applyFill="1" applyBorder="1"/>
    <xf numFmtId="0" fontId="50" fillId="5" borderId="86" xfId="0" applyFont="1" applyFill="1" applyBorder="1" applyAlignment="1" applyProtection="1">
      <alignment vertical="top" wrapText="1"/>
      <protection locked="0"/>
    </xf>
    <xf numFmtId="0" fontId="50" fillId="5" borderId="86" xfId="0" applyFont="1" applyFill="1" applyBorder="1"/>
    <xf numFmtId="0" fontId="50" fillId="5" borderId="86" xfId="0" applyFont="1" applyFill="1" applyBorder="1" applyAlignment="1" applyProtection="1">
      <alignment horizontal="left" vertical="center"/>
      <protection locked="0"/>
    </xf>
    <xf numFmtId="0" fontId="8" fillId="0" borderId="0" xfId="0" applyFont="1" applyAlignment="1" applyProtection="1">
      <alignment horizontal="left" vertical="top" wrapText="1"/>
      <protection locked="0"/>
    </xf>
    <xf numFmtId="0" fontId="8" fillId="0" borderId="0" xfId="0" applyFont="1" applyAlignment="1" applyProtection="1">
      <alignment horizontal="left" vertical="top"/>
      <protection locked="0"/>
    </xf>
    <xf numFmtId="0" fontId="8" fillId="5" borderId="4" xfId="0" applyFont="1" applyFill="1" applyBorder="1" applyAlignment="1" applyProtection="1">
      <alignment horizontal="center" vertical="center"/>
      <protection locked="0"/>
    </xf>
    <xf numFmtId="0" fontId="8" fillId="5" borderId="92" xfId="0" applyFont="1" applyFill="1" applyBorder="1" applyAlignment="1">
      <alignment vertical="top"/>
    </xf>
    <xf numFmtId="0" fontId="8" fillId="5" borderId="75" xfId="0" applyFont="1" applyFill="1" applyBorder="1" applyAlignment="1">
      <alignment vertical="top"/>
    </xf>
    <xf numFmtId="0" fontId="8" fillId="5" borderId="19" xfId="0" applyFont="1" applyFill="1" applyBorder="1" applyAlignment="1">
      <alignment vertical="top"/>
    </xf>
    <xf numFmtId="0" fontId="8" fillId="5" borderId="20" xfId="0" applyFont="1" applyFill="1" applyBorder="1" applyAlignment="1">
      <alignment horizontal="center" vertical="top"/>
    </xf>
    <xf numFmtId="0" fontId="50" fillId="5" borderId="141" xfId="0" applyFont="1" applyFill="1" applyBorder="1" applyAlignment="1">
      <alignment horizontal="center" vertical="center"/>
    </xf>
    <xf numFmtId="0" fontId="69" fillId="5" borderId="142" xfId="0" applyFont="1" applyFill="1" applyBorder="1" applyAlignment="1">
      <alignment horizontal="left" vertical="center"/>
    </xf>
    <xf numFmtId="0" fontId="50" fillId="5" borderId="143" xfId="0" applyFont="1" applyFill="1" applyBorder="1" applyAlignment="1">
      <alignment horizontal="center" vertical="center" wrapText="1"/>
    </xf>
    <xf numFmtId="0" fontId="8" fillId="5" borderId="15" xfId="0" applyFont="1" applyFill="1" applyBorder="1" applyAlignment="1" applyProtection="1">
      <alignment vertical="top"/>
      <protection locked="0"/>
    </xf>
    <xf numFmtId="0" fontId="8" fillId="5" borderId="20" xfId="0" applyFont="1" applyFill="1" applyBorder="1" applyAlignment="1" applyProtection="1">
      <alignment vertical="top"/>
      <protection locked="0"/>
    </xf>
    <xf numFmtId="0" fontId="8" fillId="5" borderId="22" xfId="0" applyFont="1" applyFill="1" applyBorder="1" applyAlignment="1" applyProtection="1">
      <alignment vertical="top"/>
      <protection locked="0"/>
    </xf>
    <xf numFmtId="0" fontId="8" fillId="5" borderId="4" xfId="0" applyFont="1" applyFill="1" applyBorder="1" applyAlignment="1" applyProtection="1">
      <alignment vertical="top"/>
      <protection locked="0"/>
    </xf>
    <xf numFmtId="0" fontId="8" fillId="5" borderId="32" xfId="0" applyFont="1" applyFill="1" applyBorder="1" applyAlignment="1" applyProtection="1">
      <alignment vertical="top"/>
      <protection locked="0"/>
    </xf>
    <xf numFmtId="0" fontId="8" fillId="5" borderId="31" xfId="0" applyFont="1" applyFill="1" applyBorder="1" applyAlignment="1" applyProtection="1">
      <alignment vertical="top"/>
      <protection locked="0"/>
    </xf>
    <xf numFmtId="0" fontId="67" fillId="3" borderId="19" xfId="0" applyFont="1" applyFill="1" applyBorder="1" applyAlignment="1">
      <alignment horizontal="center"/>
    </xf>
    <xf numFmtId="2" fontId="50" fillId="5" borderId="5" xfId="0" applyNumberFormat="1" applyFont="1" applyFill="1" applyBorder="1" applyAlignment="1" applyProtection="1">
      <alignment horizontal="center" vertical="center" wrapText="1"/>
      <protection locked="0"/>
    </xf>
    <xf numFmtId="2" fontId="50" fillId="5" borderId="112" xfId="0" applyNumberFormat="1" applyFont="1" applyFill="1" applyBorder="1" applyAlignment="1" applyProtection="1">
      <alignment horizontal="center" vertical="center" wrapText="1"/>
      <protection locked="0"/>
    </xf>
    <xf numFmtId="2" fontId="50" fillId="5" borderId="5" xfId="0" applyNumberFormat="1" applyFont="1" applyFill="1" applyBorder="1" applyAlignment="1">
      <alignment horizontal="center" vertical="center"/>
    </xf>
    <xf numFmtId="0" fontId="8" fillId="5" borderId="33" xfId="0" applyFont="1" applyFill="1" applyBorder="1" applyAlignment="1" applyProtection="1">
      <alignment vertical="top"/>
      <protection locked="0"/>
    </xf>
    <xf numFmtId="0" fontId="8" fillId="5" borderId="7" xfId="0" applyFont="1" applyFill="1" applyBorder="1" applyAlignment="1" applyProtection="1">
      <alignment horizontal="center" vertical="top"/>
      <protection locked="0"/>
    </xf>
    <xf numFmtId="0" fontId="8" fillId="5" borderId="20" xfId="0" applyFont="1" applyFill="1" applyBorder="1" applyAlignment="1" applyProtection="1">
      <alignment horizontal="center" vertical="top"/>
      <protection locked="0"/>
    </xf>
    <xf numFmtId="0" fontId="68" fillId="5" borderId="8" xfId="0" applyFont="1" applyFill="1" applyBorder="1" applyAlignment="1" applyProtection="1">
      <alignment horizontal="center" vertical="center" wrapText="1"/>
      <protection locked="0"/>
    </xf>
    <xf numFmtId="0" fontId="68" fillId="5" borderId="111" xfId="0" applyFont="1" applyFill="1" applyBorder="1" applyAlignment="1" applyProtection="1">
      <alignment horizontal="center" vertical="center" wrapText="1"/>
      <protection locked="0"/>
    </xf>
    <xf numFmtId="0" fontId="7" fillId="5" borderId="144" xfId="0" applyFont="1" applyFill="1" applyBorder="1" applyAlignment="1" applyProtection="1">
      <alignment vertical="center"/>
      <protection locked="0"/>
    </xf>
    <xf numFmtId="0" fontId="8" fillId="5" borderId="144" xfId="0" applyFont="1" applyFill="1" applyBorder="1" applyAlignment="1" applyProtection="1">
      <alignment vertical="center"/>
      <protection locked="0"/>
    </xf>
    <xf numFmtId="0" fontId="46" fillId="5" borderId="16" xfId="0" applyFont="1" applyFill="1" applyBorder="1" applyAlignment="1" applyProtection="1">
      <alignment vertical="center"/>
      <protection locked="0"/>
    </xf>
    <xf numFmtId="0" fontId="8" fillId="5" borderId="144" xfId="0" applyFont="1" applyFill="1" applyBorder="1"/>
    <xf numFmtId="0" fontId="8" fillId="5" borderId="16" xfId="0" applyFont="1" applyFill="1" applyBorder="1" applyAlignment="1" applyProtection="1">
      <alignment vertical="center" wrapText="1"/>
      <protection locked="0"/>
    </xf>
    <xf numFmtId="0" fontId="8" fillId="5" borderId="8" xfId="0" applyFont="1" applyFill="1" applyBorder="1" applyAlignment="1" applyProtection="1">
      <alignment horizontal="center" vertical="center"/>
      <protection locked="0"/>
    </xf>
    <xf numFmtId="0" fontId="8" fillId="5" borderId="107" xfId="0" applyFont="1" applyFill="1" applyBorder="1" applyAlignment="1" applyProtection="1">
      <alignment horizontal="center" vertical="center"/>
      <protection locked="0"/>
    </xf>
    <xf numFmtId="0" fontId="8" fillId="5" borderId="98" xfId="0" applyFont="1" applyFill="1" applyBorder="1" applyAlignment="1" applyProtection="1">
      <alignment horizontal="center" vertical="center"/>
      <protection locked="0"/>
    </xf>
    <xf numFmtId="0" fontId="8" fillId="7" borderId="41" xfId="0" applyFont="1" applyFill="1" applyBorder="1" applyAlignment="1" applyProtection="1">
      <alignment vertical="center"/>
      <protection locked="0"/>
    </xf>
    <xf numFmtId="0" fontId="46" fillId="7" borderId="42" xfId="0" applyFont="1" applyFill="1" applyBorder="1" applyAlignment="1" applyProtection="1">
      <alignment vertical="center"/>
      <protection locked="0"/>
    </xf>
    <xf numFmtId="0" fontId="8" fillId="5" borderId="98" xfId="0" applyFont="1" applyFill="1" applyBorder="1" applyAlignment="1">
      <alignment horizontal="center" vertical="center"/>
    </xf>
    <xf numFmtId="164" fontId="4" fillId="21" borderId="121" xfId="0" applyNumberFormat="1" applyFont="1" applyFill="1" applyBorder="1" applyAlignment="1">
      <alignment horizontal="center" vertical="center"/>
    </xf>
    <xf numFmtId="0" fontId="8" fillId="16" borderId="0" xfId="0" applyFont="1" applyFill="1" applyAlignment="1">
      <alignment vertical="center" wrapText="1"/>
    </xf>
    <xf numFmtId="0" fontId="50" fillId="5" borderId="9" xfId="0" applyFont="1" applyFill="1" applyBorder="1" applyAlignment="1">
      <alignment horizontal="center" vertical="center"/>
    </xf>
    <xf numFmtId="0" fontId="50" fillId="5" borderId="1" xfId="0" applyFont="1" applyFill="1" applyBorder="1" applyAlignment="1">
      <alignment horizontal="center" vertical="center"/>
    </xf>
    <xf numFmtId="0" fontId="50" fillId="5" borderId="8" xfId="0" applyFont="1" applyFill="1" applyBorder="1" applyAlignment="1">
      <alignment horizontal="center" vertical="center"/>
    </xf>
    <xf numFmtId="0" fontId="50" fillId="5" borderId="12" xfId="0" applyFont="1" applyFill="1" applyBorder="1" applyAlignment="1">
      <alignment horizontal="center" vertical="center"/>
    </xf>
    <xf numFmtId="0" fontId="50" fillId="5" borderId="14" xfId="0" applyFont="1" applyFill="1" applyBorder="1" applyAlignment="1">
      <alignment horizontal="center" vertical="center"/>
    </xf>
    <xf numFmtId="0" fontId="8" fillId="5" borderId="10" xfId="0" applyFont="1" applyFill="1" applyBorder="1" applyAlignment="1" applyProtection="1">
      <alignment horizontal="left" vertical="center"/>
      <protection locked="0"/>
    </xf>
    <xf numFmtId="0" fontId="8" fillId="2" borderId="13" xfId="0" applyFont="1" applyFill="1" applyBorder="1"/>
    <xf numFmtId="0" fontId="8" fillId="2" borderId="13" xfId="0" applyFont="1" applyFill="1" applyBorder="1" applyAlignment="1" applyProtection="1">
      <alignment horizontal="center" vertical="top" wrapText="1"/>
      <protection locked="0"/>
    </xf>
    <xf numFmtId="0" fontId="8" fillId="18" borderId="10" xfId="0" applyFont="1" applyFill="1" applyBorder="1" applyAlignment="1" applyProtection="1">
      <alignment horizontal="left"/>
      <protection locked="0"/>
    </xf>
    <xf numFmtId="0" fontId="57" fillId="0" borderId="67" xfId="0" applyFont="1" applyBorder="1" applyAlignment="1">
      <alignment vertical="center"/>
    </xf>
    <xf numFmtId="165" fontId="4" fillId="0" borderId="67" xfId="0" applyNumberFormat="1" applyFont="1" applyBorder="1" applyAlignment="1">
      <alignment vertical="center"/>
    </xf>
    <xf numFmtId="0" fontId="4" fillId="0" borderId="85" xfId="0" applyFont="1" applyBorder="1"/>
    <xf numFmtId="0" fontId="8" fillId="7" borderId="11" xfId="0" applyFont="1" applyFill="1" applyBorder="1" applyAlignment="1" applyProtection="1">
      <alignment vertical="center"/>
      <protection locked="0"/>
    </xf>
    <xf numFmtId="0" fontId="8" fillId="18" borderId="11" xfId="0" applyFont="1" applyFill="1" applyBorder="1" applyAlignment="1" applyProtection="1">
      <alignment horizontal="left"/>
      <protection locked="0"/>
    </xf>
    <xf numFmtId="0" fontId="8" fillId="6" borderId="98" xfId="7" applyNumberFormat="1" applyFont="1" applyFill="1" applyBorder="1" applyAlignment="1">
      <alignment vertical="center"/>
    </xf>
    <xf numFmtId="164" fontId="8" fillId="5" borderId="87" xfId="7" applyNumberFormat="1" applyFont="1" applyFill="1" applyBorder="1" applyAlignment="1">
      <alignment vertical="center"/>
    </xf>
    <xf numFmtId="0" fontId="8" fillId="5" borderId="10" xfId="0" applyFont="1" applyFill="1" applyBorder="1" applyAlignment="1" applyProtection="1">
      <alignment vertical="center"/>
      <protection locked="0"/>
    </xf>
    <xf numFmtId="0" fontId="8" fillId="5" borderId="3" xfId="0" applyFont="1" applyFill="1" applyBorder="1" applyAlignment="1" applyProtection="1">
      <alignment vertical="center"/>
      <protection locked="0"/>
    </xf>
    <xf numFmtId="0" fontId="8" fillId="5" borderId="75" xfId="0" applyFont="1" applyFill="1" applyBorder="1" applyAlignment="1" applyProtection="1">
      <alignment vertical="center"/>
      <protection locked="0"/>
    </xf>
    <xf numFmtId="0" fontId="8" fillId="5" borderId="113" xfId="0" applyFont="1" applyFill="1" applyBorder="1" applyAlignment="1" applyProtection="1">
      <alignment vertical="center"/>
      <protection locked="0"/>
    </xf>
    <xf numFmtId="0" fontId="8" fillId="5" borderId="97" xfId="0" applyFont="1" applyFill="1" applyBorder="1" applyAlignment="1" applyProtection="1">
      <alignment vertical="center"/>
      <protection locked="0"/>
    </xf>
    <xf numFmtId="164" fontId="8" fillId="5" borderId="97" xfId="7" applyNumberFormat="1" applyFont="1" applyFill="1" applyBorder="1" applyAlignment="1">
      <alignment vertical="center"/>
    </xf>
    <xf numFmtId="9" fontId="7" fillId="5" borderId="13" xfId="0" applyNumberFormat="1" applyFont="1" applyFill="1" applyBorder="1" applyAlignment="1">
      <alignment horizontal="center" vertical="center"/>
    </xf>
    <xf numFmtId="0" fontId="8" fillId="0" borderId="0" xfId="0" applyFont="1" applyProtection="1">
      <protection locked="0"/>
    </xf>
    <xf numFmtId="0" fontId="50" fillId="0" borderId="0" xfId="0" applyFont="1" applyAlignment="1" applyProtection="1">
      <alignment vertical="center"/>
      <protection locked="0"/>
    </xf>
    <xf numFmtId="0" fontId="50" fillId="0" borderId="0" xfId="0" applyFont="1" applyAlignment="1" applyProtection="1">
      <alignment horizontal="center" vertical="center"/>
      <protection locked="0"/>
    </xf>
    <xf numFmtId="0" fontId="56" fillId="0" borderId="0" xfId="0" applyFont="1" applyAlignment="1">
      <alignment vertical="center"/>
    </xf>
    <xf numFmtId="0" fontId="8" fillId="5" borderId="91" xfId="0" applyFont="1" applyFill="1" applyBorder="1" applyAlignment="1" applyProtection="1">
      <alignment horizontal="center" vertical="top"/>
      <protection locked="0"/>
    </xf>
    <xf numFmtId="0" fontId="7" fillId="2" borderId="96" xfId="0" applyFont="1" applyFill="1" applyBorder="1" applyAlignment="1">
      <alignment vertical="center"/>
    </xf>
    <xf numFmtId="0" fontId="8" fillId="5" borderId="96" xfId="0" applyFont="1" applyFill="1" applyBorder="1" applyAlignment="1" applyProtection="1">
      <alignment horizontal="center" vertical="center" wrapText="1"/>
      <protection locked="0"/>
    </xf>
    <xf numFmtId="0" fontId="8" fillId="5" borderId="145" xfId="0" applyFont="1" applyFill="1" applyBorder="1" applyAlignment="1">
      <alignment horizontal="center" vertical="center"/>
    </xf>
    <xf numFmtId="0" fontId="7" fillId="5" borderId="3" xfId="0" applyFont="1" applyFill="1" applyBorder="1" applyAlignment="1">
      <alignment horizontal="right" vertical="center"/>
    </xf>
    <xf numFmtId="0" fontId="8" fillId="2" borderId="44" xfId="0" applyFont="1" applyFill="1" applyBorder="1" applyAlignment="1" applyProtection="1">
      <alignment horizontal="center" vertical="top" wrapText="1"/>
      <protection locked="0"/>
    </xf>
    <xf numFmtId="0" fontId="7" fillId="2" borderId="13" xfId="0" applyFont="1" applyFill="1" applyBorder="1" applyAlignment="1" applyProtection="1">
      <alignment horizontal="left" vertical="center"/>
      <protection locked="0"/>
    </xf>
    <xf numFmtId="0" fontId="8" fillId="2" borderId="19" xfId="0" applyFont="1" applyFill="1" applyBorder="1" applyAlignment="1" applyProtection="1">
      <alignment horizontal="center" vertical="top" wrapText="1"/>
      <protection locked="0"/>
    </xf>
    <xf numFmtId="0" fontId="8" fillId="5" borderId="99" xfId="0" applyFont="1" applyFill="1" applyBorder="1"/>
    <xf numFmtId="0" fontId="8" fillId="5" borderId="87" xfId="0" applyFont="1" applyFill="1" applyBorder="1"/>
    <xf numFmtId="0" fontId="7" fillId="2" borderId="44" xfId="0" applyFont="1" applyFill="1" applyBorder="1" applyAlignment="1">
      <alignment vertical="center"/>
    </xf>
    <xf numFmtId="0" fontId="7" fillId="5" borderId="13" xfId="0" applyFont="1" applyFill="1" applyBorder="1" applyAlignment="1">
      <alignment horizontal="right"/>
    </xf>
    <xf numFmtId="0" fontId="8" fillId="7" borderId="6" xfId="0" applyFont="1" applyFill="1" applyBorder="1" applyAlignment="1" applyProtection="1">
      <alignment horizontal="right" vertical="center"/>
      <protection locked="0"/>
    </xf>
    <xf numFmtId="0" fontId="8" fillId="7" borderId="5" xfId="0" applyFont="1" applyFill="1" applyBorder="1" applyAlignment="1" applyProtection="1">
      <alignment horizontal="right" vertical="center"/>
      <protection locked="0"/>
    </xf>
    <xf numFmtId="0" fontId="8" fillId="7" borderId="11" xfId="0" applyFont="1" applyFill="1" applyBorder="1" applyAlignment="1" applyProtection="1">
      <alignment horizontal="right" vertical="center"/>
      <protection locked="0"/>
    </xf>
    <xf numFmtId="0" fontId="49" fillId="5" borderId="11" xfId="0" applyFont="1" applyFill="1" applyBorder="1" applyAlignment="1" applyProtection="1">
      <alignment horizontal="right" vertical="center"/>
      <protection locked="0"/>
    </xf>
    <xf numFmtId="9" fontId="7" fillId="18" borderId="7" xfId="0" applyNumberFormat="1" applyFont="1" applyFill="1" applyBorder="1" applyAlignment="1" applyProtection="1">
      <alignment horizontal="center" vertical="center"/>
      <protection locked="0"/>
    </xf>
    <xf numFmtId="164" fontId="8" fillId="5" borderId="63" xfId="7" applyNumberFormat="1" applyFont="1" applyFill="1" applyBorder="1" applyAlignment="1" applyProtection="1">
      <alignment horizontal="right" vertical="center"/>
      <protection locked="0"/>
    </xf>
    <xf numFmtId="164" fontId="8" fillId="5" borderId="42" xfId="7" applyNumberFormat="1" applyFont="1" applyFill="1" applyBorder="1" applyAlignment="1" applyProtection="1">
      <alignment horizontal="right" vertical="center"/>
      <protection locked="0"/>
    </xf>
    <xf numFmtId="44" fontId="8" fillId="5" borderId="42" xfId="7" applyFont="1" applyFill="1" applyBorder="1" applyAlignment="1" applyProtection="1">
      <alignment horizontal="right" vertical="center"/>
      <protection locked="0"/>
    </xf>
    <xf numFmtId="44" fontId="8" fillId="5" borderId="42" xfId="7" applyFont="1" applyFill="1" applyBorder="1" applyAlignment="1" applyProtection="1">
      <alignment vertical="center"/>
      <protection locked="0"/>
    </xf>
    <xf numFmtId="44" fontId="8" fillId="5" borderId="45" xfId="7" applyFont="1" applyFill="1" applyBorder="1" applyAlignment="1" applyProtection="1">
      <alignment horizontal="left" vertical="center"/>
      <protection locked="0"/>
    </xf>
    <xf numFmtId="0" fontId="49" fillId="5" borderId="42" xfId="0" applyFont="1" applyFill="1" applyBorder="1" applyAlignment="1" applyProtection="1">
      <alignment vertical="top" wrapText="1"/>
      <protection locked="0"/>
    </xf>
    <xf numFmtId="9" fontId="7" fillId="5" borderId="75" xfId="0" applyNumberFormat="1" applyFont="1" applyFill="1" applyBorder="1" applyAlignment="1">
      <alignment horizontal="center" vertical="center"/>
    </xf>
    <xf numFmtId="0" fontId="6" fillId="5" borderId="11" xfId="0" applyFont="1" applyFill="1" applyBorder="1" applyAlignment="1" applyProtection="1">
      <alignment horizontal="right" vertical="center" wrapText="1"/>
      <protection locked="0"/>
    </xf>
    <xf numFmtId="0" fontId="6" fillId="5" borderId="45" xfId="0" applyFont="1" applyFill="1" applyBorder="1" applyAlignment="1" applyProtection="1">
      <alignment horizontal="right" vertical="center"/>
      <protection locked="0"/>
    </xf>
    <xf numFmtId="44" fontId="7" fillId="5" borderId="7" xfId="0" applyNumberFormat="1" applyFont="1" applyFill="1" applyBorder="1" applyAlignment="1" applyProtection="1">
      <alignment vertical="center"/>
      <protection locked="0"/>
    </xf>
    <xf numFmtId="0" fontId="8" fillId="3" borderId="0" xfId="0" applyFont="1" applyFill="1"/>
    <xf numFmtId="0" fontId="8" fillId="0" borderId="6" xfId="0" applyFont="1" applyBorder="1"/>
    <xf numFmtId="0" fontId="7" fillId="3" borderId="4" xfId="0" applyFont="1" applyFill="1" applyBorder="1" applyAlignment="1">
      <alignment vertical="center"/>
    </xf>
    <xf numFmtId="0" fontId="4" fillId="5" borderId="0" xfId="0" applyFont="1" applyFill="1" applyAlignment="1">
      <alignment horizontal="center" vertical="center"/>
    </xf>
    <xf numFmtId="0" fontId="49" fillId="5" borderId="10" xfId="0" applyFont="1" applyFill="1" applyBorder="1" applyAlignment="1" applyProtection="1">
      <alignment horizontal="right" vertical="center"/>
      <protection locked="0"/>
    </xf>
    <xf numFmtId="44" fontId="7" fillId="5" borderId="0" xfId="0" applyNumberFormat="1" applyFont="1" applyFill="1" applyAlignment="1" applyProtection="1">
      <alignment vertical="center"/>
      <protection locked="0"/>
    </xf>
    <xf numFmtId="0" fontId="6" fillId="5" borderId="10" xfId="0" applyFont="1" applyFill="1" applyBorder="1" applyAlignment="1" applyProtection="1">
      <alignment horizontal="right" vertical="center" wrapText="1"/>
      <protection locked="0"/>
    </xf>
    <xf numFmtId="44" fontId="8" fillId="5" borderId="45" xfId="7" applyFont="1" applyFill="1" applyBorder="1" applyAlignment="1" applyProtection="1">
      <alignment horizontal="right" vertical="center"/>
      <protection locked="0"/>
    </xf>
    <xf numFmtId="44" fontId="8" fillId="5" borderId="63" xfId="7" applyFont="1" applyFill="1" applyBorder="1" applyAlignment="1" applyProtection="1">
      <alignment horizontal="right" vertical="center"/>
      <protection locked="0"/>
    </xf>
    <xf numFmtId="44" fontId="7" fillId="5" borderId="63" xfId="7" applyFont="1" applyFill="1" applyBorder="1" applyAlignment="1" applyProtection="1">
      <alignment horizontal="left" vertical="center"/>
    </xf>
    <xf numFmtId="0" fontId="8" fillId="5" borderId="5" xfId="0" applyFont="1" applyFill="1" applyBorder="1" applyAlignment="1" applyProtection="1">
      <alignment horizontal="right" vertical="center"/>
      <protection locked="0"/>
    </xf>
    <xf numFmtId="0" fontId="7" fillId="5" borderId="10" xfId="0" applyFont="1" applyFill="1" applyBorder="1" applyAlignment="1" applyProtection="1">
      <alignment horizontal="right" vertical="center" wrapText="1"/>
      <protection locked="0"/>
    </xf>
    <xf numFmtId="0" fontId="7" fillId="5" borderId="45" xfId="0" applyFont="1" applyFill="1" applyBorder="1" applyAlignment="1" applyProtection="1">
      <alignment horizontal="right" vertical="center"/>
      <protection locked="0"/>
    </xf>
    <xf numFmtId="0" fontId="8" fillId="3" borderId="44" xfId="0" applyFont="1" applyFill="1" applyBorder="1" applyAlignment="1">
      <alignment vertical="center"/>
    </xf>
    <xf numFmtId="0" fontId="60" fillId="20" borderId="66" xfId="0" applyFont="1" applyFill="1" applyBorder="1" applyAlignment="1">
      <alignment horizontal="center"/>
    </xf>
    <xf numFmtId="0" fontId="60" fillId="20" borderId="121" xfId="0" applyFont="1" applyFill="1" applyBorder="1" applyAlignment="1">
      <alignment horizontal="center" vertical="center"/>
    </xf>
    <xf numFmtId="0" fontId="60" fillId="20" borderId="147" xfId="0" applyFont="1" applyFill="1" applyBorder="1"/>
    <xf numFmtId="0" fontId="4" fillId="21" borderId="147" xfId="0" applyFont="1" applyFill="1" applyBorder="1" applyAlignment="1">
      <alignment horizontal="center" vertical="center"/>
    </xf>
    <xf numFmtId="0" fontId="4" fillId="0" borderId="147" xfId="0" applyFont="1" applyBorder="1" applyAlignment="1">
      <alignment horizontal="center" vertical="center"/>
    </xf>
    <xf numFmtId="0" fontId="4" fillId="21" borderId="146" xfId="0" applyFont="1" applyFill="1" applyBorder="1" applyAlignment="1">
      <alignment horizontal="center" vertical="center"/>
    </xf>
    <xf numFmtId="0" fontId="60" fillId="20" borderId="149" xfId="0" applyFont="1" applyFill="1" applyBorder="1" applyAlignment="1">
      <alignment horizontal="center" vertical="center"/>
    </xf>
    <xf numFmtId="164" fontId="8" fillId="21" borderId="149" xfId="0" applyNumberFormat="1" applyFont="1" applyFill="1" applyBorder="1" applyAlignment="1">
      <alignment horizontal="center"/>
    </xf>
    <xf numFmtId="164" fontId="8" fillId="0" borderId="149" xfId="0" applyNumberFormat="1" applyFont="1" applyBorder="1" applyAlignment="1">
      <alignment horizontal="center"/>
    </xf>
    <xf numFmtId="164" fontId="8" fillId="21" borderId="148" xfId="0" applyNumberFormat="1" applyFont="1" applyFill="1" applyBorder="1" applyAlignment="1">
      <alignment horizontal="center"/>
    </xf>
    <xf numFmtId="0" fontId="60" fillId="20" borderId="147" xfId="0" applyFont="1" applyFill="1" applyBorder="1" applyAlignment="1">
      <alignment horizontal="center" vertical="center"/>
    </xf>
    <xf numFmtId="164" fontId="8" fillId="21" borderId="147" xfId="0" applyNumberFormat="1" applyFont="1" applyFill="1" applyBorder="1" applyAlignment="1">
      <alignment horizontal="center"/>
    </xf>
    <xf numFmtId="164" fontId="8" fillId="0" borderId="147" xfId="0" applyNumberFormat="1" applyFont="1" applyBorder="1" applyAlignment="1">
      <alignment horizontal="center"/>
    </xf>
    <xf numFmtId="164" fontId="8" fillId="21" borderId="146" xfId="0" applyNumberFormat="1" applyFont="1" applyFill="1" applyBorder="1" applyAlignment="1">
      <alignment horizontal="center"/>
    </xf>
    <xf numFmtId="0" fontId="60" fillId="20" borderId="127" xfId="0" applyFont="1" applyFill="1" applyBorder="1" applyAlignment="1">
      <alignment horizontal="center"/>
    </xf>
    <xf numFmtId="0" fontId="8" fillId="21" borderId="127" xfId="0" applyFont="1" applyFill="1" applyBorder="1" applyAlignment="1">
      <alignment horizontal="center" vertical="center" wrapText="1"/>
    </xf>
    <xf numFmtId="0" fontId="8" fillId="0" borderId="127" xfId="0" applyFont="1" applyBorder="1" applyAlignment="1">
      <alignment horizontal="center" vertical="center"/>
    </xf>
    <xf numFmtId="0" fontId="62" fillId="0" borderId="64" xfId="0" applyFont="1" applyBorder="1" applyAlignment="1">
      <alignment horizontal="center"/>
    </xf>
    <xf numFmtId="0" fontId="8" fillId="21" borderId="121" xfId="0" applyFont="1" applyFill="1" applyBorder="1" applyAlignment="1">
      <alignment horizontal="center"/>
    </xf>
    <xf numFmtId="0" fontId="8" fillId="0" borderId="121" xfId="0" applyFont="1" applyBorder="1" applyAlignment="1">
      <alignment horizontal="center"/>
    </xf>
    <xf numFmtId="0" fontId="8" fillId="21" borderId="121" xfId="0" applyFont="1" applyFill="1" applyBorder="1" applyAlignment="1">
      <alignment horizontal="center" vertical="center"/>
    </xf>
    <xf numFmtId="0" fontId="8" fillId="0" borderId="77" xfId="0" applyFont="1" applyBorder="1" applyAlignment="1">
      <alignment horizontal="center" vertical="center"/>
    </xf>
    <xf numFmtId="164" fontId="6" fillId="0" borderId="0" xfId="0" applyNumberFormat="1" applyFont="1" applyAlignment="1">
      <alignment horizontal="center" vertical="center"/>
    </xf>
    <xf numFmtId="0" fontId="4" fillId="21" borderId="121" xfId="0" applyFont="1" applyFill="1" applyBorder="1" applyAlignment="1">
      <alignment horizontal="center"/>
    </xf>
    <xf numFmtId="164" fontId="4" fillId="21" borderId="121" xfId="0" applyNumberFormat="1" applyFont="1" applyFill="1" applyBorder="1" applyAlignment="1">
      <alignment horizontal="center"/>
    </xf>
    <xf numFmtId="164" fontId="4" fillId="0" borderId="121" xfId="0" applyNumberFormat="1" applyFont="1" applyBorder="1" applyAlignment="1">
      <alignment horizontal="center"/>
    </xf>
    <xf numFmtId="164" fontId="6" fillId="0" borderId="129" xfId="0" applyNumberFormat="1" applyFont="1" applyBorder="1" applyAlignment="1">
      <alignment horizontal="center"/>
    </xf>
    <xf numFmtId="164" fontId="6" fillId="0" borderId="130" xfId="0" applyNumberFormat="1" applyFont="1" applyBorder="1" applyAlignment="1">
      <alignment horizontal="center"/>
    </xf>
    <xf numFmtId="0" fontId="60" fillId="20" borderId="121" xfId="0" applyFont="1" applyFill="1" applyBorder="1" applyAlignment="1">
      <alignment horizontal="center"/>
    </xf>
    <xf numFmtId="0" fontId="8" fillId="5" borderId="0" xfId="0" applyFont="1" applyFill="1" applyAlignment="1" applyProtection="1">
      <alignment horizontal="right" vertical="center"/>
      <protection locked="0"/>
    </xf>
    <xf numFmtId="0" fontId="8" fillId="5" borderId="6" xfId="0" applyFont="1" applyFill="1" applyBorder="1" applyAlignment="1" applyProtection="1">
      <alignment horizontal="right" vertical="center"/>
      <protection locked="0"/>
    </xf>
    <xf numFmtId="0" fontId="8" fillId="5" borderId="0" xfId="0" applyFont="1" applyFill="1" applyAlignment="1" applyProtection="1">
      <alignment horizontal="right" vertical="top" wrapText="1"/>
      <protection locked="0"/>
    </xf>
    <xf numFmtId="0" fontId="0" fillId="0" borderId="0" xfId="0" applyAlignment="1">
      <alignment wrapText="1"/>
    </xf>
    <xf numFmtId="0" fontId="8" fillId="7" borderId="86" xfId="0" applyFont="1" applyFill="1" applyBorder="1"/>
    <xf numFmtId="0" fontId="8" fillId="7" borderId="88" xfId="0" applyFont="1" applyFill="1" applyBorder="1"/>
    <xf numFmtId="0" fontId="8" fillId="7" borderId="98" xfId="0" applyFont="1" applyFill="1" applyBorder="1"/>
    <xf numFmtId="0" fontId="8" fillId="7" borderId="87" xfId="0" applyFont="1" applyFill="1" applyBorder="1"/>
    <xf numFmtId="0" fontId="8" fillId="7" borderId="1" xfId="0" applyFont="1" applyFill="1" applyBorder="1"/>
    <xf numFmtId="0" fontId="8" fillId="7" borderId="9" xfId="0" applyFont="1" applyFill="1" applyBorder="1"/>
    <xf numFmtId="0" fontId="8" fillId="7" borderId="0" xfId="0" applyFont="1" applyFill="1" applyAlignment="1" applyProtection="1">
      <alignment horizontal="right" vertical="top" wrapText="1"/>
      <protection locked="0"/>
    </xf>
    <xf numFmtId="0" fontId="8" fillId="0" borderId="0" xfId="0" applyFont="1" applyAlignment="1">
      <alignment vertical="top" wrapText="1"/>
    </xf>
    <xf numFmtId="0" fontId="75" fillId="0" borderId="0" xfId="8" applyAlignment="1"/>
    <xf numFmtId="49" fontId="8" fillId="0" borderId="0" xfId="0" applyNumberFormat="1" applyFont="1" applyAlignment="1" applyProtection="1">
      <alignment vertical="top" wrapText="1"/>
      <protection locked="0"/>
    </xf>
    <xf numFmtId="0" fontId="7" fillId="2" borderId="97" xfId="0" applyFont="1" applyFill="1" applyBorder="1"/>
    <xf numFmtId="0" fontId="7" fillId="2" borderId="3" xfId="0" applyFont="1" applyFill="1" applyBorder="1"/>
    <xf numFmtId="0" fontId="7" fillId="2" borderId="113" xfId="0" applyFont="1" applyFill="1" applyBorder="1"/>
    <xf numFmtId="0" fontId="8" fillId="5" borderId="11" xfId="0" applyFont="1" applyFill="1" applyBorder="1" applyAlignment="1" applyProtection="1">
      <alignment horizontal="right" vertical="top" wrapText="1"/>
      <protection locked="0"/>
    </xf>
    <xf numFmtId="0" fontId="8" fillId="5" borderId="45" xfId="0" applyFont="1" applyFill="1" applyBorder="1" applyAlignment="1" applyProtection="1">
      <alignment horizontal="right" vertical="top" wrapText="1"/>
      <protection locked="0"/>
    </xf>
    <xf numFmtId="0" fontId="8" fillId="5" borderId="39" xfId="0" applyFont="1" applyFill="1" applyBorder="1" applyAlignment="1">
      <alignment horizontal="center" vertical="center"/>
    </xf>
    <xf numFmtId="0" fontId="8" fillId="5" borderId="10" xfId="0" applyFont="1" applyFill="1" applyBorder="1" applyAlignment="1" applyProtection="1">
      <alignment horizontal="left" vertical="top"/>
      <protection locked="0"/>
    </xf>
    <xf numFmtId="0" fontId="8" fillId="5" borderId="14" xfId="0" applyFont="1" applyFill="1" applyBorder="1" applyAlignment="1" applyProtection="1">
      <alignment horizontal="center" vertical="center"/>
      <protection locked="0"/>
    </xf>
    <xf numFmtId="0" fontId="8" fillId="5" borderId="7" xfId="0" applyFont="1" applyFill="1" applyBorder="1" applyAlignment="1">
      <alignment horizontal="center"/>
    </xf>
    <xf numFmtId="0" fontId="67" fillId="5" borderId="139" xfId="0" applyFont="1" applyFill="1" applyBorder="1" applyAlignment="1" applyProtection="1">
      <alignment horizontal="center" vertical="center"/>
      <protection locked="0"/>
    </xf>
    <xf numFmtId="0" fontId="67" fillId="5" borderId="150" xfId="0" applyFont="1" applyFill="1" applyBorder="1" applyAlignment="1" applyProtection="1">
      <alignment horizontal="center" vertical="center"/>
      <protection locked="0"/>
    </xf>
    <xf numFmtId="0" fontId="67" fillId="5" borderId="151" xfId="0" applyFont="1" applyFill="1" applyBorder="1" applyAlignment="1" applyProtection="1">
      <alignment horizontal="center" vertical="center"/>
      <protection locked="0"/>
    </xf>
    <xf numFmtId="0" fontId="42" fillId="5" borderId="0" xfId="0" applyFont="1" applyFill="1" applyAlignment="1">
      <alignment vertical="center"/>
    </xf>
    <xf numFmtId="0" fontId="8" fillId="5" borderId="1" xfId="0" applyFont="1" applyFill="1" applyBorder="1" applyAlignment="1">
      <alignment vertical="center" wrapText="1"/>
    </xf>
    <xf numFmtId="0" fontId="8" fillId="24" borderId="1" xfId="0" applyFont="1" applyFill="1" applyBorder="1" applyAlignment="1">
      <alignment horizontal="center" vertical="center"/>
    </xf>
    <xf numFmtId="0" fontId="8" fillId="24" borderId="0" xfId="0" applyFont="1" applyFill="1"/>
    <xf numFmtId="0" fontId="8" fillId="24" borderId="29" xfId="0" applyFont="1" applyFill="1" applyBorder="1" applyAlignment="1">
      <alignment horizontal="left" vertical="center"/>
    </xf>
    <xf numFmtId="0" fontId="8" fillId="24" borderId="39" xfId="0" applyFont="1" applyFill="1" applyBorder="1" applyAlignment="1">
      <alignment horizontal="center" vertical="center"/>
    </xf>
    <xf numFmtId="0" fontId="8" fillId="5" borderId="12" xfId="0" applyFont="1" applyFill="1" applyBorder="1"/>
    <xf numFmtId="0" fontId="8" fillId="24" borderId="28" xfId="0" applyFont="1" applyFill="1" applyBorder="1" applyAlignment="1">
      <alignment horizontal="center" vertical="center"/>
    </xf>
    <xf numFmtId="0" fontId="8" fillId="24" borderId="34" xfId="0" applyFont="1" applyFill="1" applyBorder="1" applyAlignment="1">
      <alignment vertical="center"/>
    </xf>
    <xf numFmtId="0" fontId="8" fillId="5" borderId="0" xfId="0" applyFont="1" applyFill="1" applyAlignment="1" applyProtection="1">
      <alignment horizontal="center" vertical="top"/>
      <protection locked="0"/>
    </xf>
    <xf numFmtId="0" fontId="8" fillId="2" borderId="19" xfId="0" applyFont="1" applyFill="1" applyBorder="1"/>
    <xf numFmtId="0" fontId="8" fillId="5" borderId="9" xfId="0" applyFont="1" applyFill="1" applyBorder="1" applyAlignment="1" applyProtection="1">
      <alignment horizontal="left" vertical="top"/>
      <protection locked="0"/>
    </xf>
    <xf numFmtId="0" fontId="8" fillId="5" borderId="1" xfId="0" applyFont="1" applyFill="1" applyBorder="1" applyAlignment="1" applyProtection="1">
      <alignment horizontal="left" vertical="top"/>
      <protection locked="0"/>
    </xf>
    <xf numFmtId="0" fontId="8" fillId="5" borderId="12" xfId="0" applyFont="1" applyFill="1" applyBorder="1" applyAlignment="1" applyProtection="1">
      <alignment horizontal="left" vertical="top"/>
      <protection locked="0"/>
    </xf>
    <xf numFmtId="0" fontId="8" fillId="5" borderId="9" xfId="0" applyFont="1" applyFill="1" applyBorder="1"/>
    <xf numFmtId="0" fontId="8" fillId="5" borderId="37" xfId="0" applyFont="1" applyFill="1" applyBorder="1"/>
    <xf numFmtId="0" fontId="8" fillId="5" borderId="9" xfId="0" applyFont="1" applyFill="1" applyBorder="1" applyAlignment="1">
      <alignment vertical="center"/>
    </xf>
    <xf numFmtId="0" fontId="7" fillId="5" borderId="6" xfId="0" applyFont="1" applyFill="1" applyBorder="1"/>
    <xf numFmtId="0" fontId="18" fillId="0" borderId="67" xfId="0" applyFont="1" applyBorder="1" applyAlignment="1">
      <alignment horizontal="center" vertical="center"/>
    </xf>
    <xf numFmtId="0" fontId="19" fillId="0" borderId="67" xfId="0" applyFont="1" applyBorder="1" applyAlignment="1">
      <alignment horizontal="center" vertical="center"/>
    </xf>
    <xf numFmtId="0" fontId="66" fillId="0" borderId="0" xfId="0" applyFont="1" applyAlignment="1">
      <alignment horizontal="right"/>
    </xf>
    <xf numFmtId="0" fontId="8" fillId="5" borderId="152" xfId="0" applyFont="1" applyFill="1" applyBorder="1" applyAlignment="1" applyProtection="1">
      <alignment vertical="top"/>
      <protection locked="0"/>
    </xf>
    <xf numFmtId="1" fontId="8" fillId="5" borderId="0" xfId="0" applyNumberFormat="1" applyFont="1" applyFill="1" applyAlignment="1" applyProtection="1">
      <alignment horizontal="center" vertical="center"/>
      <protection locked="0"/>
    </xf>
    <xf numFmtId="0" fontId="8" fillId="5" borderId="62" xfId="0" applyFont="1" applyFill="1" applyBorder="1" applyAlignment="1" applyProtection="1">
      <alignment horizontal="center" vertical="center"/>
      <protection locked="0"/>
    </xf>
    <xf numFmtId="0" fontId="8" fillId="5" borderId="10" xfId="0" applyFont="1" applyFill="1" applyBorder="1" applyAlignment="1">
      <alignment vertical="top"/>
    </xf>
    <xf numFmtId="0" fontId="46" fillId="5" borderId="17" xfId="0" applyFont="1" applyFill="1" applyBorder="1" applyAlignment="1">
      <alignment vertical="center"/>
    </xf>
    <xf numFmtId="0" fontId="8" fillId="5" borderId="11" xfId="0" applyFont="1" applyFill="1" applyBorder="1" applyAlignment="1">
      <alignment vertical="top"/>
    </xf>
    <xf numFmtId="0" fontId="8" fillId="0" borderId="42" xfId="0" applyFont="1" applyBorder="1"/>
    <xf numFmtId="0" fontId="8" fillId="5" borderId="61" xfId="0" applyFont="1" applyFill="1" applyBorder="1" applyAlignment="1" applyProtection="1">
      <alignment horizontal="center" vertical="center"/>
      <protection locked="0"/>
    </xf>
    <xf numFmtId="0" fontId="8" fillId="5" borderId="62" xfId="0" applyFont="1" applyFill="1" applyBorder="1" applyAlignment="1" applyProtection="1">
      <alignment horizontal="center" vertical="center" wrapText="1"/>
      <protection locked="0"/>
    </xf>
    <xf numFmtId="0" fontId="8" fillId="5" borderId="61" xfId="0" applyFont="1" applyFill="1" applyBorder="1" applyAlignment="1" applyProtection="1">
      <alignment horizontal="center" vertical="center" wrapText="1"/>
      <protection locked="0"/>
    </xf>
    <xf numFmtId="0" fontId="7" fillId="4" borderId="10" xfId="0" applyFont="1" applyFill="1" applyBorder="1" applyAlignment="1">
      <alignment horizontal="center" vertical="center"/>
    </xf>
    <xf numFmtId="0" fontId="8" fillId="0" borderId="153" xfId="0" applyFont="1" applyBorder="1" applyAlignment="1">
      <alignment horizontal="center" vertical="center"/>
    </xf>
    <xf numFmtId="0" fontId="7" fillId="4" borderId="17" xfId="0" applyFont="1" applyFill="1" applyBorder="1" applyAlignment="1">
      <alignment horizontal="left" vertical="center"/>
    </xf>
    <xf numFmtId="0" fontId="40" fillId="0" borderId="154" xfId="0" applyFont="1" applyBorder="1" applyAlignment="1">
      <alignment horizontal="left" vertical="center"/>
    </xf>
    <xf numFmtId="0" fontId="8" fillId="5" borderId="114" xfId="0" applyFont="1" applyFill="1" applyBorder="1" applyAlignment="1" applyProtection="1">
      <alignment horizontal="center" vertical="center" wrapText="1"/>
      <protection locked="0"/>
    </xf>
    <xf numFmtId="0" fontId="7" fillId="5" borderId="41" xfId="0" applyFont="1" applyFill="1" applyBorder="1" applyAlignment="1" applyProtection="1">
      <alignment horizontal="center" vertical="center" wrapText="1"/>
      <protection locked="0"/>
    </xf>
    <xf numFmtId="0" fontId="4" fillId="0" borderId="58" xfId="0" applyFont="1" applyBorder="1" applyAlignment="1">
      <alignment vertical="center"/>
    </xf>
    <xf numFmtId="0" fontId="6" fillId="0" borderId="0" xfId="0" applyFont="1" applyAlignment="1">
      <alignment horizontal="right"/>
    </xf>
    <xf numFmtId="0" fontId="6" fillId="0" borderId="0" xfId="0" applyFont="1" applyAlignment="1">
      <alignment horizontal="right" wrapText="1"/>
    </xf>
    <xf numFmtId="165" fontId="6" fillId="0" borderId="0" xfId="0" applyNumberFormat="1" applyFont="1" applyAlignment="1">
      <alignment horizontal="right" vertical="center"/>
    </xf>
    <xf numFmtId="0" fontId="58" fillId="0" borderId="0" xfId="0" applyFont="1" applyAlignment="1">
      <alignment horizontal="left" vertical="center"/>
    </xf>
    <xf numFmtId="165" fontId="58" fillId="0" borderId="0" xfId="0" applyNumberFormat="1" applyFont="1" applyAlignment="1">
      <alignment horizontal="right" vertical="center"/>
    </xf>
    <xf numFmtId="0" fontId="4" fillId="0" borderId="42" xfId="0" applyFont="1" applyBorder="1" applyAlignment="1">
      <alignment vertical="center"/>
    </xf>
    <xf numFmtId="0" fontId="4" fillId="0" borderId="61" xfId="0" applyFont="1" applyBorder="1" applyAlignment="1">
      <alignment vertical="center"/>
    </xf>
    <xf numFmtId="0" fontId="6" fillId="0" borderId="62" xfId="0" applyFont="1" applyBorder="1" applyAlignment="1">
      <alignment horizontal="left" vertical="center"/>
    </xf>
    <xf numFmtId="165" fontId="6" fillId="0" borderId="62" xfId="0" applyNumberFormat="1" applyFont="1" applyBorder="1" applyAlignment="1">
      <alignment horizontal="right" vertical="center"/>
    </xf>
    <xf numFmtId="0" fontId="4" fillId="0" borderId="61" xfId="0" applyFont="1" applyBorder="1" applyAlignment="1">
      <alignment horizontal="left" vertical="center"/>
    </xf>
    <xf numFmtId="164" fontId="7" fillId="5" borderId="10" xfId="0" applyNumberFormat="1" applyFont="1" applyFill="1" applyBorder="1" applyAlignment="1">
      <alignment horizontal="center" vertical="center"/>
    </xf>
    <xf numFmtId="164" fontId="7" fillId="5" borderId="45" xfId="0" applyNumberFormat="1" applyFont="1" applyFill="1" applyBorder="1" applyAlignment="1">
      <alignment horizontal="center" vertical="center"/>
    </xf>
    <xf numFmtId="1" fontId="8" fillId="22" borderId="10" xfId="0" applyNumberFormat="1" applyFont="1" applyFill="1" applyBorder="1" applyAlignment="1" applyProtection="1">
      <alignment horizontal="right" vertical="center"/>
      <protection locked="0"/>
    </xf>
    <xf numFmtId="9" fontId="8" fillId="18" borderId="89" xfId="0" applyNumberFormat="1" applyFont="1" applyFill="1" applyBorder="1" applyAlignment="1" applyProtection="1">
      <alignment horizontal="center" vertical="center"/>
      <protection locked="0"/>
    </xf>
    <xf numFmtId="165" fontId="8" fillId="18" borderId="10" xfId="0" applyNumberFormat="1" applyFont="1" applyFill="1" applyBorder="1" applyAlignment="1" applyProtection="1">
      <alignment horizontal="center" vertical="center"/>
      <protection locked="0"/>
    </xf>
    <xf numFmtId="165" fontId="8" fillId="5" borderId="45" xfId="0" applyNumberFormat="1" applyFont="1" applyFill="1" applyBorder="1" applyAlignment="1">
      <alignment horizontal="center" vertical="center"/>
    </xf>
    <xf numFmtId="9" fontId="8" fillId="18" borderId="41" xfId="0" applyNumberFormat="1" applyFont="1" applyFill="1" applyBorder="1" applyAlignment="1" applyProtection="1">
      <alignment horizontal="center" vertical="center"/>
      <protection locked="0"/>
    </xf>
    <xf numFmtId="0" fontId="50" fillId="5" borderId="107" xfId="0" applyFont="1" applyFill="1" applyBorder="1" applyAlignment="1">
      <alignment horizontal="center" vertical="center" wrapText="1"/>
    </xf>
    <xf numFmtId="0" fontId="8" fillId="5" borderId="156" xfId="0" applyFont="1" applyFill="1" applyBorder="1"/>
    <xf numFmtId="0" fontId="8" fillId="5" borderId="113" xfId="0" applyFont="1" applyFill="1" applyBorder="1" applyAlignment="1">
      <alignment vertical="center"/>
    </xf>
    <xf numFmtId="164" fontId="8" fillId="5" borderId="155" xfId="0" applyNumberFormat="1" applyFont="1" applyFill="1" applyBorder="1"/>
    <xf numFmtId="164" fontId="8" fillId="5" borderId="44" xfId="7" applyNumberFormat="1" applyFont="1" applyFill="1" applyBorder="1" applyAlignment="1" applyProtection="1">
      <alignment horizontal="right" vertical="center"/>
      <protection locked="0"/>
    </xf>
    <xf numFmtId="164" fontId="7" fillId="5" borderId="42" xfId="7" applyNumberFormat="1" applyFont="1" applyFill="1" applyBorder="1" applyAlignment="1" applyProtection="1">
      <alignment horizontal="left" vertical="center"/>
    </xf>
    <xf numFmtId="0" fontId="4" fillId="0" borderId="157" xfId="0" applyFont="1" applyBorder="1"/>
    <xf numFmtId="3" fontId="8" fillId="18" borderId="7" xfId="0" quotePrefix="1" applyNumberFormat="1" applyFont="1" applyFill="1" applyBorder="1" applyAlignment="1" applyProtection="1">
      <alignment horizontal="center" vertical="center"/>
      <protection locked="0"/>
    </xf>
    <xf numFmtId="3" fontId="8" fillId="18" borderId="0" xfId="0" quotePrefix="1" applyNumberFormat="1" applyFont="1" applyFill="1" applyAlignment="1" applyProtection="1">
      <alignment horizontal="center" vertical="center"/>
      <protection locked="0"/>
    </xf>
    <xf numFmtId="3" fontId="8" fillId="18" borderId="9" xfId="0" quotePrefix="1" applyNumberFormat="1" applyFont="1" applyFill="1" applyBorder="1" applyAlignment="1" applyProtection="1">
      <alignment horizontal="center" vertical="center"/>
      <protection locked="0"/>
    </xf>
    <xf numFmtId="3" fontId="8" fillId="18" borderId="1" xfId="0" quotePrefix="1" applyNumberFormat="1" applyFont="1" applyFill="1" applyBorder="1" applyAlignment="1" applyProtection="1">
      <alignment horizontal="center" vertical="center"/>
      <protection locked="0"/>
    </xf>
    <xf numFmtId="0" fontId="8" fillId="18" borderId="9" xfId="0" quotePrefix="1" applyFont="1" applyFill="1" applyBorder="1" applyAlignment="1" applyProtection="1">
      <alignment horizontal="center" vertical="center"/>
      <protection locked="0"/>
    </xf>
    <xf numFmtId="0" fontId="8" fillId="18" borderId="1" xfId="0" quotePrefix="1" applyFont="1" applyFill="1" applyBorder="1" applyAlignment="1" applyProtection="1">
      <alignment horizontal="center" vertical="center"/>
      <protection locked="0"/>
    </xf>
    <xf numFmtId="0" fontId="8" fillId="5" borderId="92" xfId="0" applyFont="1" applyFill="1" applyBorder="1" applyAlignment="1">
      <alignment horizontal="left" vertical="center"/>
    </xf>
    <xf numFmtId="0" fontId="8" fillId="5" borderId="41" xfId="0" applyFont="1" applyFill="1" applyBorder="1" applyAlignment="1">
      <alignment horizontal="left" vertical="center"/>
    </xf>
    <xf numFmtId="0" fontId="8" fillId="18" borderId="7" xfId="0" quotePrefix="1" applyFont="1" applyFill="1" applyBorder="1" applyAlignment="1" applyProtection="1">
      <alignment horizontal="center" vertical="center"/>
      <protection locked="0"/>
    </xf>
    <xf numFmtId="0" fontId="8" fillId="18" borderId="0" xfId="0" quotePrefix="1" applyFont="1" applyFill="1" applyAlignment="1" applyProtection="1">
      <alignment horizontal="center" vertical="center"/>
      <protection locked="0"/>
    </xf>
    <xf numFmtId="44" fontId="8" fillId="5" borderId="6" xfId="7" applyFont="1" applyFill="1" applyBorder="1" applyAlignment="1">
      <alignment horizontal="left" vertical="top"/>
    </xf>
    <xf numFmtId="44" fontId="8" fillId="5" borderId="7" xfId="7" applyFont="1" applyFill="1" applyBorder="1" applyAlignment="1">
      <alignment horizontal="left" vertical="top"/>
    </xf>
    <xf numFmtId="44" fontId="8" fillId="5" borderId="20" xfId="7" applyFont="1" applyFill="1" applyBorder="1" applyAlignment="1">
      <alignment horizontal="left" vertical="top"/>
    </xf>
    <xf numFmtId="44" fontId="8" fillId="5" borderId="5" xfId="7" applyFont="1" applyFill="1" applyBorder="1" applyAlignment="1">
      <alignment horizontal="left" vertical="top"/>
    </xf>
    <xf numFmtId="44" fontId="8" fillId="5" borderId="0" xfId="7" applyFont="1" applyFill="1" applyBorder="1" applyAlignment="1">
      <alignment horizontal="left" vertical="top"/>
    </xf>
    <xf numFmtId="44" fontId="8" fillId="5" borderId="4" xfId="7" applyFont="1" applyFill="1" applyBorder="1" applyAlignment="1">
      <alignment horizontal="left" vertical="top"/>
    </xf>
    <xf numFmtId="44" fontId="8" fillId="5" borderId="11" xfId="7" applyFont="1" applyFill="1" applyBorder="1" applyAlignment="1">
      <alignment horizontal="left" vertical="top"/>
    </xf>
    <xf numFmtId="44" fontId="8" fillId="5" borderId="10" xfId="7" applyFont="1" applyFill="1" applyBorder="1" applyAlignment="1">
      <alignment horizontal="left" vertical="top"/>
    </xf>
    <xf numFmtId="44" fontId="8" fillId="5" borderId="14" xfId="7" applyFont="1" applyFill="1" applyBorder="1" applyAlignment="1">
      <alignment horizontal="left" vertical="top"/>
    </xf>
    <xf numFmtId="164" fontId="8" fillId="18" borderId="0" xfId="0" applyNumberFormat="1" applyFont="1" applyFill="1" applyAlignment="1" applyProtection="1">
      <alignment horizontal="left" vertical="center"/>
      <protection locked="0"/>
    </xf>
    <xf numFmtId="164" fontId="8" fillId="18" borderId="42" xfId="0" applyNumberFormat="1" applyFont="1" applyFill="1" applyBorder="1" applyAlignment="1" applyProtection="1">
      <alignment horizontal="left" vertical="center"/>
      <protection locked="0"/>
    </xf>
    <xf numFmtId="164" fontId="7" fillId="5" borderId="0" xfId="0" applyNumberFormat="1" applyFont="1" applyFill="1" applyAlignment="1">
      <alignment horizontal="center" vertical="center"/>
    </xf>
    <xf numFmtId="164" fontId="7" fillId="5" borderId="42" xfId="0" applyNumberFormat="1" applyFont="1" applyFill="1" applyBorder="1" applyAlignment="1">
      <alignment horizontal="center" vertical="center"/>
    </xf>
    <xf numFmtId="164" fontId="7" fillId="5" borderId="10" xfId="0" applyNumberFormat="1" applyFont="1" applyFill="1" applyBorder="1" applyAlignment="1">
      <alignment horizontal="center" vertical="center"/>
    </xf>
    <xf numFmtId="164" fontId="7" fillId="5" borderId="45" xfId="0" applyNumberFormat="1" applyFont="1" applyFill="1" applyBorder="1" applyAlignment="1">
      <alignment horizontal="center" vertical="center"/>
    </xf>
    <xf numFmtId="0" fontId="49" fillId="0" borderId="0" xfId="0" applyFont="1" applyAlignment="1" applyProtection="1">
      <alignment horizontal="center" vertical="center"/>
      <protection locked="0"/>
    </xf>
    <xf numFmtId="0" fontId="49" fillId="0" borderId="0" xfId="0" applyFont="1" applyAlignment="1" applyProtection="1">
      <alignment horizontal="center"/>
      <protection locked="0"/>
    </xf>
    <xf numFmtId="0" fontId="8" fillId="5" borderId="0" xfId="0" applyFont="1" applyFill="1" applyAlignment="1">
      <alignment horizontal="left" vertical="top" wrapText="1"/>
    </xf>
    <xf numFmtId="0" fontId="8" fillId="5" borderId="42" xfId="0" applyFont="1" applyFill="1" applyBorder="1" applyAlignment="1">
      <alignment horizontal="left" vertical="top" wrapText="1"/>
    </xf>
    <xf numFmtId="0" fontId="8" fillId="5" borderId="10" xfId="0" applyFont="1" applyFill="1" applyBorder="1" applyAlignment="1">
      <alignment horizontal="left" vertical="top" wrapText="1"/>
    </xf>
    <xf numFmtId="0" fontId="8" fillId="5" borderId="45" xfId="0" applyFont="1" applyFill="1" applyBorder="1" applyAlignment="1">
      <alignment horizontal="left" vertical="top" wrapText="1"/>
    </xf>
    <xf numFmtId="0" fontId="49" fillId="0" borderId="0" xfId="0" applyFont="1" applyAlignment="1">
      <alignment horizontal="center"/>
    </xf>
    <xf numFmtId="164" fontId="7" fillId="5" borderId="41" xfId="0" applyNumberFormat="1" applyFont="1" applyFill="1" applyBorder="1" applyAlignment="1">
      <alignment horizontal="center" vertical="center"/>
    </xf>
    <xf numFmtId="164" fontId="7" fillId="5" borderId="89" xfId="0" applyNumberFormat="1" applyFont="1" applyFill="1" applyBorder="1" applyAlignment="1">
      <alignment horizontal="center" vertical="center"/>
    </xf>
    <xf numFmtId="0" fontId="8" fillId="5" borderId="92"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20" xfId="0" applyFont="1" applyFill="1" applyBorder="1" applyAlignment="1">
      <alignment horizontal="center" vertical="center"/>
    </xf>
    <xf numFmtId="0" fontId="8" fillId="5" borderId="41" xfId="0" applyFont="1" applyFill="1" applyBorder="1" applyAlignment="1">
      <alignment horizontal="center" vertical="center"/>
    </xf>
    <xf numFmtId="0" fontId="8" fillId="5" borderId="0" xfId="0" applyFont="1" applyFill="1" applyAlignment="1">
      <alignment horizontal="center" vertical="center"/>
    </xf>
    <xf numFmtId="0" fontId="8" fillId="5" borderId="4" xfId="0" applyFont="1" applyFill="1" applyBorder="1" applyAlignment="1">
      <alignment horizontal="center" vertical="center"/>
    </xf>
    <xf numFmtId="0" fontId="8" fillId="5" borderId="89"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4" xfId="0" applyFont="1" applyFill="1" applyBorder="1" applyAlignment="1">
      <alignment horizontal="center" vertical="center"/>
    </xf>
    <xf numFmtId="0" fontId="8" fillId="5" borderId="63" xfId="0" applyFont="1" applyFill="1" applyBorder="1" applyAlignment="1">
      <alignment horizontal="center" vertical="center"/>
    </xf>
    <xf numFmtId="0" fontId="8" fillId="5" borderId="42" xfId="0" applyFont="1" applyFill="1" applyBorder="1" applyAlignment="1">
      <alignment horizontal="center" vertical="center"/>
    </xf>
    <xf numFmtId="0" fontId="8" fillId="5" borderId="45" xfId="0" applyFont="1" applyFill="1" applyBorder="1" applyAlignment="1">
      <alignment horizontal="center" vertical="center"/>
    </xf>
    <xf numFmtId="0" fontId="8" fillId="5" borderId="75"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44" xfId="0" applyFont="1" applyFill="1" applyBorder="1" applyAlignment="1">
      <alignment horizontal="center" vertical="center"/>
    </xf>
    <xf numFmtId="164" fontId="8" fillId="18" borderId="7" xfId="0" applyNumberFormat="1" applyFont="1" applyFill="1" applyBorder="1" applyAlignment="1" applyProtection="1">
      <alignment horizontal="left" vertical="center"/>
      <protection locked="0"/>
    </xf>
    <xf numFmtId="164" fontId="8" fillId="18" borderId="63" xfId="0" applyNumberFormat="1" applyFont="1" applyFill="1" applyBorder="1" applyAlignment="1" applyProtection="1">
      <alignment horizontal="left" vertical="center"/>
      <protection locked="0"/>
    </xf>
    <xf numFmtId="0" fontId="7" fillId="15" borderId="13" xfId="0" applyFont="1" applyFill="1" applyBorder="1" applyAlignment="1">
      <alignment horizontal="left"/>
    </xf>
    <xf numFmtId="0" fontId="7" fillId="5" borderId="75" xfId="0" applyFont="1" applyFill="1" applyBorder="1" applyAlignment="1">
      <alignment horizontal="center"/>
    </xf>
    <xf numFmtId="0" fontId="7" fillId="5" borderId="13" xfId="0" applyFont="1" applyFill="1" applyBorder="1" applyAlignment="1">
      <alignment horizontal="center"/>
    </xf>
    <xf numFmtId="0" fontId="6" fillId="5" borderId="57" xfId="0" applyFont="1" applyFill="1" applyBorder="1" applyAlignment="1" applyProtection="1">
      <alignment horizontal="left" vertical="top"/>
      <protection locked="0"/>
    </xf>
    <xf numFmtId="0" fontId="6" fillId="5" borderId="1" xfId="0" applyFont="1" applyFill="1" applyBorder="1" applyAlignment="1" applyProtection="1">
      <alignment horizontal="left" vertical="top"/>
      <protection locked="0"/>
    </xf>
    <xf numFmtId="0" fontId="6" fillId="5" borderId="89" xfId="0" applyFont="1" applyFill="1" applyBorder="1" applyAlignment="1" applyProtection="1">
      <alignment horizontal="left" vertical="top"/>
      <protection locked="0"/>
    </xf>
    <xf numFmtId="0" fontId="6" fillId="5" borderId="10" xfId="0" applyFont="1" applyFill="1" applyBorder="1" applyAlignment="1" applyProtection="1">
      <alignment horizontal="left" vertical="top"/>
      <protection locked="0"/>
    </xf>
    <xf numFmtId="0" fontId="6" fillId="5" borderId="12" xfId="0" applyFont="1" applyFill="1" applyBorder="1" applyAlignment="1" applyProtection="1">
      <alignment horizontal="left" vertical="top"/>
      <protection locked="0"/>
    </xf>
    <xf numFmtId="0" fontId="8" fillId="16" borderId="0" xfId="0" applyFont="1" applyFill="1" applyAlignment="1">
      <alignment horizontal="left" vertical="center" wrapText="1"/>
    </xf>
    <xf numFmtId="0" fontId="8" fillId="16" borderId="92" xfId="0" applyFont="1" applyFill="1" applyBorder="1" applyAlignment="1">
      <alignment horizontal="left" vertical="center" wrapText="1"/>
    </xf>
    <xf numFmtId="0" fontId="8" fillId="16" borderId="7" xfId="0" applyFont="1" applyFill="1" applyBorder="1" applyAlignment="1">
      <alignment horizontal="left" vertical="center" wrapText="1"/>
    </xf>
    <xf numFmtId="0" fontId="8" fillId="16" borderId="10" xfId="0" applyFont="1" applyFill="1" applyBorder="1" applyAlignment="1">
      <alignment horizontal="left" vertical="center" wrapText="1"/>
    </xf>
    <xf numFmtId="0" fontId="7" fillId="0" borderId="0" xfId="0" applyFont="1" applyAlignment="1">
      <alignment horizontal="center"/>
    </xf>
    <xf numFmtId="0" fontId="8" fillId="5" borderId="0" xfId="0" applyFont="1" applyFill="1" applyAlignment="1">
      <alignment horizontal="left" vertical="center"/>
    </xf>
    <xf numFmtId="0" fontId="8" fillId="5" borderId="19" xfId="0" applyFont="1" applyFill="1" applyBorder="1" applyAlignment="1">
      <alignment horizontal="center" vertical="center"/>
    </xf>
    <xf numFmtId="0" fontId="8" fillId="18" borderId="0" xfId="0" applyFont="1" applyFill="1" applyAlignment="1" applyProtection="1">
      <alignment horizontal="left"/>
      <protection locked="0"/>
    </xf>
    <xf numFmtId="0" fontId="8" fillId="5" borderId="13" xfId="0" applyFont="1" applyFill="1" applyBorder="1" applyAlignment="1">
      <alignment horizontal="left"/>
    </xf>
    <xf numFmtId="165" fontId="8" fillId="5" borderId="13" xfId="0" applyNumberFormat="1" applyFont="1" applyFill="1" applyBorder="1" applyAlignment="1">
      <alignment horizontal="left" vertical="top"/>
    </xf>
    <xf numFmtId="0" fontId="8" fillId="7" borderId="13" xfId="0" applyFont="1" applyFill="1" applyBorder="1" applyAlignment="1" applyProtection="1">
      <alignment horizontal="center" vertical="center"/>
      <protection locked="0"/>
    </xf>
    <xf numFmtId="0" fontId="8" fillId="7" borderId="2" xfId="0" applyFont="1" applyFill="1" applyBorder="1" applyAlignment="1" applyProtection="1">
      <alignment horizontal="center" vertical="center"/>
      <protection locked="0"/>
    </xf>
    <xf numFmtId="0" fontId="8" fillId="5" borderId="13" xfId="0" applyFont="1" applyFill="1" applyBorder="1" applyAlignment="1">
      <alignment horizontal="center"/>
    </xf>
    <xf numFmtId="0" fontId="8" fillId="5" borderId="9" xfId="0" applyFont="1" applyFill="1" applyBorder="1" applyAlignment="1">
      <alignment horizontal="center"/>
    </xf>
    <xf numFmtId="0" fontId="7" fillId="5" borderId="13" xfId="0" applyFont="1" applyFill="1" applyBorder="1" applyAlignment="1">
      <alignment horizontal="center" vertical="top"/>
    </xf>
    <xf numFmtId="0" fontId="40" fillId="0" borderId="17" xfId="0" applyFont="1" applyBorder="1" applyAlignment="1">
      <alignment horizontal="left" vertical="center"/>
    </xf>
    <xf numFmtId="0" fontId="40" fillId="0" borderId="10" xfId="0" applyFont="1" applyBorder="1" applyAlignment="1">
      <alignment horizontal="left" vertical="center"/>
    </xf>
    <xf numFmtId="0" fontId="6" fillId="5" borderId="41" xfId="0" applyFont="1" applyFill="1" applyBorder="1" applyAlignment="1" applyProtection="1">
      <alignment horizontal="left" vertical="top"/>
      <protection locked="0"/>
    </xf>
    <xf numFmtId="0" fontId="6" fillId="5" borderId="0" xfId="0" applyFont="1" applyFill="1" applyAlignment="1" applyProtection="1">
      <alignment horizontal="left" vertical="top"/>
      <protection locked="0"/>
    </xf>
    <xf numFmtId="0" fontId="8" fillId="7" borderId="10" xfId="0" applyFont="1" applyFill="1" applyBorder="1" applyAlignment="1" applyProtection="1">
      <alignment horizontal="center" vertical="center"/>
      <protection locked="0"/>
    </xf>
    <xf numFmtId="0" fontId="8" fillId="7" borderId="12" xfId="0" applyFont="1" applyFill="1" applyBorder="1" applyAlignment="1" applyProtection="1">
      <alignment horizontal="center" vertical="center"/>
      <protection locked="0"/>
    </xf>
    <xf numFmtId="0" fontId="7" fillId="5" borderId="41" xfId="0" applyFont="1" applyFill="1" applyBorder="1" applyAlignment="1" applyProtection="1">
      <alignment horizontal="left" vertical="top"/>
      <protection locked="0"/>
    </xf>
    <xf numFmtId="0" fontId="7" fillId="5" borderId="0" xfId="0" applyFont="1" applyFill="1" applyAlignment="1" applyProtection="1">
      <alignment horizontal="left" vertical="top"/>
      <protection locked="0"/>
    </xf>
    <xf numFmtId="0" fontId="7" fillId="5" borderId="1" xfId="0" applyFont="1" applyFill="1" applyBorder="1" applyAlignment="1" applyProtection="1">
      <alignment horizontal="left" vertical="top"/>
      <protection locked="0"/>
    </xf>
    <xf numFmtId="0" fontId="7" fillId="5" borderId="89" xfId="0" applyFont="1" applyFill="1" applyBorder="1" applyAlignment="1" applyProtection="1">
      <alignment horizontal="left" vertical="top"/>
      <protection locked="0"/>
    </xf>
    <xf numFmtId="0" fontId="7" fillId="5" borderId="10" xfId="0" applyFont="1" applyFill="1" applyBorder="1" applyAlignment="1" applyProtection="1">
      <alignment horizontal="left" vertical="top"/>
      <protection locked="0"/>
    </xf>
    <xf numFmtId="0" fontId="7" fillId="5" borderId="12" xfId="0" applyFont="1" applyFill="1" applyBorder="1" applyAlignment="1" applyProtection="1">
      <alignment horizontal="left" vertical="top"/>
      <protection locked="0"/>
    </xf>
    <xf numFmtId="0" fontId="53" fillId="0" borderId="78" xfId="0" applyFont="1" applyBorder="1" applyAlignment="1" applyProtection="1">
      <alignment horizontal="center" vertical="center"/>
      <protection locked="0"/>
    </xf>
    <xf numFmtId="0" fontId="53" fillId="0" borderId="90" xfId="0" applyFont="1" applyBorder="1" applyAlignment="1" applyProtection="1">
      <alignment horizontal="center" vertical="center"/>
      <protection locked="0"/>
    </xf>
    <xf numFmtId="0" fontId="53" fillId="0" borderId="79" xfId="0" applyFont="1" applyBorder="1" applyAlignment="1" applyProtection="1">
      <alignment horizontal="center" vertical="center"/>
      <protection locked="0"/>
    </xf>
    <xf numFmtId="0" fontId="8" fillId="18" borderId="10" xfId="0" applyFont="1" applyFill="1" applyBorder="1" applyAlignment="1" applyProtection="1">
      <alignment horizontal="left"/>
      <protection locked="0"/>
    </xf>
    <xf numFmtId="164" fontId="8" fillId="5" borderId="7" xfId="0" applyNumberFormat="1" applyFont="1" applyFill="1" applyBorder="1" applyAlignment="1">
      <alignment horizontal="center" vertical="center"/>
    </xf>
    <xf numFmtId="164" fontId="8" fillId="5" borderId="63" xfId="0" applyNumberFormat="1" applyFont="1" applyFill="1" applyBorder="1" applyAlignment="1">
      <alignment horizontal="center" vertical="center"/>
    </xf>
    <xf numFmtId="0" fontId="8" fillId="5" borderId="10" xfId="0" applyFont="1" applyFill="1" applyBorder="1" applyAlignment="1">
      <alignment horizontal="right"/>
    </xf>
    <xf numFmtId="165" fontId="8" fillId="5" borderId="0" xfId="0" applyNumberFormat="1" applyFont="1" applyFill="1" applyAlignment="1">
      <alignment horizontal="center" vertical="top" wrapText="1"/>
    </xf>
    <xf numFmtId="165" fontId="8" fillId="5" borderId="42" xfId="0" applyNumberFormat="1" applyFont="1" applyFill="1" applyBorder="1" applyAlignment="1">
      <alignment horizontal="center" vertical="top" wrapText="1"/>
    </xf>
    <xf numFmtId="0" fontId="8" fillId="5" borderId="15" xfId="0" applyFont="1" applyFill="1" applyBorder="1" applyAlignment="1">
      <alignment horizontal="left" vertical="top" wrapText="1"/>
    </xf>
    <xf numFmtId="0" fontId="8" fillId="5" borderId="63" xfId="0" applyFont="1" applyFill="1" applyBorder="1" applyAlignment="1">
      <alignment horizontal="left" vertical="top" wrapText="1"/>
    </xf>
    <xf numFmtId="0" fontId="8" fillId="5" borderId="22" xfId="0" applyFont="1" applyFill="1" applyBorder="1" applyAlignment="1">
      <alignment horizontal="left" vertical="top" wrapText="1"/>
    </xf>
    <xf numFmtId="0" fontId="8" fillId="5" borderId="126" xfId="0" applyFont="1" applyFill="1" applyBorder="1" applyAlignment="1">
      <alignment horizontal="left" vertical="top" wrapText="1"/>
    </xf>
    <xf numFmtId="0" fontId="8" fillId="5" borderId="61" xfId="0" applyFont="1" applyFill="1" applyBorder="1" applyAlignment="1">
      <alignment horizontal="left" vertical="top" wrapText="1"/>
    </xf>
    <xf numFmtId="165" fontId="63" fillId="5" borderId="92" xfId="0" applyNumberFormat="1" applyFont="1" applyFill="1" applyBorder="1" applyAlignment="1">
      <alignment horizontal="center" vertical="center"/>
    </xf>
    <xf numFmtId="165" fontId="63" fillId="5" borderId="7" xfId="0" applyNumberFormat="1" applyFont="1" applyFill="1" applyBorder="1" applyAlignment="1">
      <alignment horizontal="center" vertical="center"/>
    </xf>
    <xf numFmtId="165" fontId="63" fillId="5" borderId="20" xfId="0" applyNumberFormat="1" applyFont="1" applyFill="1" applyBorder="1" applyAlignment="1">
      <alignment horizontal="center" vertical="center"/>
    </xf>
    <xf numFmtId="165" fontId="63" fillId="5" borderId="41" xfId="0" applyNumberFormat="1" applyFont="1" applyFill="1" applyBorder="1" applyAlignment="1">
      <alignment horizontal="center" vertical="center"/>
    </xf>
    <xf numFmtId="165" fontId="63" fillId="5" borderId="0" xfId="0" applyNumberFormat="1" applyFont="1" applyFill="1" applyAlignment="1">
      <alignment horizontal="center" vertical="center"/>
    </xf>
    <xf numFmtId="165" fontId="63" fillId="5" borderId="4" xfId="0" applyNumberFormat="1" applyFont="1" applyFill="1" applyBorder="1" applyAlignment="1">
      <alignment horizontal="center" vertical="center"/>
    </xf>
    <xf numFmtId="165" fontId="63" fillId="5" borderId="60" xfId="0" applyNumberFormat="1" applyFont="1" applyFill="1" applyBorder="1" applyAlignment="1">
      <alignment horizontal="center" vertical="center"/>
    </xf>
    <xf numFmtId="165" fontId="63" fillId="5" borderId="62" xfId="0" applyNumberFormat="1" applyFont="1" applyFill="1" applyBorder="1" applyAlignment="1">
      <alignment horizontal="center" vertical="center"/>
    </xf>
    <xf numFmtId="165" fontId="63" fillId="5" borderId="114" xfId="0" applyNumberFormat="1" applyFont="1" applyFill="1" applyBorder="1" applyAlignment="1">
      <alignment horizontal="center" vertical="center"/>
    </xf>
    <xf numFmtId="0" fontId="8" fillId="24" borderId="0" xfId="0" applyFont="1" applyFill="1" applyAlignment="1">
      <alignment horizontal="center" vertical="center"/>
    </xf>
    <xf numFmtId="0" fontId="8" fillId="24" borderId="1" xfId="0" applyFont="1" applyFill="1" applyBorder="1" applyAlignment="1">
      <alignment horizontal="center" vertical="center"/>
    </xf>
    <xf numFmtId="0" fontId="8" fillId="6" borderId="29" xfId="0" applyFont="1" applyFill="1" applyBorder="1" applyAlignment="1">
      <alignment horizontal="center" vertical="center"/>
    </xf>
    <xf numFmtId="0" fontId="8" fillId="6" borderId="30" xfId="0" applyFont="1" applyFill="1" applyBorder="1" applyAlignment="1">
      <alignment horizontal="center" vertical="center"/>
    </xf>
    <xf numFmtId="0" fontId="8" fillId="6" borderId="0" xfId="0" applyFont="1" applyFill="1" applyAlignment="1">
      <alignment horizontal="center" vertical="center"/>
    </xf>
    <xf numFmtId="0" fontId="8" fillId="6" borderId="4" xfId="0" applyFont="1" applyFill="1" applyBorder="1" applyAlignment="1">
      <alignment horizontal="center" vertical="center"/>
    </xf>
    <xf numFmtId="0" fontId="8" fillId="6" borderId="28" xfId="0" applyFont="1" applyFill="1" applyBorder="1" applyAlignment="1">
      <alignment horizontal="center" vertical="center"/>
    </xf>
    <xf numFmtId="0" fontId="8" fillId="6" borderId="31" xfId="0" applyFont="1" applyFill="1" applyBorder="1" applyAlignment="1">
      <alignment horizontal="center" vertical="center"/>
    </xf>
    <xf numFmtId="0" fontId="8" fillId="0" borderId="29" xfId="0" applyFont="1" applyBorder="1" applyAlignment="1">
      <alignment horizontal="center" vertical="center" wrapText="1"/>
    </xf>
    <xf numFmtId="0" fontId="8" fillId="0" borderId="0" xfId="0" applyFont="1" applyAlignment="1">
      <alignment horizontal="center" vertical="center" wrapText="1"/>
    </xf>
    <xf numFmtId="0" fontId="39" fillId="5" borderId="36" xfId="0" applyFont="1" applyFill="1" applyBorder="1" applyAlignment="1">
      <alignment horizontal="center" vertical="center"/>
    </xf>
    <xf numFmtId="0" fontId="39" fillId="5" borderId="29" xfId="0" applyFont="1" applyFill="1" applyBorder="1" applyAlignment="1">
      <alignment horizontal="center" vertical="center"/>
    </xf>
    <xf numFmtId="0" fontId="39" fillId="5" borderId="39" xfId="0" applyFont="1" applyFill="1" applyBorder="1" applyAlignment="1">
      <alignment horizontal="center" vertical="center"/>
    </xf>
    <xf numFmtId="0" fontId="39" fillId="5" borderId="5" xfId="0" applyFont="1" applyFill="1" applyBorder="1" applyAlignment="1">
      <alignment horizontal="center" vertical="center"/>
    </xf>
    <xf numFmtId="0" fontId="39" fillId="5" borderId="0" xfId="0" applyFont="1" applyFill="1" applyAlignment="1">
      <alignment horizontal="center" vertical="center"/>
    </xf>
    <xf numFmtId="0" fontId="39" fillId="5" borderId="1" xfId="0" applyFont="1" applyFill="1" applyBorder="1" applyAlignment="1">
      <alignment horizontal="center" vertical="center"/>
    </xf>
    <xf numFmtId="0" fontId="42" fillId="5" borderId="5" xfId="0" applyFont="1" applyFill="1" applyBorder="1" applyAlignment="1">
      <alignment horizontal="center" vertical="center"/>
    </xf>
    <xf numFmtId="0" fontId="42" fillId="5" borderId="0" xfId="0" applyFont="1" applyFill="1" applyAlignment="1">
      <alignment horizontal="center" vertical="center"/>
    </xf>
    <xf numFmtId="0" fontId="43" fillId="5" borderId="0" xfId="0" applyFont="1" applyFill="1" applyAlignment="1" applyProtection="1">
      <alignment horizontal="center" vertical="center" wrapText="1"/>
      <protection locked="0"/>
    </xf>
    <xf numFmtId="0" fontId="43" fillId="5" borderId="1" xfId="0" applyFont="1" applyFill="1" applyBorder="1" applyAlignment="1" applyProtection="1">
      <alignment horizontal="center" vertical="center" wrapText="1"/>
      <protection locked="0"/>
    </xf>
    <xf numFmtId="164" fontId="43" fillId="5" borderId="0" xfId="0" applyNumberFormat="1" applyFont="1" applyFill="1" applyAlignment="1">
      <alignment horizontal="center" vertical="center"/>
    </xf>
    <xf numFmtId="164" fontId="43" fillId="5" borderId="1" xfId="0" applyNumberFormat="1" applyFont="1" applyFill="1" applyBorder="1" applyAlignment="1">
      <alignment horizontal="center" vertical="center"/>
    </xf>
    <xf numFmtId="0" fontId="56" fillId="0" borderId="0" xfId="0" applyFont="1" applyAlignment="1">
      <alignment horizontal="center"/>
    </xf>
    <xf numFmtId="0" fontId="71" fillId="0" borderId="0" xfId="0" applyFont="1" applyAlignment="1">
      <alignment horizontal="center"/>
    </xf>
    <xf numFmtId="0" fontId="71" fillId="0" borderId="10" xfId="0" applyFont="1" applyBorder="1" applyAlignment="1">
      <alignment horizontal="center"/>
    </xf>
    <xf numFmtId="0" fontId="6" fillId="0" borderId="56" xfId="0" applyFont="1" applyBorder="1" applyAlignment="1">
      <alignment horizontal="center"/>
    </xf>
    <xf numFmtId="0" fontId="6" fillId="0" borderId="58" xfId="0" applyFont="1" applyBorder="1" applyAlignment="1">
      <alignment horizontal="center"/>
    </xf>
    <xf numFmtId="0" fontId="6" fillId="0" borderId="40" xfId="0" applyFont="1" applyBorder="1" applyAlignment="1">
      <alignment horizontal="left"/>
    </xf>
    <xf numFmtId="0" fontId="6" fillId="0" borderId="29" xfId="0" applyFont="1" applyBorder="1" applyAlignment="1">
      <alignment horizontal="left"/>
    </xf>
    <xf numFmtId="0" fontId="6" fillId="0" borderId="30" xfId="0" applyFont="1" applyBorder="1" applyAlignment="1">
      <alignment horizontal="left"/>
    </xf>
    <xf numFmtId="165" fontId="37" fillId="0" borderId="62" xfId="0" applyNumberFormat="1" applyFont="1" applyBorder="1" applyAlignment="1">
      <alignment horizontal="right"/>
    </xf>
    <xf numFmtId="165" fontId="37" fillId="0" borderId="61" xfId="0" applyNumberFormat="1" applyFont="1" applyBorder="1" applyAlignment="1">
      <alignment horizontal="right"/>
    </xf>
    <xf numFmtId="0" fontId="34" fillId="0" borderId="60" xfId="0" applyFont="1" applyBorder="1" applyAlignment="1">
      <alignment horizontal="left"/>
    </xf>
    <xf numFmtId="0" fontId="34" fillId="0" borderId="62" xfId="0" applyFont="1" applyBorder="1" applyAlignment="1">
      <alignment horizontal="left"/>
    </xf>
    <xf numFmtId="0" fontId="34" fillId="0" borderId="60" xfId="0" applyFont="1" applyBorder="1" applyAlignment="1">
      <alignment horizontal="left" vertical="center" wrapText="1" readingOrder="1"/>
    </xf>
    <xf numFmtId="0" fontId="34" fillId="0" borderId="62" xfId="0" applyFont="1" applyBorder="1" applyAlignment="1">
      <alignment horizontal="left" vertical="center" wrapText="1" readingOrder="1"/>
    </xf>
    <xf numFmtId="6" fontId="36" fillId="0" borderId="62" xfId="0" applyNumberFormat="1" applyFont="1" applyBorder="1" applyAlignment="1">
      <alignment horizontal="right" vertical="center" wrapText="1" readingOrder="1"/>
    </xf>
    <xf numFmtId="6" fontId="36" fillId="0" borderId="61" xfId="0" applyNumberFormat="1" applyFont="1" applyBorder="1" applyAlignment="1">
      <alignment horizontal="right" vertical="center" wrapText="1" readingOrder="1"/>
    </xf>
    <xf numFmtId="0" fontId="50" fillId="5" borderId="98" xfId="0" applyFont="1" applyFill="1" applyBorder="1" applyAlignment="1">
      <alignment horizontal="center" vertical="center" wrapText="1"/>
    </xf>
    <xf numFmtId="0" fontId="50" fillId="5" borderId="87" xfId="0" applyFont="1" applyFill="1" applyBorder="1" applyAlignment="1">
      <alignment horizontal="center" vertical="center" wrapText="1"/>
    </xf>
    <xf numFmtId="0" fontId="50" fillId="5" borderId="119" xfId="0" applyFont="1" applyFill="1" applyBorder="1" applyAlignment="1">
      <alignment horizontal="center" vertical="center" wrapText="1"/>
    </xf>
    <xf numFmtId="0" fontId="50" fillId="5" borderId="111" xfId="0" applyFont="1" applyFill="1" applyBorder="1" applyAlignment="1">
      <alignment horizontal="center" vertical="center" wrapText="1"/>
    </xf>
    <xf numFmtId="0" fontId="50" fillId="5" borderId="112" xfId="0" applyFont="1" applyFill="1" applyBorder="1" applyAlignment="1">
      <alignment horizontal="center" vertical="center" wrapText="1"/>
    </xf>
    <xf numFmtId="0" fontId="50" fillId="5" borderId="122" xfId="0" applyFont="1" applyFill="1" applyBorder="1" applyAlignment="1">
      <alignment horizontal="center" vertical="center" wrapText="1"/>
    </xf>
    <xf numFmtId="0" fontId="8" fillId="5" borderId="62" xfId="0" applyFont="1" applyFill="1" applyBorder="1" applyAlignment="1">
      <alignment horizontal="center" vertical="center"/>
    </xf>
    <xf numFmtId="0" fontId="8" fillId="6" borderId="0" xfId="0" applyFont="1" applyFill="1" applyAlignment="1">
      <alignment horizontal="left" vertical="top"/>
    </xf>
    <xf numFmtId="0" fontId="8" fillId="5" borderId="57" xfId="0" applyFont="1" applyFill="1" applyBorder="1" applyAlignment="1" applyProtection="1">
      <alignment horizontal="left" vertical="top" wrapText="1"/>
      <protection locked="0"/>
    </xf>
    <xf numFmtId="0" fontId="50" fillId="5" borderId="57" xfId="0" applyFont="1" applyFill="1" applyBorder="1" applyAlignment="1" applyProtection="1">
      <alignment horizontal="left" vertical="top"/>
      <protection locked="0"/>
    </xf>
    <xf numFmtId="0" fontId="8" fillId="5" borderId="0" xfId="0" applyFont="1" applyFill="1" applyAlignment="1" applyProtection="1">
      <alignment horizontal="left" vertical="top"/>
      <protection locked="0"/>
    </xf>
    <xf numFmtId="0" fontId="50" fillId="5" borderId="0" xfId="0" applyFont="1" applyFill="1" applyAlignment="1" applyProtection="1">
      <alignment horizontal="left" vertical="top"/>
      <protection locked="0"/>
    </xf>
    <xf numFmtId="0" fontId="8" fillId="5" borderId="62" xfId="0" applyFont="1" applyFill="1" applyBorder="1" applyAlignment="1" applyProtection="1">
      <alignment horizontal="left" vertical="top"/>
      <protection locked="0"/>
    </xf>
    <xf numFmtId="0" fontId="50" fillId="5" borderId="62" xfId="0" applyFont="1" applyFill="1" applyBorder="1" applyAlignment="1" applyProtection="1">
      <alignment horizontal="left" vertical="top"/>
      <protection locked="0"/>
    </xf>
    <xf numFmtId="0" fontId="8" fillId="5" borderId="0" xfId="0" applyFont="1" applyFill="1" applyAlignment="1" applyProtection="1">
      <alignment horizontal="left" vertical="top" wrapText="1"/>
      <protection locked="0"/>
    </xf>
    <xf numFmtId="0" fontId="8" fillId="5" borderId="41" xfId="0" applyFont="1" applyFill="1" applyBorder="1" applyAlignment="1" applyProtection="1">
      <alignment horizontal="left" vertical="top" wrapText="1"/>
      <protection locked="0"/>
    </xf>
    <xf numFmtId="0" fontId="8" fillId="5" borderId="41" xfId="0" applyFont="1" applyFill="1" applyBorder="1" applyAlignment="1" applyProtection="1">
      <alignment horizontal="left" vertical="top"/>
      <protection locked="0"/>
    </xf>
    <xf numFmtId="0" fontId="8" fillId="5" borderId="60" xfId="0" applyFont="1" applyFill="1" applyBorder="1" applyAlignment="1" applyProtection="1">
      <alignment horizontal="left" vertical="top"/>
      <protection locked="0"/>
    </xf>
    <xf numFmtId="0" fontId="8" fillId="5" borderId="56" xfId="0" applyFont="1" applyFill="1" applyBorder="1" applyAlignment="1" applyProtection="1">
      <alignment horizontal="left" vertical="top" wrapText="1"/>
      <protection locked="0"/>
    </xf>
    <xf numFmtId="0" fontId="8" fillId="5" borderId="61" xfId="0" applyFont="1" applyFill="1" applyBorder="1" applyAlignment="1">
      <alignment horizontal="center" vertical="center"/>
    </xf>
    <xf numFmtId="0" fontId="50" fillId="5" borderId="42" xfId="0" applyFont="1" applyFill="1" applyBorder="1" applyAlignment="1" applyProtection="1">
      <alignment horizontal="left" vertical="top"/>
      <protection locked="0"/>
    </xf>
    <xf numFmtId="0" fontId="50" fillId="5" borderId="61" xfId="0" applyFont="1" applyFill="1" applyBorder="1" applyAlignment="1" applyProtection="1">
      <alignment horizontal="left" vertical="top"/>
      <protection locked="0"/>
    </xf>
    <xf numFmtId="0" fontId="50" fillId="5" borderId="58" xfId="0" applyFont="1" applyFill="1" applyBorder="1" applyAlignment="1" applyProtection="1">
      <alignment horizontal="left" vertical="top"/>
      <protection locked="0"/>
    </xf>
    <xf numFmtId="0" fontId="8" fillId="6" borderId="1" xfId="0" applyFont="1" applyFill="1" applyBorder="1" applyAlignment="1">
      <alignment horizontal="center" vertical="center"/>
    </xf>
    <xf numFmtId="0" fontId="8" fillId="6" borderId="62" xfId="0" applyFont="1" applyFill="1" applyBorder="1" applyAlignment="1">
      <alignment horizontal="center" vertical="center"/>
    </xf>
    <xf numFmtId="0" fontId="8" fillId="6" borderId="76"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124" xfId="0" applyFont="1" applyFill="1" applyBorder="1" applyAlignment="1">
      <alignment horizontal="center" vertical="center"/>
    </xf>
    <xf numFmtId="0" fontId="8" fillId="5" borderId="0" xfId="0" applyFont="1" applyFill="1" applyAlignment="1" applyProtection="1">
      <alignment horizontal="center" vertical="center"/>
      <protection locked="0"/>
    </xf>
    <xf numFmtId="0" fontId="8" fillId="5" borderId="62" xfId="0" applyFont="1" applyFill="1" applyBorder="1" applyAlignment="1" applyProtection="1">
      <alignment horizontal="center" vertical="center"/>
      <protection locked="0"/>
    </xf>
    <xf numFmtId="0" fontId="8" fillId="5" borderId="0" xfId="0" applyFont="1" applyFill="1" applyAlignment="1" applyProtection="1">
      <alignment horizontal="left" vertical="center" wrapText="1"/>
      <protection locked="0"/>
    </xf>
    <xf numFmtId="0" fontId="8" fillId="5" borderId="57" xfId="0" applyFont="1" applyFill="1" applyBorder="1" applyAlignment="1">
      <alignment horizontal="center" vertical="center"/>
    </xf>
    <xf numFmtId="0" fontId="8" fillId="5" borderId="58" xfId="0" applyFont="1" applyFill="1" applyBorder="1" applyAlignment="1">
      <alignment horizontal="center" vertical="center"/>
    </xf>
    <xf numFmtId="0" fontId="8" fillId="6" borderId="57" xfId="0" applyFont="1" applyFill="1" applyBorder="1" applyAlignment="1">
      <alignment horizontal="center" vertical="center"/>
    </xf>
    <xf numFmtId="0" fontId="8" fillId="6" borderId="123" xfId="0" applyFont="1" applyFill="1" applyBorder="1" applyAlignment="1">
      <alignment horizontal="center" vertical="center"/>
    </xf>
    <xf numFmtId="0" fontId="8" fillId="0" borderId="7" xfId="0" applyFont="1" applyBorder="1" applyAlignment="1">
      <alignment horizontal="center" vertical="center"/>
    </xf>
    <xf numFmtId="0" fontId="8" fillId="0" borderId="9" xfId="0" applyFont="1" applyBorder="1" applyAlignment="1">
      <alignment horizontal="center"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8" fillId="0" borderId="62" xfId="0" applyFont="1" applyBorder="1" applyAlignment="1">
      <alignment horizontal="center" vertical="center"/>
    </xf>
    <xf numFmtId="0" fontId="8" fillId="0" borderId="76" xfId="0" applyFont="1" applyBorder="1" applyAlignment="1">
      <alignment horizontal="center" vertical="center"/>
    </xf>
    <xf numFmtId="0" fontId="8" fillId="5" borderId="28" xfId="0" applyFont="1" applyFill="1" applyBorder="1" applyAlignment="1">
      <alignment horizontal="center" vertical="center"/>
    </xf>
    <xf numFmtId="0" fontId="8" fillId="5" borderId="37" xfId="0" applyFont="1" applyFill="1" applyBorder="1" applyAlignment="1">
      <alignment horizontal="center" vertical="center"/>
    </xf>
    <xf numFmtId="0" fontId="8" fillId="5" borderId="29" xfId="0" applyFont="1" applyFill="1" applyBorder="1" applyAlignment="1">
      <alignment horizontal="center" vertical="center"/>
    </xf>
    <xf numFmtId="0" fontId="8" fillId="5" borderId="39" xfId="0" applyFont="1" applyFill="1" applyBorder="1" applyAlignment="1">
      <alignment horizontal="center" vertical="center"/>
    </xf>
    <xf numFmtId="0" fontId="8" fillId="5" borderId="1" xfId="0" applyFont="1" applyFill="1" applyBorder="1" applyAlignment="1">
      <alignment horizontal="center" vertical="center"/>
    </xf>
    <xf numFmtId="0" fontId="7" fillId="5" borderId="7" xfId="0" applyFont="1" applyFill="1" applyBorder="1" applyAlignment="1">
      <alignment horizontal="left" vertical="center" wrapText="1"/>
    </xf>
    <xf numFmtId="0" fontId="8" fillId="5" borderId="0" xfId="0" applyFont="1" applyFill="1" applyAlignment="1">
      <alignment horizontal="left"/>
    </xf>
    <xf numFmtId="0" fontId="8" fillId="5" borderId="0" xfId="0" applyFont="1" applyFill="1" applyAlignment="1">
      <alignment horizontal="left" vertical="center" wrapText="1"/>
    </xf>
    <xf numFmtId="0" fontId="8" fillId="5" borderId="28" xfId="0" applyFont="1" applyFill="1" applyBorder="1" applyAlignment="1">
      <alignment horizontal="left"/>
    </xf>
    <xf numFmtId="0" fontId="8" fillId="5" borderId="10" xfId="0" applyFont="1" applyFill="1" applyBorder="1" applyAlignment="1">
      <alignment horizontal="left"/>
    </xf>
    <xf numFmtId="0" fontId="8" fillId="0" borderId="0" xfId="0" applyFont="1" applyAlignment="1" applyProtection="1">
      <alignment horizontal="left" vertical="top" wrapText="1"/>
      <protection locked="0"/>
    </xf>
    <xf numFmtId="0" fontId="8" fillId="0" borderId="0" xfId="0" applyFont="1" applyAlignment="1" applyProtection="1">
      <alignment horizontal="left" vertical="top"/>
      <protection locked="0"/>
    </xf>
    <xf numFmtId="0" fontId="8" fillId="0" borderId="0" xfId="0" applyFont="1" applyAlignment="1">
      <alignment horizontal="left" vertical="top"/>
    </xf>
    <xf numFmtId="0" fontId="67" fillId="5" borderId="98" xfId="0" applyFont="1" applyFill="1" applyBorder="1" applyAlignment="1">
      <alignment horizontal="center" wrapText="1"/>
    </xf>
    <xf numFmtId="0" fontId="67" fillId="5" borderId="5" xfId="0" applyFont="1" applyFill="1" applyBorder="1" applyAlignment="1">
      <alignment horizontal="center" wrapText="1"/>
    </xf>
    <xf numFmtId="0" fontId="67" fillId="5" borderId="124" xfId="0" applyFont="1" applyFill="1" applyBorder="1" applyAlignment="1">
      <alignment horizontal="center" wrapText="1"/>
    </xf>
    <xf numFmtId="0" fontId="50" fillId="5" borderId="5" xfId="0" applyFont="1" applyFill="1" applyBorder="1" applyAlignment="1">
      <alignment horizontal="center" vertical="center" wrapText="1"/>
    </xf>
    <xf numFmtId="0" fontId="50" fillId="5" borderId="124" xfId="0" applyFont="1" applyFill="1" applyBorder="1" applyAlignment="1">
      <alignment horizontal="center" vertical="center" wrapText="1"/>
    </xf>
    <xf numFmtId="0" fontId="67" fillId="5" borderId="87" xfId="0" applyFont="1" applyFill="1" applyBorder="1" applyAlignment="1">
      <alignment horizontal="center" wrapText="1"/>
    </xf>
    <xf numFmtId="0" fontId="67" fillId="5" borderId="119" xfId="0" applyFont="1" applyFill="1" applyBorder="1" applyAlignment="1">
      <alignment horizontal="center" wrapText="1"/>
    </xf>
    <xf numFmtId="0" fontId="50" fillId="5" borderId="134" xfId="0" applyFont="1" applyFill="1" applyBorder="1" applyAlignment="1">
      <alignment horizontal="center"/>
    </xf>
    <xf numFmtId="0" fontId="50" fillId="5" borderId="87" xfId="0" applyFont="1" applyFill="1" applyBorder="1" applyAlignment="1">
      <alignment horizontal="center"/>
    </xf>
    <xf numFmtId="0" fontId="50" fillId="5" borderId="4" xfId="0" applyFont="1" applyFill="1" applyBorder="1" applyAlignment="1">
      <alignment horizontal="center"/>
    </xf>
    <xf numFmtId="0" fontId="8" fillId="5" borderId="5" xfId="0" applyFont="1" applyFill="1" applyBorder="1" applyAlignment="1">
      <alignment horizontal="left"/>
    </xf>
    <xf numFmtId="0" fontId="8" fillId="5" borderId="5" xfId="0" applyFont="1" applyFill="1" applyBorder="1" applyAlignment="1">
      <alignment horizontal="left" vertical="center"/>
    </xf>
    <xf numFmtId="0" fontId="8" fillId="0" borderId="36"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5" xfId="0" applyFont="1" applyBorder="1" applyAlignment="1">
      <alignment horizontal="center" vertical="center"/>
    </xf>
    <xf numFmtId="0" fontId="8" fillId="0" borderId="4" xfId="0" applyFont="1" applyBorder="1" applyAlignment="1">
      <alignment horizontal="center" vertical="center"/>
    </xf>
    <xf numFmtId="0" fontId="8" fillId="0" borderId="34" xfId="0" applyFont="1" applyBorder="1" applyAlignment="1">
      <alignment horizontal="center" vertical="center"/>
    </xf>
    <xf numFmtId="0" fontId="8" fillId="0" borderId="28" xfId="0" applyFont="1" applyBorder="1" applyAlignment="1">
      <alignment horizontal="center" vertical="center"/>
    </xf>
    <xf numFmtId="0" fontId="8" fillId="0" borderId="31" xfId="0" applyFont="1" applyBorder="1" applyAlignment="1">
      <alignment horizontal="center" vertical="center"/>
    </xf>
    <xf numFmtId="0" fontId="7" fillId="5" borderId="9" xfId="0" applyFont="1" applyFill="1" applyBorder="1" applyAlignment="1">
      <alignment horizontal="left" vertical="center" wrapText="1"/>
    </xf>
    <xf numFmtId="0" fontId="7" fillId="5" borderId="10" xfId="0" applyFont="1" applyFill="1" applyBorder="1" applyAlignment="1">
      <alignment horizontal="left"/>
    </xf>
    <xf numFmtId="0" fontId="7" fillId="5" borderId="12" xfId="0" applyFont="1" applyFill="1" applyBorder="1" applyAlignment="1">
      <alignment horizontal="left"/>
    </xf>
    <xf numFmtId="0" fontId="8" fillId="5" borderId="7" xfId="0" applyFont="1" applyFill="1" applyBorder="1" applyAlignment="1">
      <alignment horizontal="left"/>
    </xf>
    <xf numFmtId="0" fontId="8" fillId="5" borderId="9" xfId="0" applyFont="1" applyFill="1" applyBorder="1" applyAlignment="1">
      <alignment horizontal="left"/>
    </xf>
    <xf numFmtId="0" fontId="8" fillId="5" borderId="1" xfId="0" applyFont="1" applyFill="1" applyBorder="1" applyAlignment="1">
      <alignment horizontal="left" vertical="center" wrapText="1"/>
    </xf>
    <xf numFmtId="0" fontId="8" fillId="5" borderId="37" xfId="0" applyFont="1" applyFill="1" applyBorder="1" applyAlignment="1">
      <alignment horizontal="left"/>
    </xf>
    <xf numFmtId="0" fontId="8" fillId="5" borderId="28" xfId="0" applyFont="1" applyFill="1" applyBorder="1" applyAlignment="1">
      <alignment horizontal="left" vertical="center"/>
    </xf>
    <xf numFmtId="0" fontId="7" fillId="5" borderId="6" xfId="0" applyFont="1" applyFill="1" applyBorder="1" applyAlignment="1">
      <alignment horizontal="left" vertical="center"/>
    </xf>
    <xf numFmtId="0" fontId="7" fillId="5" borderId="7" xfId="0" applyFont="1" applyFill="1" applyBorder="1" applyAlignment="1">
      <alignment horizontal="left" vertical="center"/>
    </xf>
    <xf numFmtId="0" fontId="7" fillId="5" borderId="11" xfId="0" applyFont="1" applyFill="1" applyBorder="1" applyAlignment="1">
      <alignment horizontal="left" vertical="center"/>
    </xf>
    <xf numFmtId="0" fontId="7" fillId="5" borderId="10" xfId="0" applyFont="1" applyFill="1" applyBorder="1" applyAlignment="1">
      <alignment horizontal="left" vertical="center"/>
    </xf>
    <xf numFmtId="0" fontId="8" fillId="5" borderId="140" xfId="0" applyFont="1" applyFill="1" applyBorder="1" applyAlignment="1">
      <alignment horizontal="center" vertical="center"/>
    </xf>
    <xf numFmtId="0" fontId="50" fillId="5" borderId="0" xfId="0" applyFont="1" applyFill="1" applyAlignment="1" applyProtection="1">
      <alignment horizontal="center" vertical="center"/>
      <protection locked="0"/>
    </xf>
    <xf numFmtId="0" fontId="50" fillId="5" borderId="10" xfId="0" applyFont="1" applyFill="1" applyBorder="1" applyAlignment="1" applyProtection="1">
      <alignment horizontal="center" vertical="center"/>
      <protection locked="0"/>
    </xf>
    <xf numFmtId="0" fontId="7" fillId="5" borderId="7" xfId="0" applyFont="1" applyFill="1" applyBorder="1" applyAlignment="1">
      <alignment horizontal="center" vertical="center"/>
    </xf>
    <xf numFmtId="0" fontId="8" fillId="5" borderId="0" xfId="0" applyFont="1" applyFill="1" applyAlignment="1">
      <alignment horizontal="center"/>
    </xf>
    <xf numFmtId="0" fontId="8" fillId="5" borderId="42" xfId="0" applyFont="1" applyFill="1" applyBorder="1" applyAlignment="1">
      <alignment horizontal="center"/>
    </xf>
    <xf numFmtId="0" fontId="50" fillId="5" borderId="4" xfId="0" applyFont="1" applyFill="1" applyBorder="1" applyAlignment="1" applyProtection="1">
      <alignment horizontal="center" vertical="center"/>
      <protection locked="0"/>
    </xf>
    <xf numFmtId="0" fontId="50" fillId="5" borderId="14" xfId="0" applyFont="1" applyFill="1" applyBorder="1" applyAlignment="1" applyProtection="1">
      <alignment horizontal="center" vertical="center"/>
      <protection locked="0"/>
    </xf>
    <xf numFmtId="0" fontId="7" fillId="5" borderId="10" xfId="0" applyFont="1" applyFill="1" applyBorder="1" applyAlignment="1">
      <alignment horizontal="left" vertical="center" wrapText="1"/>
    </xf>
    <xf numFmtId="0" fontId="7" fillId="5" borderId="12" xfId="0" applyFont="1" applyFill="1" applyBorder="1" applyAlignment="1">
      <alignment horizontal="left" vertical="center" wrapText="1"/>
    </xf>
    <xf numFmtId="0" fontId="8" fillId="5" borderId="1" xfId="0" applyFont="1" applyFill="1" applyBorder="1" applyAlignment="1">
      <alignment horizontal="left"/>
    </xf>
    <xf numFmtId="0" fontId="8" fillId="5" borderId="41" xfId="0" applyFont="1" applyFill="1" applyBorder="1" applyAlignment="1" applyProtection="1">
      <alignment horizontal="center" vertical="top"/>
      <protection locked="0"/>
    </xf>
    <xf numFmtId="0" fontId="8" fillId="5" borderId="42" xfId="0" applyFont="1" applyFill="1" applyBorder="1" applyAlignment="1" applyProtection="1">
      <alignment horizontal="center" vertical="top"/>
      <protection locked="0"/>
    </xf>
    <xf numFmtId="0" fontId="50" fillId="5" borderId="98" xfId="0" applyFont="1" applyFill="1" applyBorder="1" applyAlignment="1">
      <alignment horizontal="center" vertical="center"/>
    </xf>
    <xf numFmtId="0" fontId="50" fillId="5" borderId="87" xfId="0" applyFont="1" applyFill="1" applyBorder="1" applyAlignment="1">
      <alignment horizontal="center" vertical="center"/>
    </xf>
    <xf numFmtId="0" fontId="50" fillId="5" borderId="109" xfId="0" applyFont="1" applyFill="1" applyBorder="1" applyAlignment="1">
      <alignment horizontal="center" vertical="center"/>
    </xf>
    <xf numFmtId="0" fontId="8" fillId="5" borderId="7" xfId="0" applyFont="1" applyFill="1" applyBorder="1" applyAlignment="1" applyProtection="1">
      <alignment horizontal="left" vertical="top"/>
      <protection locked="0"/>
    </xf>
    <xf numFmtId="0" fontId="8" fillId="5" borderId="4" xfId="0" applyFont="1" applyFill="1" applyBorder="1" applyAlignment="1" applyProtection="1">
      <alignment horizontal="left" vertical="top"/>
      <protection locked="0"/>
    </xf>
    <xf numFmtId="0" fontId="8" fillId="5" borderId="10" xfId="0" applyFont="1" applyFill="1" applyBorder="1" applyAlignment="1" applyProtection="1">
      <alignment horizontal="left" vertical="top"/>
      <protection locked="0"/>
    </xf>
    <xf numFmtId="0" fontId="8" fillId="5" borderId="14" xfId="0" applyFont="1" applyFill="1" applyBorder="1" applyAlignment="1" applyProtection="1">
      <alignment horizontal="left" vertical="top"/>
      <protection locked="0"/>
    </xf>
    <xf numFmtId="0" fontId="7" fillId="5" borderId="7"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8" fillId="5" borderId="7" xfId="0" applyFont="1" applyFill="1" applyBorder="1" applyAlignment="1">
      <alignment horizontal="center"/>
    </xf>
    <xf numFmtId="0" fontId="8" fillId="5" borderId="1" xfId="0" applyFont="1" applyFill="1" applyBorder="1" applyAlignment="1">
      <alignment horizontal="center"/>
    </xf>
    <xf numFmtId="0" fontId="8" fillId="5" borderId="4" xfId="0" applyFont="1" applyFill="1" applyBorder="1" applyAlignment="1" applyProtection="1">
      <alignment horizontal="center" vertical="center"/>
      <protection locked="0"/>
    </xf>
    <xf numFmtId="0" fontId="8" fillId="5" borderId="10" xfId="0" applyFont="1" applyFill="1" applyBorder="1" applyAlignment="1" applyProtection="1">
      <alignment horizontal="center" vertical="center"/>
      <protection locked="0"/>
    </xf>
    <xf numFmtId="0" fontId="8" fillId="5" borderId="14" xfId="0" applyFont="1" applyFill="1" applyBorder="1" applyAlignment="1" applyProtection="1">
      <alignment horizontal="center" vertical="center"/>
      <protection locked="0"/>
    </xf>
    <xf numFmtId="0" fontId="8" fillId="5" borderId="28" xfId="0" applyFont="1" applyFill="1" applyBorder="1" applyAlignment="1" applyProtection="1">
      <alignment horizontal="center" vertical="center"/>
      <protection locked="0"/>
    </xf>
    <xf numFmtId="0" fontId="8" fillId="5" borderId="31" xfId="0" applyFont="1" applyFill="1" applyBorder="1" applyAlignment="1" applyProtection="1">
      <alignment horizontal="center" vertical="center"/>
      <protection locked="0"/>
    </xf>
    <xf numFmtId="0" fontId="8" fillId="5" borderId="41" xfId="0" applyFont="1" applyFill="1" applyBorder="1" applyAlignment="1">
      <alignment horizontal="left" vertical="top" wrapText="1"/>
    </xf>
    <xf numFmtId="0" fontId="8" fillId="5" borderId="28" xfId="0" applyFont="1" applyFill="1" applyBorder="1" applyAlignment="1">
      <alignment horizontal="center"/>
    </xf>
    <xf numFmtId="0" fontId="8" fillId="5" borderId="37" xfId="0" applyFont="1" applyFill="1" applyBorder="1" applyAlignment="1">
      <alignment horizontal="center"/>
    </xf>
    <xf numFmtId="0" fontId="8" fillId="5" borderId="7" xfId="0" applyFont="1" applyFill="1" applyBorder="1" applyAlignment="1">
      <alignment horizontal="left" vertical="center"/>
    </xf>
    <xf numFmtId="0" fontId="8" fillId="5" borderId="15" xfId="0" applyFont="1" applyFill="1" applyBorder="1" applyAlignment="1">
      <alignment horizontal="left" vertical="center" wrapText="1"/>
    </xf>
    <xf numFmtId="0" fontId="8" fillId="5" borderId="17" xfId="0" applyFont="1" applyFill="1" applyBorder="1" applyAlignment="1">
      <alignment horizontal="left" vertical="center" wrapText="1"/>
    </xf>
    <xf numFmtId="0" fontId="8" fillId="5" borderId="12" xfId="0" applyFont="1" applyFill="1" applyBorder="1" applyAlignment="1">
      <alignment horizontal="center" vertical="center"/>
    </xf>
    <xf numFmtId="0" fontId="8" fillId="5" borderId="16" xfId="0" applyFont="1" applyFill="1" applyBorder="1" applyAlignment="1">
      <alignment horizontal="left" vertical="center"/>
    </xf>
    <xf numFmtId="0" fontId="8" fillId="5" borderId="33" xfId="0" applyFont="1" applyFill="1" applyBorder="1" applyAlignment="1">
      <alignment horizontal="left" vertical="center"/>
    </xf>
    <xf numFmtId="0" fontId="8" fillId="5" borderId="9" xfId="0" applyFont="1" applyFill="1" applyBorder="1" applyAlignment="1">
      <alignment horizontal="center" vertical="center"/>
    </xf>
    <xf numFmtId="0" fontId="8" fillId="5" borderId="10" xfId="0" applyFont="1" applyFill="1" applyBorder="1" applyAlignment="1">
      <alignment horizontal="left" vertical="center"/>
    </xf>
    <xf numFmtId="0" fontId="8" fillId="5" borderId="75" xfId="0" applyFont="1" applyFill="1" applyBorder="1" applyAlignment="1">
      <alignment horizontal="left" vertical="top"/>
    </xf>
    <xf numFmtId="0" fontId="8" fillId="5" borderId="19" xfId="0" applyFont="1" applyFill="1" applyBorder="1" applyAlignment="1">
      <alignment horizontal="left" vertical="top"/>
    </xf>
    <xf numFmtId="0" fontId="8" fillId="5" borderId="42" xfId="0" applyFont="1" applyFill="1" applyBorder="1" applyAlignment="1" applyProtection="1">
      <alignment horizontal="left" vertical="top"/>
      <protection locked="0"/>
    </xf>
    <xf numFmtId="0" fontId="8" fillId="5" borderId="45" xfId="0" applyFont="1" applyFill="1" applyBorder="1" applyAlignment="1" applyProtection="1">
      <alignment horizontal="left" vertical="top"/>
      <protection locked="0"/>
    </xf>
    <xf numFmtId="0" fontId="50" fillId="5" borderId="111" xfId="0" applyFont="1" applyFill="1" applyBorder="1" applyAlignment="1" applyProtection="1">
      <alignment horizontal="center" vertical="center"/>
      <protection locked="0"/>
    </xf>
    <xf numFmtId="0" fontId="50" fillId="5" borderId="112" xfId="0" applyFont="1" applyFill="1" applyBorder="1" applyAlignment="1" applyProtection="1">
      <alignment horizontal="center" vertical="center"/>
      <protection locked="0"/>
    </xf>
    <xf numFmtId="0" fontId="50" fillId="5" borderId="110" xfId="0" applyFont="1" applyFill="1" applyBorder="1" applyAlignment="1" applyProtection="1">
      <alignment horizontal="center" vertical="center"/>
      <protection locked="0"/>
    </xf>
    <xf numFmtId="0" fontId="50" fillId="5" borderId="98" xfId="0" applyFont="1" applyFill="1" applyBorder="1" applyAlignment="1" applyProtection="1">
      <alignment horizontal="center" vertical="center"/>
      <protection locked="0"/>
    </xf>
    <xf numFmtId="0" fontId="50" fillId="5" borderId="87" xfId="0" applyFont="1" applyFill="1" applyBorder="1" applyAlignment="1" applyProtection="1">
      <alignment horizontal="center" vertical="center"/>
      <protection locked="0"/>
    </xf>
    <xf numFmtId="0" fontId="50" fillId="5" borderId="109" xfId="0" applyFont="1" applyFill="1" applyBorder="1" applyAlignment="1" applyProtection="1">
      <alignment horizontal="center" vertical="center"/>
      <protection locked="0"/>
    </xf>
    <xf numFmtId="0" fontId="8" fillId="5" borderId="22" xfId="0" applyFont="1" applyFill="1" applyBorder="1" applyAlignment="1">
      <alignment horizontal="left" vertical="center" wrapText="1"/>
    </xf>
    <xf numFmtId="0" fontId="8" fillId="5" borderId="92" xfId="0" applyFont="1" applyFill="1" applyBorder="1" applyAlignment="1" applyProtection="1">
      <alignment horizontal="left" vertical="top"/>
      <protection locked="0"/>
    </xf>
    <xf numFmtId="0" fontId="8" fillId="5" borderId="20" xfId="0" applyFont="1" applyFill="1" applyBorder="1" applyAlignment="1" applyProtection="1">
      <alignment horizontal="left" vertical="top"/>
      <protection locked="0"/>
    </xf>
    <xf numFmtId="0" fontId="8" fillId="5" borderId="114" xfId="0" applyFont="1" applyFill="1" applyBorder="1" applyAlignment="1" applyProtection="1">
      <alignment horizontal="left" vertical="top"/>
      <protection locked="0"/>
    </xf>
    <xf numFmtId="0" fontId="8" fillId="5" borderId="7" xfId="0" applyFont="1" applyFill="1" applyBorder="1" applyAlignment="1">
      <alignment horizontal="left" vertical="center" wrapText="1"/>
    </xf>
    <xf numFmtId="0" fontId="39" fillId="5" borderId="36" xfId="0" applyFont="1" applyFill="1" applyBorder="1" applyAlignment="1">
      <alignment horizontal="center" vertical="center" wrapText="1"/>
    </xf>
    <xf numFmtId="0" fontId="39" fillId="5" borderId="29" xfId="0" applyFont="1" applyFill="1" applyBorder="1" applyAlignment="1">
      <alignment horizontal="center" vertical="center" wrapText="1"/>
    </xf>
    <xf numFmtId="0" fontId="8" fillId="5" borderId="0" xfId="0" applyFont="1" applyFill="1" applyAlignment="1" applyProtection="1">
      <alignment horizontal="center" vertical="center" wrapText="1"/>
      <protection locked="0"/>
    </xf>
    <xf numFmtId="0" fontId="8" fillId="5" borderId="34" xfId="0" applyFont="1" applyFill="1" applyBorder="1" applyAlignment="1">
      <alignment horizontal="center" vertical="center"/>
    </xf>
    <xf numFmtId="0" fontId="8" fillId="0" borderId="0" xfId="0" applyFont="1" applyAlignment="1">
      <alignment horizontal="left" vertical="center" wrapText="1"/>
    </xf>
    <xf numFmtId="164" fontId="8" fillId="5" borderId="0" xfId="0" applyNumberFormat="1" applyFont="1" applyFill="1" applyAlignment="1" applyProtection="1">
      <alignment horizontal="center" vertical="center"/>
      <protection locked="0"/>
    </xf>
    <xf numFmtId="164" fontId="8" fillId="5" borderId="28" xfId="0" applyNumberFormat="1" applyFont="1" applyFill="1" applyBorder="1" applyAlignment="1" applyProtection="1">
      <alignment horizontal="center" vertical="center"/>
      <protection locked="0"/>
    </xf>
    <xf numFmtId="0" fontId="8" fillId="5" borderId="41" xfId="0" applyFont="1" applyFill="1" applyBorder="1" applyAlignment="1" applyProtection="1">
      <alignment horizontal="center" vertical="center"/>
      <protection locked="0"/>
    </xf>
    <xf numFmtId="0" fontId="8" fillId="5" borderId="89" xfId="0" applyFont="1" applyFill="1" applyBorder="1" applyAlignment="1" applyProtection="1">
      <alignment horizontal="center" vertical="center"/>
      <protection locked="0"/>
    </xf>
    <xf numFmtId="0" fontId="8" fillId="5" borderId="7" xfId="0" applyFont="1" applyFill="1" applyBorder="1" applyAlignment="1" applyProtection="1">
      <alignment horizontal="center" vertical="center"/>
      <protection locked="0"/>
    </xf>
    <xf numFmtId="0" fontId="8" fillId="5" borderId="20" xfId="0" applyFont="1" applyFill="1" applyBorder="1" applyAlignment="1" applyProtection="1">
      <alignment horizontal="center" vertical="center"/>
      <protection locked="0"/>
    </xf>
    <xf numFmtId="0" fontId="8" fillId="5" borderId="0" xfId="0" applyFont="1" applyFill="1" applyAlignment="1">
      <alignment vertical="center"/>
    </xf>
    <xf numFmtId="0" fontId="50" fillId="5" borderId="0" xfId="0" applyFont="1" applyFill="1" applyAlignment="1">
      <alignment horizontal="center" vertical="center" wrapText="1"/>
    </xf>
    <xf numFmtId="0" fontId="50" fillId="5" borderId="4" xfId="0" applyFont="1" applyFill="1" applyBorder="1" applyAlignment="1">
      <alignment horizontal="center" vertical="center" wrapText="1"/>
    </xf>
    <xf numFmtId="0" fontId="50" fillId="5" borderId="28" xfId="0" applyFont="1" applyFill="1" applyBorder="1" applyAlignment="1">
      <alignment horizontal="center" vertical="center" wrapText="1"/>
    </xf>
    <xf numFmtId="0" fontId="50" fillId="5" borderId="31" xfId="0" applyFont="1" applyFill="1" applyBorder="1" applyAlignment="1">
      <alignment horizontal="center" vertical="center" wrapText="1"/>
    </xf>
    <xf numFmtId="0" fontId="50" fillId="5" borderId="87" xfId="0" applyFont="1" applyFill="1" applyBorder="1" applyAlignment="1" applyProtection="1">
      <alignment horizontal="center" vertical="center" wrapText="1"/>
      <protection locked="0"/>
    </xf>
    <xf numFmtId="0" fontId="50" fillId="5" borderId="8" xfId="0" applyFont="1" applyFill="1" applyBorder="1" applyAlignment="1" applyProtection="1">
      <alignment horizontal="center" vertical="center" wrapText="1"/>
      <protection locked="0"/>
    </xf>
    <xf numFmtId="0" fontId="50" fillId="5" borderId="112" xfId="0" applyFont="1" applyFill="1" applyBorder="1" applyAlignment="1" applyProtection="1">
      <alignment horizontal="center" vertical="center" wrapText="1"/>
      <protection locked="0"/>
    </xf>
    <xf numFmtId="0" fontId="50" fillId="5" borderId="107" xfId="0" applyFont="1" applyFill="1" applyBorder="1" applyAlignment="1" applyProtection="1">
      <alignment horizontal="center" vertical="center" wrapText="1"/>
      <protection locked="0"/>
    </xf>
    <xf numFmtId="0" fontId="50" fillId="5" borderId="109" xfId="0" applyFont="1" applyFill="1" applyBorder="1" applyAlignment="1" applyProtection="1">
      <alignment horizontal="center" vertical="center" wrapText="1"/>
      <protection locked="0"/>
    </xf>
    <xf numFmtId="0" fontId="50" fillId="5" borderId="110" xfId="0" applyFont="1" applyFill="1" applyBorder="1" applyAlignment="1" applyProtection="1">
      <alignment horizontal="center" vertical="center" wrapText="1"/>
      <protection locked="0"/>
    </xf>
    <xf numFmtId="0" fontId="8" fillId="5" borderId="37" xfId="0" applyFont="1" applyFill="1" applyBorder="1" applyAlignment="1">
      <alignment horizontal="left" vertical="center"/>
    </xf>
    <xf numFmtId="0" fontId="8" fillId="5" borderId="91" xfId="0" applyFont="1" applyFill="1" applyBorder="1" applyAlignment="1">
      <alignment horizontal="center" vertical="center"/>
    </xf>
    <xf numFmtId="0" fontId="8" fillId="5" borderId="63" xfId="0" applyFont="1" applyFill="1" applyBorder="1" applyAlignment="1">
      <alignment horizontal="center"/>
    </xf>
    <xf numFmtId="0" fontId="50" fillId="5" borderId="7" xfId="0" applyFont="1" applyFill="1" applyBorder="1" applyAlignment="1">
      <alignment horizontal="center"/>
    </xf>
    <xf numFmtId="0" fontId="50" fillId="5" borderId="20" xfId="0" applyFont="1" applyFill="1" applyBorder="1" applyAlignment="1">
      <alignment horizontal="center"/>
    </xf>
    <xf numFmtId="0" fontId="8" fillId="5" borderId="41" xfId="0" applyFont="1" applyFill="1" applyBorder="1" applyAlignment="1" applyProtection="1">
      <alignment horizontal="center" vertical="top" wrapText="1"/>
      <protection locked="0"/>
    </xf>
    <xf numFmtId="0" fontId="8" fillId="5" borderId="42" xfId="0" applyFont="1" applyFill="1" applyBorder="1" applyAlignment="1" applyProtection="1">
      <alignment horizontal="center" vertical="top" wrapText="1"/>
      <protection locked="0"/>
    </xf>
    <xf numFmtId="0" fontId="8" fillId="5" borderId="100" xfId="0" applyFont="1" applyFill="1" applyBorder="1" applyAlignment="1" applyProtection="1">
      <alignment horizontal="center" vertical="top" wrapText="1"/>
      <protection locked="0"/>
    </xf>
    <xf numFmtId="0" fontId="8" fillId="5" borderId="91" xfId="0" applyFont="1" applyFill="1" applyBorder="1" applyAlignment="1" applyProtection="1">
      <alignment horizontal="center" vertical="top" wrapText="1"/>
      <protection locked="0"/>
    </xf>
    <xf numFmtId="0" fontId="8" fillId="5" borderId="41" xfId="0" applyFont="1" applyFill="1" applyBorder="1" applyAlignment="1" applyProtection="1">
      <alignment horizontal="left" vertical="center" wrapText="1"/>
      <protection locked="0"/>
    </xf>
    <xf numFmtId="0" fontId="8" fillId="5" borderId="42" xfId="0" applyFont="1" applyFill="1" applyBorder="1" applyAlignment="1" applyProtection="1">
      <alignment horizontal="center" vertical="center"/>
      <protection locked="0"/>
    </xf>
    <xf numFmtId="0" fontId="8" fillId="5" borderId="41" xfId="0" applyFont="1" applyFill="1" applyBorder="1" applyAlignment="1" applyProtection="1">
      <alignment horizontal="center" vertical="center" wrapText="1"/>
      <protection locked="0"/>
    </xf>
    <xf numFmtId="0" fontId="8" fillId="5" borderId="42" xfId="0" applyFont="1" applyFill="1" applyBorder="1" applyAlignment="1" applyProtection="1">
      <alignment horizontal="center" vertical="center" wrapText="1"/>
      <protection locked="0"/>
    </xf>
    <xf numFmtId="0" fontId="50" fillId="5" borderId="8" xfId="0" applyFont="1" applyFill="1" applyBorder="1" applyAlignment="1" applyProtection="1">
      <alignment horizontal="center" vertical="center"/>
      <protection locked="0"/>
    </xf>
    <xf numFmtId="0" fontId="8" fillId="5" borderId="22" xfId="0" applyFont="1" applyFill="1" applyBorder="1" applyAlignment="1">
      <alignment horizontal="left" vertical="center"/>
    </xf>
    <xf numFmtId="0" fontId="8" fillId="5" borderId="32" xfId="0" applyFont="1" applyFill="1" applyBorder="1" applyAlignment="1">
      <alignment horizontal="left" vertical="center"/>
    </xf>
    <xf numFmtId="0" fontId="8" fillId="5" borderId="40" xfId="0" applyFont="1" applyFill="1" applyBorder="1" applyAlignment="1">
      <alignment horizontal="left" vertical="center"/>
    </xf>
    <xf numFmtId="0" fontId="8" fillId="5" borderId="29" xfId="0" applyFont="1" applyFill="1" applyBorder="1" applyAlignment="1">
      <alignment horizontal="left" vertical="center"/>
    </xf>
    <xf numFmtId="0" fontId="7" fillId="4" borderId="13" xfId="0" applyFont="1" applyFill="1" applyBorder="1" applyAlignment="1">
      <alignment horizontal="left" vertical="center"/>
    </xf>
    <xf numFmtId="0" fontId="7" fillId="4" borderId="44" xfId="0" applyFont="1" applyFill="1" applyBorder="1" applyAlignment="1">
      <alignment horizontal="left" vertical="center"/>
    </xf>
    <xf numFmtId="0" fontId="7" fillId="5" borderId="0" xfId="0" applyFont="1" applyFill="1" applyAlignment="1">
      <alignment horizontal="center" vertical="center" wrapText="1"/>
    </xf>
    <xf numFmtId="0" fontId="7" fillId="18" borderId="0" xfId="0" applyFont="1" applyFill="1" applyAlignment="1" applyProtection="1">
      <alignment horizontal="center" vertical="center" wrapText="1"/>
      <protection locked="0"/>
    </xf>
    <xf numFmtId="0" fontId="54" fillId="0" borderId="0" xfId="0" applyFont="1" applyAlignment="1">
      <alignment horizontal="center"/>
    </xf>
    <xf numFmtId="0" fontId="9" fillId="0" borderId="48" xfId="0" applyFont="1" applyBorder="1"/>
    <xf numFmtId="0" fontId="9" fillId="0" borderId="49" xfId="0" applyFont="1" applyBorder="1"/>
    <xf numFmtId="0" fontId="30" fillId="14" borderId="0" xfId="0" applyFont="1" applyFill="1" applyAlignment="1">
      <alignment horizontal="center" vertical="center"/>
    </xf>
    <xf numFmtId="0" fontId="5" fillId="0" borderId="0" xfId="0" applyFont="1" applyAlignment="1">
      <alignment horizontal="center" vertical="center" wrapText="1"/>
    </xf>
    <xf numFmtId="0" fontId="9" fillId="0" borderId="71" xfId="0" applyFont="1" applyBorder="1"/>
    <xf numFmtId="0" fontId="9" fillId="0" borderId="72" xfId="0" applyFont="1" applyBorder="1"/>
    <xf numFmtId="0" fontId="4" fillId="10" borderId="48" xfId="0" applyFont="1" applyFill="1" applyBorder="1"/>
    <xf numFmtId="0" fontId="4" fillId="10" borderId="46" xfId="0" applyFont="1" applyFill="1" applyBorder="1"/>
    <xf numFmtId="0" fontId="4" fillId="0" borderId="0" xfId="0" applyFont="1" applyAlignment="1">
      <alignment horizontal="center" vertical="center" wrapText="1"/>
    </xf>
    <xf numFmtId="0" fontId="9" fillId="0" borderId="0" xfId="0" applyFont="1"/>
    <xf numFmtId="0" fontId="4" fillId="0" borderId="0" xfId="0" applyFont="1"/>
  </cellXfs>
  <cellStyles count="9">
    <cellStyle name="Besitzer" xfId="1" xr:uid="{82E19B41-3101-4F4D-B576-E0739EBB8E29}"/>
    <cellStyle name="Datum" xfId="2" xr:uid="{66F7ABE0-7922-4FE5-AADC-FDA7C410BC3B}"/>
    <cellStyle name="Erklärender Text 2" xfId="3" xr:uid="{1A7D5B3C-DD55-4A31-B6A9-BB2599B94169}"/>
    <cellStyle name="Komma" xfId="6" builtinId="3"/>
    <cellStyle name="Link" xfId="8" builtinId="8"/>
    <cellStyle name="Prozent" xfId="5" builtinId="5"/>
    <cellStyle name="Standard" xfId="0" builtinId="0"/>
    <cellStyle name="Standard 2" xfId="4" xr:uid="{79A023FC-5B34-406F-AFF4-3C6F7718A46E}"/>
    <cellStyle name="Währung" xfId="7" builtinId="4"/>
  </cellStyles>
  <dxfs count="695">
    <dxf>
      <fill>
        <patternFill>
          <bgColor theme="9" tint="0.79998168889431442"/>
        </patternFill>
      </fill>
    </dxf>
    <dxf>
      <font>
        <strike val="0"/>
        <color theme="0" tint="-0.14996795556505021"/>
      </font>
    </dxf>
    <dxf>
      <fill>
        <patternFill>
          <bgColor theme="9" tint="0.79998168889431442"/>
        </patternFill>
      </fill>
    </dxf>
    <dxf>
      <font>
        <strike val="0"/>
        <color theme="0" tint="-0.14996795556505021"/>
      </font>
    </dxf>
    <dxf>
      <fill>
        <patternFill>
          <bgColor theme="9" tint="0.79998168889431442"/>
        </patternFill>
      </fill>
    </dxf>
    <dxf>
      <font>
        <strike val="0"/>
        <color theme="0" tint="-0.1499679555650502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92D050"/>
      </font>
    </dxf>
    <dxf>
      <font>
        <color rgb="FFFF000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92D050"/>
      </font>
    </dxf>
    <dxf>
      <font>
        <color rgb="FFFF000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92D050"/>
      </font>
    </dxf>
    <dxf>
      <font>
        <color rgb="FFFF000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92D050"/>
      </font>
    </dxf>
    <dxf>
      <font>
        <color rgb="FFFF0000"/>
      </font>
    </dxf>
    <dxf>
      <font>
        <color rgb="FF92D050"/>
      </font>
    </dxf>
    <dxf>
      <font>
        <color rgb="FFFF0000"/>
      </font>
    </dxf>
    <dxf>
      <font>
        <color rgb="FF92D050"/>
      </font>
    </dxf>
    <dxf>
      <font>
        <color rgb="FFFF000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92D050"/>
      </font>
    </dxf>
    <dxf>
      <font>
        <color rgb="FFFF000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92D050"/>
      </font>
    </dxf>
    <dxf>
      <font>
        <color rgb="FFFF000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rgb="FFFF0000"/>
      </font>
    </dxf>
    <dxf>
      <font>
        <color rgb="FF92D050"/>
      </font>
    </dxf>
    <dxf>
      <font>
        <color theme="0" tint="-0.14996795556505021"/>
      </font>
    </dxf>
    <dxf>
      <fill>
        <patternFill>
          <bgColor theme="9" tint="0.79998168889431442"/>
        </patternFill>
      </fill>
    </dxf>
    <dxf>
      <font>
        <color theme="0" tint="-0.14996795556505021"/>
      </font>
    </dxf>
    <dxf>
      <font>
        <color theme="0" tint="-0.14996795556505021"/>
      </font>
    </dxf>
    <dxf>
      <font>
        <color theme="0" tint="-0.14996795556505021"/>
      </font>
    </dxf>
    <dxf>
      <font>
        <color theme="0" tint="-0.14996795556505021"/>
      </font>
    </dxf>
    <dxf>
      <fill>
        <patternFill>
          <bgColor theme="9" tint="0.79998168889431442"/>
        </patternFill>
      </fill>
    </dxf>
    <dxf>
      <font>
        <color theme="0" tint="-0.14996795556505021"/>
      </font>
    </dxf>
    <dxf>
      <font>
        <color theme="0" tint="-0.14996795556505021"/>
      </font>
    </dxf>
    <dxf>
      <fill>
        <patternFill>
          <bgColor theme="9" tint="0.79998168889431442"/>
        </patternFill>
      </fill>
    </dxf>
    <dxf>
      <font>
        <color theme="0" tint="-0.14996795556505021"/>
      </font>
    </dxf>
    <dxf>
      <font>
        <color theme="0" tint="-0.14996795556505021"/>
      </font>
    </dxf>
    <dxf>
      <font>
        <color theme="0" tint="-0.14996795556505021"/>
      </font>
    </dxf>
    <dxf>
      <font>
        <color theme="0" tint="-0.14996795556505021"/>
      </font>
    </dxf>
    <dxf>
      <fill>
        <patternFill>
          <bgColor theme="9" tint="0.79998168889431442"/>
        </patternFill>
      </fill>
    </dxf>
    <dxf>
      <font>
        <color theme="0" tint="-0.14996795556505021"/>
      </font>
    </dxf>
    <dxf>
      <font>
        <color theme="0" tint="-0.14996795556505021"/>
      </font>
    </dxf>
    <dxf>
      <fill>
        <patternFill>
          <bgColor theme="9" tint="0.79998168889431442"/>
        </patternFill>
      </fill>
    </dxf>
    <dxf>
      <font>
        <color theme="0" tint="-0.14996795556505021"/>
      </font>
    </dxf>
    <dxf>
      <font>
        <color theme="0" tint="-0.14996795556505021"/>
      </font>
    </dxf>
    <dxf>
      <font>
        <color theme="0" tint="-0.14996795556505021"/>
      </font>
    </dxf>
    <dxf>
      <font>
        <color theme="0" tint="-0.14996795556505021"/>
      </font>
    </dxf>
    <dxf>
      <fill>
        <patternFill>
          <bgColor theme="9" tint="0.79998168889431442"/>
        </patternFill>
      </fill>
    </dxf>
    <dxf>
      <font>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ill>
        <patternFill>
          <bgColor theme="9" tint="0.79998168889431442"/>
        </patternFill>
      </fill>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ill>
        <patternFill>
          <bgColor theme="9" tint="0.79998168889431442"/>
        </patternFill>
      </fill>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ill>
        <patternFill>
          <bgColor theme="9" tint="0.79998168889431442"/>
        </patternFill>
      </fill>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ill>
        <patternFill>
          <bgColor theme="9" tint="0.79998168889431442"/>
        </patternFill>
      </fill>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ill>
        <patternFill>
          <bgColor theme="9" tint="0.79998168889431442"/>
        </patternFill>
      </fill>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ill>
        <patternFill>
          <bgColor theme="9" tint="0.79998168889431442"/>
        </patternFill>
      </fill>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ill>
        <patternFill>
          <bgColor theme="9" tint="0.79998168889431442"/>
        </patternFill>
      </fill>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ill>
        <patternFill>
          <bgColor theme="9" tint="0.79998168889431442"/>
        </patternFill>
      </fill>
    </dxf>
    <dxf>
      <font>
        <strike val="0"/>
        <color theme="0" tint="-0.14996795556505021"/>
      </font>
    </dxf>
    <dxf>
      <font>
        <strike val="0"/>
        <color theme="0" tint="-0.14996795556505021"/>
      </font>
    </dxf>
    <dxf>
      <font>
        <strike val="0"/>
        <color theme="0" tint="-0.14996795556505021"/>
      </font>
    </dxf>
    <dxf>
      <font>
        <strike val="0"/>
        <color theme="0" tint="-0.14996795556505021"/>
      </font>
    </dxf>
    <dxf>
      <font>
        <strike val="0"/>
        <color theme="0" tint="-0.14996795556505021"/>
      </font>
    </dxf>
    <dxf>
      <fill>
        <patternFill>
          <bgColor theme="9" tint="0.79998168889431442"/>
        </patternFill>
      </fill>
    </dxf>
    <dxf>
      <font>
        <strike val="0"/>
        <color theme="0" tint="-0.14996795556505021"/>
      </font>
    </dxf>
    <dxf>
      <font>
        <color theme="0" tint="-0.14996795556505021"/>
      </font>
    </dxf>
    <dxf>
      <fill>
        <patternFill>
          <bgColor theme="9" tint="0.79998168889431442"/>
        </patternFill>
      </fill>
    </dxf>
    <dxf>
      <font>
        <color theme="0" tint="-0.14996795556505021"/>
      </font>
    </dxf>
    <dxf>
      <fill>
        <patternFill>
          <bgColor theme="9" tint="0.79998168889431442"/>
        </patternFill>
      </fill>
    </dxf>
    <dxf>
      <font>
        <color theme="0" tint="-0.14996795556505021"/>
      </font>
    </dxf>
    <dxf>
      <fill>
        <patternFill>
          <bgColor theme="9" tint="0.79998168889431442"/>
        </patternFill>
      </fill>
    </dxf>
    <dxf>
      <font>
        <color theme="0" tint="-0.14996795556505021"/>
      </font>
    </dxf>
    <dxf>
      <fill>
        <patternFill>
          <bgColor theme="9" tint="0.79998168889431442"/>
        </patternFill>
      </fill>
    </dxf>
    <dxf>
      <fill>
        <patternFill>
          <bgColor theme="9" tint="0.79998168889431442"/>
        </patternFill>
      </fill>
    </dxf>
    <dxf>
      <font>
        <color theme="0" tint="-0.14996795556505021"/>
      </font>
    </dxf>
    <dxf>
      <fill>
        <patternFill>
          <bgColor theme="9" tint="0.79998168889431442"/>
        </patternFill>
      </fill>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ill>
        <patternFill>
          <bgColor theme="9" tint="0.79998168889431442"/>
        </patternFill>
      </fill>
    </dxf>
    <dxf>
      <font>
        <color theme="0" tint="-0.14996795556505021"/>
      </font>
    </dxf>
    <dxf>
      <font>
        <color theme="0" tint="-0.14996795556505021"/>
      </font>
    </dxf>
    <dxf>
      <fill>
        <patternFill>
          <bgColor theme="9" tint="0.79998168889431442"/>
        </patternFill>
      </fill>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ill>
        <patternFill>
          <bgColor theme="9" tint="0.79998168889431442"/>
        </patternFill>
      </fill>
    </dxf>
    <dxf>
      <font>
        <color theme="0" tint="-0.14996795556505021"/>
      </font>
    </dxf>
    <dxf>
      <font>
        <color theme="0" tint="-0.14996795556505021"/>
      </font>
    </dxf>
    <dxf>
      <fill>
        <patternFill>
          <bgColor theme="9" tint="0.79998168889431442"/>
        </patternFill>
      </fill>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ill>
        <patternFill>
          <bgColor theme="9" tint="0.79998168889431442"/>
        </patternFill>
      </fill>
    </dxf>
    <dxf>
      <font>
        <color theme="0" tint="-0.14996795556505021"/>
      </font>
    </dxf>
    <dxf>
      <font>
        <color theme="0" tint="-0.14996795556505021"/>
      </font>
    </dxf>
    <dxf>
      <fill>
        <patternFill>
          <bgColor theme="9" tint="0.79998168889431442"/>
        </patternFill>
      </fill>
    </dxf>
    <dxf>
      <font>
        <color theme="0" tint="-0.14996795556505021"/>
      </font>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ABABAB"/>
      </font>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rgb="FFABABAB"/>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strike val="0"/>
        <outline val="0"/>
        <shadow val="0"/>
        <u val="none"/>
        <vertAlign val="baseline"/>
        <name val="BRALE"/>
        <scheme val="none"/>
      </font>
    </dxf>
    <dxf>
      <border outline="0">
        <bottom style="thin">
          <color theme="4" tint="0.39997558519241921"/>
        </bottom>
      </border>
    </dxf>
    <dxf>
      <font>
        <strike val="0"/>
        <outline val="0"/>
        <shadow val="0"/>
        <u val="none"/>
        <vertAlign val="baseline"/>
        <name val="BRALE"/>
        <scheme val="none"/>
      </font>
    </dxf>
    <dxf>
      <font>
        <strike val="0"/>
        <outline val="0"/>
        <shadow val="0"/>
        <u val="none"/>
        <vertAlign val="baseline"/>
        <name val="BRALE"/>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name val="BRALE"/>
        <scheme val="none"/>
      </font>
    </dxf>
    <dxf>
      <border outline="0">
        <bottom style="thin">
          <color theme="4" tint="0.39997558519241921"/>
        </bottom>
      </border>
    </dxf>
    <dxf>
      <font>
        <strike val="0"/>
        <outline val="0"/>
        <shadow val="0"/>
        <u val="none"/>
        <vertAlign val="baseline"/>
        <name val="BRALE"/>
        <scheme val="none"/>
      </font>
    </dxf>
    <dxf>
      <font>
        <strike val="0"/>
        <outline val="0"/>
        <shadow val="0"/>
        <u val="none"/>
        <vertAlign val="baseline"/>
        <name val="BRALE"/>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numFmt numFmtId="170" formatCode="0.0"/>
    </dxf>
    <dxf>
      <font>
        <strike val="0"/>
        <outline val="0"/>
        <shadow val="0"/>
        <u val="none"/>
        <name val="BRALE"/>
        <scheme val="none"/>
      </font>
    </dxf>
    <dxf>
      <font>
        <strike val="0"/>
        <outline val="0"/>
        <shadow val="0"/>
        <u val="none"/>
        <name val="BRALE"/>
        <scheme val="none"/>
      </font>
      <numFmt numFmtId="2" formatCode="0.00"/>
      <alignment horizontal="center" vertical="bottom" textRotation="0" wrapText="0" indent="0" justifyLastLine="0" shrinkToFit="0" readingOrder="0"/>
    </dxf>
    <dxf>
      <font>
        <strike val="0"/>
        <outline val="0"/>
        <shadow val="0"/>
        <u val="none"/>
        <name val="BRALE"/>
        <scheme val="none"/>
      </font>
    </dxf>
    <dxf>
      <font>
        <strike val="0"/>
        <outline val="0"/>
        <shadow val="0"/>
        <u val="none"/>
        <name val="BRALE"/>
        <scheme val="none"/>
      </font>
      <numFmt numFmtId="2" formatCode="0.00"/>
      <alignment horizontal="center" vertical="center" textRotation="0" wrapText="0" indent="0" justifyLastLine="0" shrinkToFit="0" readingOrder="0"/>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numFmt numFmtId="1" formatCode="0"/>
      <alignment horizontal="general"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alignment horizontal="center"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numFmt numFmtId="2" formatCode="0.00"/>
      <alignment horizontal="general"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numFmt numFmtId="2" formatCode="0.00"/>
      <alignment horizontal="general"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numFmt numFmtId="0" formatCode="General"/>
      <alignment horizontal="general" vertical="bottom" textRotation="0" wrapText="1" indent="0" justifyLastLine="0" shrinkToFit="0" readingOrder="0"/>
    </dxf>
    <dxf>
      <font>
        <strike val="0"/>
        <outline val="0"/>
        <shadow val="0"/>
        <u val="none"/>
        <name val="BRALE"/>
        <scheme val="none"/>
      </font>
      <numFmt numFmtId="0" formatCode="General"/>
      <alignment horizontal="general"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numFmt numFmtId="0" formatCode="General"/>
      <alignment horizontal="general" vertical="bottom" textRotation="0" wrapText="1" indent="0" justifyLastLine="0" shrinkToFit="0" readingOrder="0"/>
    </dxf>
    <dxf>
      <font>
        <strike val="0"/>
        <outline val="0"/>
        <shadow val="0"/>
        <u val="none"/>
        <name val="BRALE"/>
        <scheme val="none"/>
      </font>
      <numFmt numFmtId="0" formatCode="General"/>
      <alignment horizontal="general"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alignment horizontal="general" vertical="bottom" textRotation="0" wrapText="1" indent="0" justifyLastLine="0" shrinkToFit="0" readingOrder="0"/>
    </dxf>
    <dxf>
      <font>
        <strike val="0"/>
        <outline val="0"/>
        <shadow val="0"/>
        <u val="none"/>
        <name val="BRALE"/>
        <scheme val="none"/>
      </font>
    </dxf>
    <dxf>
      <font>
        <b val="0"/>
        <i val="0"/>
        <strike val="0"/>
        <condense val="0"/>
        <extend val="0"/>
        <outline val="0"/>
        <shadow val="0"/>
        <u val="none"/>
        <vertAlign val="baseline"/>
        <sz val="11"/>
        <color theme="1"/>
        <name val="BRALE"/>
        <scheme val="none"/>
      </font>
      <border diagonalUp="0" diagonalDown="0" outline="0">
        <left style="thin">
          <color theme="9"/>
        </left>
        <right style="thin">
          <color theme="9"/>
        </right>
        <top style="thin">
          <color theme="9"/>
        </top>
        <bottom style="thin">
          <color theme="9"/>
        </bottom>
      </border>
    </dxf>
    <dxf>
      <font>
        <b val="0"/>
        <i val="0"/>
        <strike val="0"/>
        <condense val="0"/>
        <extend val="0"/>
        <outline val="0"/>
        <shadow val="0"/>
        <u val="none"/>
        <vertAlign val="baseline"/>
        <sz val="11"/>
        <color theme="1"/>
        <name val="BRALE"/>
        <scheme val="none"/>
      </font>
      <border diagonalUp="0" diagonalDown="0" outline="0">
        <left/>
        <right style="thin">
          <color theme="9"/>
        </right>
        <top style="thin">
          <color theme="9"/>
        </top>
        <bottom style="thin">
          <color theme="9"/>
        </bottom>
      </border>
    </dxf>
    <dxf>
      <border outline="0">
        <left style="thin">
          <color theme="9"/>
        </left>
        <top style="thin">
          <color theme="9"/>
        </top>
      </border>
    </dxf>
    <dxf>
      <font>
        <strike val="0"/>
        <outline val="0"/>
        <shadow val="0"/>
        <u val="none"/>
        <name val="BRALE"/>
        <scheme val="none"/>
      </font>
    </dxf>
    <dxf>
      <border outline="0">
        <bottom style="medium">
          <color theme="9"/>
        </bottom>
      </border>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b/>
        <i val="0"/>
        <strike val="0"/>
        <condense val="0"/>
        <extend val="0"/>
        <outline val="0"/>
        <shadow val="0"/>
        <u val="none"/>
        <vertAlign val="baseline"/>
        <sz val="11"/>
        <color theme="1"/>
        <name val="BRALE"/>
        <scheme val="none"/>
      </font>
      <alignment horizontal="center" vertical="bottom" textRotation="0" wrapText="1" indent="0" justifyLastLine="0" shrinkToFit="0" readingOrder="0"/>
    </dxf>
    <dxf>
      <font>
        <strike val="0"/>
        <outline val="0"/>
        <shadow val="0"/>
        <u val="none"/>
        <name val="BRALE"/>
        <scheme val="none"/>
      </font>
    </dxf>
    <dxf>
      <font>
        <strike val="0"/>
        <outline val="0"/>
        <shadow val="0"/>
        <u val="none"/>
        <name val="BRALE"/>
        <scheme val="none"/>
      </font>
    </dxf>
    <dxf>
      <font>
        <b/>
        <i val="0"/>
        <strike val="0"/>
        <condense val="0"/>
        <extend val="0"/>
        <outline val="0"/>
        <shadow val="0"/>
        <u val="none"/>
        <vertAlign val="baseline"/>
        <sz val="11"/>
        <color theme="1"/>
        <name val="BRALE"/>
        <scheme val="none"/>
      </font>
      <alignment horizontal="center" vertical="bottom" textRotation="0" wrapText="1" indent="0" justifyLastLine="0" shrinkToFit="0" readingOrder="0"/>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border outline="0">
        <top style="thin">
          <color theme="9"/>
        </top>
      </border>
    </dxf>
    <dxf>
      <font>
        <strike val="0"/>
        <outline val="0"/>
        <shadow val="0"/>
        <u val="none"/>
        <name val="BRALE"/>
        <scheme val="none"/>
      </font>
    </dxf>
    <dxf>
      <border outline="0">
        <bottom style="medium">
          <color theme="9"/>
        </bottom>
      </border>
    </dxf>
    <dxf>
      <font>
        <b/>
        <i val="0"/>
        <strike val="0"/>
        <condense val="0"/>
        <extend val="0"/>
        <outline val="0"/>
        <shadow val="0"/>
        <u val="none"/>
        <vertAlign val="baseline"/>
        <sz val="11"/>
        <color theme="1"/>
        <name val="BRALE"/>
        <scheme val="none"/>
      </font>
      <alignment horizontal="center" vertical="bottom" textRotation="0" wrapText="1" indent="0" justifyLastLine="0" shrinkToFit="0" readingOrder="0"/>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vertAlign val="baseline"/>
        <sz val="11"/>
        <color theme="1"/>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name val="BRALE"/>
        <scheme val="none"/>
      </font>
    </dxf>
    <dxf>
      <font>
        <strike val="0"/>
        <outline val="0"/>
        <shadow val="0"/>
        <u val="none"/>
        <vertAlign val="baseline"/>
        <name val="BRALE"/>
        <scheme val="none"/>
      </font>
      <fill>
        <patternFill patternType="none">
          <fgColor indexed="64"/>
          <bgColor auto="1"/>
        </patternFill>
      </fill>
    </dxf>
    <dxf>
      <font>
        <b val="0"/>
        <i val="0"/>
        <strike val="0"/>
        <condense val="0"/>
        <extend val="0"/>
        <outline val="0"/>
        <shadow val="0"/>
        <u val="none"/>
        <vertAlign val="baseline"/>
        <sz val="11"/>
        <color theme="1"/>
        <name val="BRALE"/>
        <scheme val="none"/>
      </font>
      <fill>
        <patternFill patternType="none">
          <fgColor indexed="64"/>
          <bgColor auto="1"/>
        </patternFill>
      </fill>
      <border diagonalUp="0" diagonalDown="0" outline="0">
        <left/>
        <right style="thin">
          <color theme="4" tint="0.39997558519241921"/>
        </right>
        <top style="thin">
          <color theme="4" tint="0.39997558519241921"/>
        </top>
        <bottom style="thin">
          <color theme="4" tint="0.39997558519241921"/>
        </bottom>
      </border>
    </dxf>
    <dxf>
      <font>
        <strike val="0"/>
        <outline val="0"/>
        <shadow val="0"/>
        <u val="none"/>
        <vertAlign val="baseline"/>
        <name val="BRALE"/>
        <scheme val="none"/>
      </font>
      <fill>
        <patternFill patternType="none">
          <fgColor indexed="64"/>
          <bgColor auto="1"/>
        </patternFill>
      </fill>
    </dxf>
    <dxf>
      <font>
        <strike val="0"/>
        <outline val="0"/>
        <shadow val="0"/>
        <u val="none"/>
        <vertAlign val="baseline"/>
        <name val="BRALE"/>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name val="BRALE"/>
        <scheme val="none"/>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name val="BRALE"/>
        <scheme val="none"/>
      </font>
      <fill>
        <patternFill patternType="none">
          <fgColor indexed="64"/>
          <bgColor auto="1"/>
        </patternFill>
      </fill>
    </dxf>
    <dxf>
      <font>
        <strike val="0"/>
        <outline val="0"/>
        <shadow val="0"/>
        <u val="none"/>
        <vertAlign val="baseline"/>
        <name val="BRALE"/>
        <scheme val="none"/>
      </font>
      <fill>
        <patternFill patternType="none">
          <bgColor auto="1"/>
        </patternFill>
      </fill>
    </dxf>
    <dxf>
      <font>
        <strike val="0"/>
        <outline val="0"/>
        <shadow val="0"/>
        <u val="none"/>
        <vertAlign val="baseline"/>
        <name val="BRALE"/>
        <scheme val="none"/>
      </font>
    </dxf>
    <dxf>
      <border outline="0">
        <bottom style="thin">
          <color theme="4" tint="0.39997558519241921"/>
        </bottom>
      </border>
    </dxf>
    <dxf>
      <font>
        <strike val="0"/>
        <outline val="0"/>
        <shadow val="0"/>
        <u val="none"/>
        <vertAlign val="baseline"/>
        <name val="BRALE"/>
        <scheme val="none"/>
      </font>
    </dxf>
    <dxf>
      <font>
        <strike val="0"/>
        <outline val="0"/>
        <shadow val="0"/>
        <u val="none"/>
        <vertAlign val="baseline"/>
        <name val="BRALE"/>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color auto="1"/>
        <name val="BRALE"/>
        <scheme val="none"/>
      </font>
      <fill>
        <patternFill patternType="solid">
          <fgColor indexed="64"/>
          <bgColor theme="0" tint="-4.9989318521683403E-2"/>
        </patternFill>
      </fill>
      <alignment horizontal="center" vertical="center" textRotation="0" wrapText="1" indent="0" justifyLastLine="0" shrinkToFit="0" readingOrder="0"/>
      <protection locked="0" hidden="0"/>
    </dxf>
    <dxf>
      <font>
        <strike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1" indent="0" justifyLastLine="0" shrinkToFit="0" readingOrder="0"/>
      <protection locked="0" hidden="0"/>
    </dxf>
    <dxf>
      <font>
        <strike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1" indent="0" justifyLastLine="0" shrinkToFit="0" readingOrder="0"/>
      <protection locked="0" hidden="0"/>
    </dxf>
    <dxf>
      <font>
        <strike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1" indent="0" justifyLastLine="0" shrinkToFit="0" readingOrder="0"/>
      <protection locked="0" hidden="0"/>
    </dxf>
    <dxf>
      <font>
        <strike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right style="medium">
          <color indexed="64"/>
        </right>
        <top/>
        <bottom/>
        <vertical/>
        <horizontal/>
      </border>
      <protection locked="0" hidden="0"/>
    </dxf>
    <dxf>
      <font>
        <strike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1" indent="0" justifyLastLine="0" shrinkToFit="0" readingOrder="0"/>
      <protection locked="0" hidden="0"/>
    </dxf>
    <dxf>
      <font>
        <strike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1" indent="0" justifyLastLine="0" shrinkToFit="0" readingOrder="0"/>
      <protection locked="0" hidden="0"/>
    </dxf>
    <dxf>
      <font>
        <strike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1" indent="0" justifyLastLine="0" shrinkToFit="0" readingOrder="0"/>
      <protection locked="0" hidden="0"/>
    </dxf>
    <dxf>
      <font>
        <strike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right style="medium">
          <color indexed="64"/>
        </right>
        <top/>
        <bottom/>
        <vertical/>
        <horizontal/>
      </border>
      <protection locked="0" hidden="0"/>
    </dxf>
    <dxf>
      <font>
        <strike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1" indent="0" justifyLastLine="0" shrinkToFit="0" readingOrder="0"/>
      <protection locked="0" hidden="0"/>
    </dxf>
    <dxf>
      <font>
        <strike val="0"/>
        <outline val="0"/>
        <shadow val="0"/>
        <u val="none"/>
        <color auto="1"/>
        <name val="BRALE"/>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right style="medium">
          <color indexed="64"/>
        </right>
        <vertical/>
      </border>
      <protection locked="0" hidden="0"/>
    </dxf>
    <dxf>
      <font>
        <strike val="0"/>
        <outline val="0"/>
        <shadow val="0"/>
        <u val="none"/>
        <color auto="1"/>
        <name val="BRALE"/>
        <scheme val="none"/>
      </font>
      <fill>
        <patternFill patternType="solid">
          <fgColor indexed="64"/>
          <bgColor theme="0" tint="-4.9989318521683403E-2"/>
        </patternFill>
      </fill>
      <alignment horizontal="center" vertical="center" textRotation="0" wrapText="0" indent="0" justifyLastLine="0" shrinkToFit="0" readingOrder="0"/>
      <protection locked="0" hidden="0"/>
    </dxf>
    <dxf>
      <font>
        <strike val="0"/>
        <outline val="0"/>
        <shadow val="0"/>
        <u val="none"/>
        <color auto="1"/>
        <name val="BRALE"/>
        <scheme val="none"/>
      </font>
      <fill>
        <patternFill patternType="solid">
          <fgColor indexed="64"/>
          <bgColor theme="0" tint="-4.9989318521683403E-2"/>
        </patternFill>
      </fill>
      <alignment horizontal="center" vertical="center" textRotation="0" wrapText="1" indent="0" justifyLastLine="0" shrinkToFit="0" readingOrder="0"/>
      <protection locked="0" hidden="0"/>
    </dxf>
    <dxf>
      <font>
        <strike val="0"/>
        <outline val="0"/>
        <shadow val="0"/>
        <u val="none"/>
        <color auto="1"/>
        <name val="BRALE"/>
        <scheme val="none"/>
      </font>
      <fill>
        <patternFill patternType="solid">
          <fgColor indexed="64"/>
          <bgColor theme="0" tint="-4.9989318521683403E-2"/>
        </patternFill>
      </fill>
      <alignment horizontal="center" vertical="center" textRotation="0" wrapText="1" indent="0" justifyLastLine="0" shrinkToFit="0" readingOrder="0"/>
      <protection locked="0" hidden="0"/>
    </dxf>
    <dxf>
      <font>
        <strike val="0"/>
        <outline val="0"/>
        <shadow val="0"/>
        <u val="none"/>
        <color auto="1"/>
        <name val="BRALE"/>
        <scheme val="none"/>
      </font>
      <fill>
        <patternFill patternType="solid">
          <fgColor indexed="64"/>
          <bgColor theme="0" tint="-4.9989318521683403E-2"/>
        </patternFill>
      </fill>
      <alignment horizontal="center" vertical="center" textRotation="0" indent="0" justifyLastLine="0" shrinkToFit="0" readingOrder="0"/>
      <protection locked="0" hidden="0"/>
    </dxf>
    <dxf>
      <font>
        <strike val="0"/>
        <outline val="0"/>
        <shadow val="0"/>
        <u val="none"/>
        <color auto="1"/>
        <name val="BRALE"/>
        <scheme val="none"/>
      </font>
      <fill>
        <patternFill patternType="solid">
          <fgColor indexed="64"/>
          <bgColor theme="0" tint="-4.9989318521683403E-2"/>
        </patternFill>
      </fill>
      <alignment horizontal="center" vertical="center" textRotation="0" indent="0" justifyLastLine="0" shrinkToFit="0" readingOrder="0"/>
      <border diagonalUp="0" diagonalDown="0">
        <left/>
        <right style="medium">
          <color indexed="64"/>
        </right>
        <vertical/>
      </border>
      <protection locked="0" hidden="0"/>
    </dxf>
    <dxf>
      <font>
        <strike val="0"/>
        <outline val="0"/>
        <shadow val="0"/>
        <u val="none"/>
        <color auto="1"/>
        <name val="BRALE"/>
        <scheme val="none"/>
      </font>
      <fill>
        <patternFill patternType="solid">
          <fgColor indexed="64"/>
          <bgColor theme="0" tint="-4.9989318521683403E-2"/>
        </patternFill>
      </fill>
      <alignment horizontal="center" vertical="center" textRotation="0" indent="0" justifyLastLine="0" shrinkToFit="0" readingOrder="0"/>
      <protection locked="0" hidden="0"/>
    </dxf>
    <dxf>
      <font>
        <strike val="0"/>
        <outline val="0"/>
        <shadow val="0"/>
        <u val="none"/>
        <color auto="1"/>
        <name val="BRALE"/>
        <scheme val="none"/>
      </font>
      <fill>
        <patternFill patternType="solid">
          <fgColor indexed="64"/>
          <bgColor theme="0" tint="-4.9989318521683403E-2"/>
        </patternFill>
      </fill>
      <alignment horizontal="center" vertical="center" textRotation="0" indent="0" justifyLastLine="0" shrinkToFit="0" readingOrder="0"/>
      <protection locked="0" hidden="0"/>
    </dxf>
    <dxf>
      <font>
        <strike val="0"/>
        <outline val="0"/>
        <shadow val="0"/>
        <u val="none"/>
        <color auto="1"/>
        <name val="BRALE"/>
        <scheme val="none"/>
      </font>
      <fill>
        <patternFill patternType="solid">
          <fgColor indexed="64"/>
          <bgColor theme="0" tint="-4.9989318521683403E-2"/>
        </patternFill>
      </fill>
      <alignment horizontal="center" vertical="center" textRotation="0" indent="0" justifyLastLine="0" shrinkToFit="0" readingOrder="0"/>
      <protection locked="0" hidden="0"/>
    </dxf>
    <dxf>
      <font>
        <strike val="0"/>
        <outline val="0"/>
        <shadow val="0"/>
        <u val="none"/>
        <color auto="1"/>
        <name val="BRALE"/>
        <scheme val="none"/>
      </font>
      <fill>
        <patternFill patternType="solid">
          <fgColor indexed="64"/>
          <bgColor theme="0" tint="-4.9989318521683403E-2"/>
        </patternFill>
      </fill>
      <alignment horizontal="center" vertical="center" textRotation="0" indent="0" justifyLastLine="0" shrinkToFit="0" readingOrder="0"/>
      <protection locked="0" hidden="0"/>
    </dxf>
    <dxf>
      <font>
        <strike val="0"/>
        <outline val="0"/>
        <shadow val="0"/>
        <u val="none"/>
        <color auto="1"/>
        <name val="BRALE"/>
        <scheme val="none"/>
      </font>
      <fill>
        <patternFill patternType="solid">
          <fgColor indexed="64"/>
          <bgColor theme="0" tint="-4.9989318521683403E-2"/>
        </patternFill>
      </fill>
      <alignment horizontal="center" vertical="center" textRotation="0" indent="0" justifyLastLine="0" shrinkToFit="0" readingOrder="0"/>
      <protection locked="0" hidden="0"/>
    </dxf>
    <dxf>
      <font>
        <b/>
        <strike val="0"/>
        <outline val="0"/>
        <shadow val="0"/>
        <u val="none"/>
        <color auto="1"/>
        <name val="BRALE"/>
        <scheme val="none"/>
      </font>
      <fill>
        <patternFill patternType="solid">
          <fgColor indexed="64"/>
          <bgColor theme="0" tint="-4.9989318521683403E-2"/>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style="thick">
          <color indexed="64"/>
        </right>
        <top style="thin">
          <color indexed="64"/>
        </top>
        <bottom style="thick">
          <color indexed="64"/>
        </bottom>
      </border>
      <protection locked="0" hidden="0"/>
    </dxf>
    <dxf>
      <font>
        <b val="0"/>
        <i val="0"/>
        <strike val="0"/>
        <condense val="0"/>
        <extend val="0"/>
        <outline val="0"/>
        <shadow val="0"/>
        <u val="none"/>
        <vertAlign val="baseline"/>
        <sz val="11"/>
        <color rgb="FF000000"/>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right style="thick">
          <color indexed="64"/>
        </right>
      </border>
      <protection locked="0" hidden="0"/>
    </dxf>
    <dxf>
      <font>
        <b/>
        <i val="0"/>
        <strike val="0"/>
        <condense val="0"/>
        <extend val="0"/>
        <outline val="0"/>
        <shadow val="0"/>
        <u val="none"/>
        <vertAlign val="baseline"/>
        <sz val="11"/>
        <color rgb="FF000000"/>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style="thin">
          <color indexed="64"/>
        </top>
        <bottom style="thick">
          <color indexed="64"/>
        </bottom>
      </border>
      <protection locked="0" hidden="0"/>
    </dxf>
    <dxf>
      <font>
        <b val="0"/>
        <i val="0"/>
        <strike val="0"/>
        <condense val="0"/>
        <extend val="0"/>
        <outline val="0"/>
        <shadow val="0"/>
        <u val="none"/>
        <vertAlign val="baseline"/>
        <sz val="11"/>
        <color rgb="FF000000"/>
        <name val="BRALE"/>
        <scheme val="none"/>
      </font>
      <fill>
        <patternFill patternType="solid">
          <fgColor indexed="64"/>
          <bgColor theme="0" tint="-4.9989318521683403E-2"/>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1"/>
        <color rgb="FF000000"/>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medium">
          <color indexed="64"/>
        </left>
        <right/>
        <top style="thin">
          <color indexed="64"/>
        </top>
        <bottom style="thick">
          <color indexed="64"/>
        </bottom>
      </border>
      <protection locked="0" hidden="0"/>
    </dxf>
    <dxf>
      <font>
        <b val="0"/>
        <i val="0"/>
        <strike val="0"/>
        <condense val="0"/>
        <extend val="0"/>
        <outline val="0"/>
        <shadow val="0"/>
        <u val="none"/>
        <vertAlign val="baseline"/>
        <sz val="11"/>
        <color rgb="FF000000"/>
        <name val="BRALE"/>
        <scheme val="none"/>
      </font>
      <fill>
        <patternFill patternType="solid">
          <fgColor indexed="64"/>
          <bgColor theme="0" tint="-4.9989318521683403E-2"/>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style="medium">
          <color indexed="64"/>
        </right>
        <top/>
        <bottom/>
      </border>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top/>
        <bottom style="thick">
          <color indexed="64"/>
        </bottom>
      </border>
    </dxf>
    <dxf>
      <font>
        <b val="0"/>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style="thin">
          <color indexed="64"/>
        </top>
        <bottom style="thick">
          <color indexed="64"/>
        </bottom>
      </border>
    </dxf>
    <dxf>
      <font>
        <b val="0"/>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outline="0">
        <left style="medium">
          <color indexed="64"/>
        </left>
        <right/>
        <top/>
        <bottom style="thick">
          <color indexed="64"/>
        </bottom>
      </border>
    </dxf>
    <dxf>
      <font>
        <b val="0"/>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style="medium">
          <color indexed="64"/>
        </right>
        <top/>
        <bottom style="thick">
          <color indexed="64"/>
        </bottom>
      </border>
    </dxf>
    <dxf>
      <font>
        <b val="0"/>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style="medium">
          <color indexed="64"/>
        </right>
        <top/>
        <bottom/>
      </border>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indexed="64"/>
        </bottom>
      </border>
    </dxf>
    <dxf>
      <font>
        <b val="0"/>
        <i val="0"/>
        <strike val="0"/>
        <condense val="0"/>
        <extend val="0"/>
        <outline val="0"/>
        <shadow val="0"/>
        <u val="none"/>
        <vertAlign val="baseline"/>
        <sz val="11"/>
        <color auto="1"/>
        <name val="BRALE"/>
        <scheme val="none"/>
      </font>
      <numFmt numFmtId="2" formatCode="0.00"/>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BRALE"/>
        <scheme val="none"/>
      </font>
      <numFmt numFmtId="2"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indexed="64"/>
        </bottom>
      </border>
    </dxf>
    <dxf>
      <font>
        <b val="0"/>
        <i val="0"/>
        <strike val="0"/>
        <condense val="0"/>
        <extend val="0"/>
        <outline val="0"/>
        <shadow val="0"/>
        <u val="none"/>
        <vertAlign val="baseline"/>
        <sz val="11"/>
        <color auto="1"/>
        <name val="BRALE"/>
        <scheme val="none"/>
      </font>
      <numFmt numFmtId="2" formatCode="0.00"/>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BRALE"/>
        <scheme val="none"/>
      </font>
      <numFmt numFmtId="2"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indexed="64"/>
        </bottom>
      </border>
    </dxf>
    <dxf>
      <font>
        <b val="0"/>
        <i val="0"/>
        <strike val="0"/>
        <condense val="0"/>
        <extend val="0"/>
        <outline val="0"/>
        <shadow val="0"/>
        <u val="none"/>
        <vertAlign val="baseline"/>
        <sz val="11"/>
        <color auto="1"/>
        <name val="BRALE"/>
        <scheme val="none"/>
      </font>
      <numFmt numFmtId="1" formatCode="0"/>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indexed="64"/>
        </bottom>
      </border>
    </dxf>
    <dxf>
      <font>
        <b val="0"/>
        <i val="0"/>
        <strike val="0"/>
        <condense val="0"/>
        <extend val="0"/>
        <outline val="0"/>
        <shadow val="0"/>
        <u val="none"/>
        <vertAlign val="baseline"/>
        <sz val="11"/>
        <color auto="1"/>
        <name val="BRALE"/>
        <scheme val="none"/>
      </font>
      <numFmt numFmtId="2" formatCode="0.00"/>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indexed="64"/>
        </bottom>
      </border>
    </dxf>
    <dxf>
      <font>
        <b val="0"/>
        <i val="0"/>
        <strike val="0"/>
        <condense val="0"/>
        <extend val="0"/>
        <outline val="0"/>
        <shadow val="0"/>
        <u val="none"/>
        <vertAlign val="baseline"/>
        <sz val="11"/>
        <color auto="1"/>
        <name val="BRALE"/>
        <scheme val="none"/>
      </font>
      <numFmt numFmtId="2" formatCode="0.00"/>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indexed="64"/>
        </bottom>
      </border>
    </dxf>
    <dxf>
      <font>
        <b val="0"/>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indexed="64"/>
        </bottom>
      </border>
    </dxf>
    <dxf>
      <font>
        <b val="0"/>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indexed="64"/>
        </bottom>
      </border>
    </dxf>
    <dxf>
      <font>
        <b val="0"/>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thick">
          <color indexed="64"/>
        </bottom>
      </border>
    </dxf>
    <dxf>
      <font>
        <b val="0"/>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right/>
        <top/>
        <bottom style="thick">
          <color indexed="64"/>
        </bottom>
      </border>
    </dxf>
    <dxf>
      <font>
        <b val="0"/>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BRALE"/>
        <scheme val="none"/>
      </font>
      <fill>
        <patternFill patternType="solid">
          <fgColor indexed="64"/>
          <bgColor theme="0" tint="-4.9989318521683403E-2"/>
        </patternFill>
      </fill>
      <border diagonalUp="0" diagonalDown="0" outline="0">
        <left style="thick">
          <color indexed="64"/>
        </left>
        <right/>
        <top/>
        <bottom style="thick">
          <color indexed="64"/>
        </bottom>
      </border>
    </dxf>
    <dxf>
      <font>
        <b val="0"/>
        <i val="0"/>
        <strike val="0"/>
        <condense val="0"/>
        <extend val="0"/>
        <outline val="0"/>
        <shadow val="0"/>
        <u val="none"/>
        <vertAlign val="baseline"/>
        <sz val="11"/>
        <color auto="1"/>
        <name val="BRALE"/>
        <scheme val="none"/>
      </font>
      <fill>
        <patternFill patternType="solid">
          <fgColor indexed="64"/>
          <bgColor theme="0" tint="-4.9989318521683403E-2"/>
        </patternFill>
      </fill>
      <alignment horizontal="center" textRotation="0" wrapText="0" indent="0" justifyLastLine="0" shrinkToFit="0" readingOrder="0"/>
    </dxf>
    <dxf>
      <font>
        <b/>
      </font>
    </dxf>
    <dxf>
      <font>
        <b val="0"/>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alignment horizontal="left" textRotation="0" wrapText="0" indent="0" justifyLastLine="0" shrinkToFit="0" readingOrder="0"/>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BRALE"/>
        <scheme val="none"/>
      </font>
      <fill>
        <patternFill patternType="solid">
          <fgColor theme="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BRALE"/>
        <scheme val="none"/>
      </font>
    </dxf>
    <dxf>
      <font>
        <b val="0"/>
        <i val="0"/>
        <strike val="0"/>
        <condense val="0"/>
        <extend val="0"/>
        <outline val="0"/>
        <shadow val="0"/>
        <u val="none"/>
        <vertAlign val="baseline"/>
        <sz val="11"/>
        <color auto="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RALE"/>
        <scheme val="none"/>
      </font>
      <alignment horizontal="center" vertical="center" textRotation="0" indent="0" justifyLastLine="0" shrinkToFit="0" readingOrder="0"/>
    </dxf>
    <dxf>
      <font>
        <b/>
        <i val="0"/>
        <strike val="0"/>
        <condense val="0"/>
        <extend val="0"/>
        <outline val="0"/>
        <shadow val="0"/>
        <u val="none"/>
        <vertAlign val="baseline"/>
        <sz val="11"/>
        <color auto="1"/>
        <name val="BRALE"/>
        <scheme val="none"/>
      </font>
      <alignment horizontal="left" vertical="center" textRotation="0" wrapText="1" indent="0" justifyLastLine="0" shrinkToFit="0" readingOrder="0"/>
      <protection locked="0" hidden="0"/>
    </dxf>
    <dxf>
      <alignment horizontal="center" vertical="center" textRotation="0" indent="0" justifyLastLine="0" shrinkToFit="0" readingOrder="0"/>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BRALE"/>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BRALE"/>
        <scheme val="none"/>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BRALE"/>
        <scheme val="none"/>
      </font>
      <fill>
        <patternFill patternType="solid">
          <fgColor theme="4"/>
          <bgColor theme="4"/>
        </patternFill>
      </fill>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RALE"/>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BRALE"/>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dxf>
    <dxf>
      <font>
        <b val="0"/>
        <i val="0"/>
        <strike val="0"/>
        <condense val="0"/>
        <extend val="0"/>
        <outline val="0"/>
        <shadow val="0"/>
        <u val="none"/>
        <vertAlign val="baseline"/>
        <sz val="11"/>
        <color theme="1"/>
        <name val="BRALE"/>
        <scheme val="none"/>
      </font>
      <alignment horizontal="center"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textRotation="0" wrapText="0" indent="0" justifyLastLine="0" shrinkToFit="0" readingOrder="0"/>
    </dxf>
    <dxf>
      <alignment horizontal="center" textRotation="0" wrapText="0" indent="0" justifyLastLine="0" shrinkToFit="0" readingOrder="0"/>
    </dxf>
    <dxf>
      <alignment horizontal="left" textRotation="0" wrapText="0" indent="0" justifyLastLine="0" shrinkToFit="0" readingOrder="0"/>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BRALE"/>
        <scheme val="none"/>
      </font>
      <fill>
        <patternFill patternType="solid">
          <fgColor theme="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textRotation="0" wrapText="0" indent="0" justifyLastLine="0" shrinkToFit="0" readingOrder="0"/>
    </dxf>
    <dxf>
      <font>
        <b val="0"/>
        <i val="0"/>
        <strike val="0"/>
        <condense val="0"/>
        <extend val="0"/>
        <outline val="0"/>
        <shadow val="0"/>
        <u val="none"/>
        <vertAlign val="baseline"/>
        <sz val="11"/>
        <color theme="1"/>
        <name val="BRALE"/>
        <scheme val="none"/>
      </font>
      <alignment horizontal="center" textRotation="0" wrapText="0" indent="0" justifyLastLine="0" shrinkToFit="0" readingOrder="0"/>
    </dxf>
    <dxf>
      <alignment horizontal="left" textRotation="0" wrapText="0" indent="0" justifyLastLine="0" shrinkToFit="0" readingOrder="0"/>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BRALE"/>
        <scheme val="none"/>
      </font>
      <fill>
        <patternFill patternType="solid">
          <fgColor theme="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BRALE"/>
        <scheme val="none"/>
      </font>
      <fill>
        <patternFill patternType="none">
          <bgColor auto="1"/>
        </patternFill>
      </fill>
      <alignment horizontal="center" textRotation="0" wrapText="0" indent="0" justifyLastLine="0" shrinkToFit="0" readingOrder="0"/>
    </dxf>
    <dxf>
      <fill>
        <patternFill patternType="none">
          <bgColor auto="1"/>
        </patternFill>
      </fill>
      <alignment horizontal="center" textRotation="0" wrapText="0" indent="0" justifyLastLine="0" shrinkToFit="0" readingOrder="0"/>
    </dxf>
    <dxf>
      <fill>
        <patternFill patternType="none">
          <bgColor auto="1"/>
        </patternFill>
      </fill>
      <alignment horizontal="left" textRotation="0" wrapText="0" indent="0" justifyLastLine="0" shrinkToFit="0" readingOrder="0"/>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ill>
        <patternFill patternType="none">
          <bgColor auto="1"/>
        </patternFill>
      </fill>
    </dxf>
    <dxf>
      <border outline="0">
        <bottom style="thin">
          <color theme="4" tint="0.39997558519241921"/>
        </bottom>
      </border>
    </dxf>
    <dxf>
      <font>
        <b/>
        <i val="0"/>
        <strike val="0"/>
        <condense val="0"/>
        <extend val="0"/>
        <outline val="0"/>
        <shadow val="0"/>
        <u val="none"/>
        <vertAlign val="baseline"/>
        <sz val="11"/>
        <color theme="0"/>
        <name val="BRALE"/>
        <scheme val="none"/>
      </font>
      <fill>
        <patternFill patternType="solid">
          <fgColor theme="4"/>
          <bgColor theme="4"/>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BRALE"/>
        <scheme val="none"/>
      </font>
      <fill>
        <patternFill patternType="solid">
          <fgColor theme="4"/>
          <bgColor theme="4"/>
        </patternFill>
      </fill>
      <alignment horizontal="center" vertical="center" textRotation="0" wrapText="0" indent="0" justifyLastLine="0" shrinkToFit="0" readingOrder="0"/>
    </dxf>
    <dxf>
      <font>
        <strike val="0"/>
        <outline val="0"/>
        <shadow val="0"/>
        <u val="none"/>
        <vertAlign val="baseline"/>
        <sz val="11"/>
        <name val="BRALE"/>
        <scheme val="none"/>
      </font>
      <alignment horizontal="center" vertical="center" textRotation="0" wrapText="0" indent="0" justifyLastLine="0" shrinkToFit="0" readingOrder="0"/>
    </dxf>
    <dxf>
      <font>
        <strike val="0"/>
        <outline val="0"/>
        <shadow val="0"/>
        <u val="none"/>
        <vertAlign val="baseline"/>
        <sz val="11"/>
        <name val="BRALE"/>
        <scheme val="none"/>
      </font>
      <alignment horizontal="center" vertical="center" textRotation="0" wrapText="0" indent="0" justifyLastLine="0" shrinkToFit="0" readingOrder="0"/>
    </dxf>
    <dxf>
      <font>
        <strike val="0"/>
        <outline val="0"/>
        <shadow val="0"/>
        <u val="none"/>
        <vertAlign val="baseline"/>
        <sz val="11"/>
        <name val="BRALE"/>
        <scheme val="none"/>
      </font>
      <alignment horizontal="center" vertical="center" textRotation="0" wrapText="0" indent="0" justifyLastLine="0" shrinkToFit="0" readingOrder="0"/>
    </dxf>
    <dxf>
      <font>
        <strike val="0"/>
        <outline val="0"/>
        <shadow val="0"/>
        <u val="none"/>
        <vertAlign val="baseline"/>
        <sz val="11"/>
        <name val="BRALE"/>
        <scheme val="none"/>
      </font>
      <numFmt numFmtId="4" formatCode="#,##0.00"/>
      <alignment horizontal="center" vertical="center"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strike val="0"/>
        <outline val="0"/>
        <shadow val="0"/>
        <u val="none"/>
        <vertAlign val="baseline"/>
        <sz val="11"/>
        <name val="BRALE"/>
        <scheme val="none"/>
      </font>
      <numFmt numFmtId="4" formatCode="#,##0.00"/>
      <alignment horizontal="center" vertical="center" textRotation="0" wrapText="0"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font>
        <strike val="0"/>
        <outline val="0"/>
        <shadow val="0"/>
        <u val="none"/>
        <vertAlign val="baseline"/>
        <sz val="11"/>
        <name val="BRALE"/>
        <scheme val="none"/>
      </font>
      <alignment horizontal="center" vertical="center" textRotation="0" wrapText="0" indent="0" justifyLastLine="0" shrinkToFit="0" readingOrder="0"/>
    </dxf>
    <dxf>
      <border outline="0">
        <top style="thin">
          <color theme="4" tint="0.39997558519241921"/>
        </top>
      </border>
    </dxf>
    <dxf>
      <font>
        <strike val="0"/>
        <outline val="0"/>
        <shadow val="0"/>
        <u val="none"/>
        <vertAlign val="baseline"/>
        <sz val="11"/>
        <name val="BRALE"/>
        <scheme val="none"/>
      </font>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BRALE"/>
        <scheme val="none"/>
      </font>
      <fill>
        <patternFill patternType="solid">
          <fgColor theme="4"/>
          <bgColor theme="4"/>
        </patternFill>
      </fill>
      <alignment horizontal="center" vertical="center" textRotation="0" wrapText="0" indent="0" justifyLastLine="0" shrinkToFit="0" readingOrder="0"/>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2" defaultTableStyle="TableStyleMedium2" defaultPivotStyle="PivotStyleLight16">
    <tableStyle name="Geschäftsplan-Checkliste" pivot="0" count="4" xr9:uid="{10FCB7A0-9E47-4022-AF69-0DDACF29AF9C}">
      <tableStyleElement type="wholeTable" dxfId="694"/>
      <tableStyleElement type="headerRow" dxfId="693"/>
      <tableStyleElement type="lastColumn" dxfId="692"/>
      <tableStyleElement type="secondColumnStripe" dxfId="691"/>
    </tableStyle>
    <tableStyle name="Invisible" pivot="0" table="0" count="0" xr9:uid="{3B9EEC85-95EA-4105-9B61-CBCA456EF45D}"/>
  </tableStyles>
  <colors>
    <mruColors>
      <color rgb="FFBFBFBF"/>
      <color rgb="FF532C00"/>
      <color rgb="FF97C335"/>
      <color rgb="FFAAD054"/>
      <color rgb="FF558537"/>
      <color rgb="FF530000"/>
      <color rgb="FFAFDC7E"/>
      <color rgb="FF92D050"/>
      <color rgb="FFBABABA"/>
      <color rgb="FFA5A5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8" Type="http://schemas.openxmlformats.org/officeDocument/2006/relationships/image" Target="../media/image20.svg"/><Relationship Id="rId3" Type="http://schemas.openxmlformats.org/officeDocument/2006/relationships/image" Target="../media/image15.png"/><Relationship Id="rId7" Type="http://schemas.openxmlformats.org/officeDocument/2006/relationships/image" Target="../media/image19.png"/><Relationship Id="rId2" Type="http://schemas.microsoft.com/office/2011/relationships/chartColorStyle" Target="colors1.xml"/><Relationship Id="rId1" Type="http://schemas.microsoft.com/office/2011/relationships/chartStyle" Target="style1.xml"/><Relationship Id="rId6" Type="http://schemas.openxmlformats.org/officeDocument/2006/relationships/image" Target="../media/image18.svg"/><Relationship Id="rId5" Type="http://schemas.openxmlformats.org/officeDocument/2006/relationships/image" Target="../media/image17.png"/><Relationship Id="rId4" Type="http://schemas.openxmlformats.org/officeDocument/2006/relationships/image" Target="../media/image16.svg"/></Relationships>
</file>

<file path=xl/charts/_rels/chart2.xml.rels><?xml version="1.0" encoding="UTF-8" standalone="yes"?>
<Relationships xmlns="http://schemas.openxmlformats.org/package/2006/relationships"><Relationship Id="rId8" Type="http://schemas.openxmlformats.org/officeDocument/2006/relationships/image" Target="../media/image20.svg"/><Relationship Id="rId3" Type="http://schemas.openxmlformats.org/officeDocument/2006/relationships/image" Target="../media/image15.png"/><Relationship Id="rId7" Type="http://schemas.openxmlformats.org/officeDocument/2006/relationships/image" Target="../media/image19.png"/><Relationship Id="rId2" Type="http://schemas.microsoft.com/office/2011/relationships/chartColorStyle" Target="colors2.xml"/><Relationship Id="rId1" Type="http://schemas.microsoft.com/office/2011/relationships/chartStyle" Target="style2.xml"/><Relationship Id="rId6" Type="http://schemas.openxmlformats.org/officeDocument/2006/relationships/image" Target="../media/image18.svg"/><Relationship Id="rId5" Type="http://schemas.openxmlformats.org/officeDocument/2006/relationships/image" Target="../media/image17.png"/><Relationship Id="rId4" Type="http://schemas.openxmlformats.org/officeDocument/2006/relationships/image" Target="../media/image16.svg"/></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1" Type="http://schemas.openxmlformats.org/officeDocument/2006/relationships/image" Target="../media/image23.png"/></Relationships>
</file>

<file path=xl/charts/_rels/chart8.xml.rels><?xml version="1.0" encoding="UTF-8" standalone="yes"?>
<Relationships xmlns="http://schemas.openxmlformats.org/package/2006/relationships"><Relationship Id="rId3" Type="http://schemas.openxmlformats.org/officeDocument/2006/relationships/image" Target="../media/image23.png"/><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image" Target="../media/image16.svg"/></Relationships>
</file>

<file path=xl/charts/_rels/chart10.xml.rels><?xml version="1.0" encoding="UTF-8" standalone="yes"?>
<Relationships xmlns="http://schemas.openxmlformats.org/package/2006/relationships"><Relationship Id="rId8" Type="http://schemas.openxmlformats.org/officeDocument/2006/relationships/image" Target="../media/image20.svg"/><Relationship Id="rId3" Type="http://schemas.openxmlformats.org/officeDocument/2006/relationships/image" Target="../media/image15.png"/><Relationship Id="rId7" Type="http://schemas.openxmlformats.org/officeDocument/2006/relationships/image" Target="../media/image19.png"/><Relationship Id="rId2" Type="http://schemas.microsoft.com/office/2011/relationships/chartColorStyle" Target="colors9.xml"/><Relationship Id="rId1" Type="http://schemas.microsoft.com/office/2011/relationships/chartStyle" Target="style9.xml"/><Relationship Id="rId6" Type="http://schemas.openxmlformats.org/officeDocument/2006/relationships/image" Target="../media/image18.svg"/><Relationship Id="rId5" Type="http://schemas.openxmlformats.org/officeDocument/2006/relationships/image" Target="../media/image17.png"/><Relationship Id="rId4" Type="http://schemas.openxmlformats.org/officeDocument/2006/relationships/image" Target="../media/image16.svg"/></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8" Type="http://schemas.openxmlformats.org/officeDocument/2006/relationships/image" Target="../media/image20.svg"/><Relationship Id="rId3" Type="http://schemas.openxmlformats.org/officeDocument/2006/relationships/image" Target="../media/image15.png"/><Relationship Id="rId7" Type="http://schemas.openxmlformats.org/officeDocument/2006/relationships/image" Target="../media/image19.png"/><Relationship Id="rId2" Type="http://schemas.microsoft.com/office/2011/relationships/chartColorStyle" Target="colors11.xml"/><Relationship Id="rId1" Type="http://schemas.microsoft.com/office/2011/relationships/chartStyle" Target="style11.xml"/><Relationship Id="rId6" Type="http://schemas.openxmlformats.org/officeDocument/2006/relationships/image" Target="../media/image18.svg"/><Relationship Id="rId5" Type="http://schemas.openxmlformats.org/officeDocument/2006/relationships/image" Target="../media/image17.png"/><Relationship Id="rId4" Type="http://schemas.openxmlformats.org/officeDocument/2006/relationships/image" Target="../media/image16.svg"/></Relationships>
</file>

<file path=xl/charts/_rels/chart14.xml.rels><?xml version="1.0" encoding="UTF-8" standalone="yes"?>
<Relationships xmlns="http://schemas.openxmlformats.org/package/2006/relationships"><Relationship Id="rId1" Type="http://schemas.openxmlformats.org/officeDocument/2006/relationships/image" Target="../media/image23.png"/></Relationships>
</file>

<file path=xl/charts/_rels/chart15.xml.rels><?xml version="1.0" encoding="UTF-8" standalone="yes"?>
<Relationships xmlns="http://schemas.openxmlformats.org/package/2006/relationships"><Relationship Id="rId3" Type="http://schemas.openxmlformats.org/officeDocument/2006/relationships/image" Target="../media/image29.png"/><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16763419434668E-2"/>
          <c:y val="4.0260592425946762E-2"/>
          <c:w val="0.89936902803039898"/>
          <c:h val="0.77741358187031351"/>
        </c:manualLayout>
      </c:layout>
      <c:scatterChart>
        <c:scatterStyle val="lineMarker"/>
        <c:varyColors val="0"/>
        <c:ser>
          <c:idx val="0"/>
          <c:order val="0"/>
          <c:tx>
            <c:strRef>
              <c:f>Datenaustausch!$AR$72</c:f>
              <c:strCache>
                <c:ptCount val="1"/>
                <c:pt idx="0">
                  <c:v>Vor Sanierung</c:v>
                </c:pt>
              </c:strCache>
            </c:strRef>
          </c:tx>
          <c:spPr>
            <a:ln w="25400" cap="rnd">
              <a:noFill/>
              <a:round/>
            </a:ln>
            <a:effectLst/>
          </c:spPr>
          <c:marker>
            <c:symbol val="square"/>
            <c:size val="32"/>
            <c:spPr>
              <a:blipFill dpi="0" rotWithShape="1">
                <a:blip xmlns:r="http://schemas.openxmlformats.org/officeDocument/2006/relationships" r:embed="rId3">
                  <a:extLst>
                    <a:ext uri="{96DAC541-7B7A-43D3-8B79-37D633B846F1}">
                      <asvg:svgBlip xmlns:asvg="http://schemas.microsoft.com/office/drawing/2016/SVG/main" r:embed="rId4"/>
                    </a:ext>
                  </a:extLst>
                </a:blip>
                <a:srcRect/>
                <a:stretch>
                  <a:fillRect/>
                </a:stretch>
              </a:blipFill>
              <a:ln w="6350" cap="sq">
                <a:noFill/>
                <a:bevel/>
              </a:ln>
              <a:effectLst/>
            </c:spPr>
          </c:marker>
          <c:dPt>
            <c:idx val="0"/>
            <c:marker>
              <c:symbol val="square"/>
              <c:size val="25"/>
              <c:spPr>
                <a:blipFill dpi="0" rotWithShape="1">
                  <a:blip xmlns:r="http://schemas.openxmlformats.org/officeDocument/2006/relationships" r:embed="rId3">
                    <a:extLst>
                      <a:ext uri="{96DAC541-7B7A-43D3-8B79-37D633B846F1}">
                        <asvg:svgBlip xmlns:asvg="http://schemas.microsoft.com/office/drawing/2016/SVG/main" r:embed="rId4"/>
                      </a:ext>
                    </a:extLst>
                  </a:blip>
                  <a:srcRect/>
                  <a:stretch>
                    <a:fillRect/>
                  </a:stretch>
                </a:blipFill>
                <a:ln w="6350" cap="sq">
                  <a:noFill/>
                  <a:bevel/>
                </a:ln>
                <a:effectLst/>
              </c:spPr>
            </c:marker>
            <c:bubble3D val="0"/>
            <c:extLst>
              <c:ext xmlns:c16="http://schemas.microsoft.com/office/drawing/2014/chart" uri="{C3380CC4-5D6E-409C-BE32-E72D297353CC}">
                <c16:uniqueId val="{00000000-3BE7-424C-9CAF-C7A740851FB5}"/>
              </c:ext>
            </c:extLst>
          </c:dPt>
          <c:xVal>
            <c:numRef>
              <c:f>Datenaustausch!$AS$72</c:f>
              <c:numCache>
                <c:formatCode>0</c:formatCode>
                <c:ptCount val="1"/>
                <c:pt idx="0">
                  <c:v>0</c:v>
                </c:pt>
              </c:numCache>
            </c:numRef>
          </c:xVal>
          <c:yVal>
            <c:numRef>
              <c:f>Datenaustausch!$AT$72</c:f>
              <c:numCache>
                <c:formatCode>General</c:formatCode>
                <c:ptCount val="1"/>
                <c:pt idx="0">
                  <c:v>0</c:v>
                </c:pt>
              </c:numCache>
            </c:numRef>
          </c:yVal>
          <c:smooth val="0"/>
          <c:extLst>
            <c:ext xmlns:c16="http://schemas.microsoft.com/office/drawing/2014/chart" uri="{C3380CC4-5D6E-409C-BE32-E72D297353CC}">
              <c16:uniqueId val="{00000001-3BE7-424C-9CAF-C7A740851FB5}"/>
            </c:ext>
          </c:extLst>
        </c:ser>
        <c:ser>
          <c:idx val="1"/>
          <c:order val="1"/>
          <c:tx>
            <c:strRef>
              <c:f>Datenaustausch!$AR$73</c:f>
              <c:strCache>
                <c:ptCount val="1"/>
                <c:pt idx="0">
                  <c:v>Nach Sanierung</c:v>
                </c:pt>
              </c:strCache>
            </c:strRef>
          </c:tx>
          <c:spPr>
            <a:ln w="25400" cap="rnd">
              <a:noFill/>
              <a:round/>
            </a:ln>
            <a:effectLst/>
          </c:spPr>
          <c:marker>
            <c:symbol val="circle"/>
            <c:size val="5"/>
            <c:spPr>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ln w="9525">
                <a:solidFill>
                  <a:schemeClr val="accent2"/>
                </a:solidFill>
              </a:ln>
              <a:effectLst/>
            </c:spPr>
          </c:marker>
          <c:dPt>
            <c:idx val="0"/>
            <c:marker>
              <c:symbol val="circle"/>
              <c:size val="25"/>
              <c:spPr>
                <a:blipFill dpi="0" rotWithShape="1">
                  <a:blip xmlns:r="http://schemas.openxmlformats.org/officeDocument/2006/relationships" r:embed="rId7">
                    <a:alphaModFix amt="98000"/>
                    <a:extLst>
                      <a:ext uri="{96DAC541-7B7A-43D3-8B79-37D633B846F1}">
                        <asvg:svgBlip xmlns:asvg="http://schemas.microsoft.com/office/drawing/2016/SVG/main" r:embed="rId8"/>
                      </a:ext>
                    </a:extLst>
                  </a:blip>
                  <a:srcRect/>
                  <a:stretch>
                    <a:fillRect/>
                  </a:stretch>
                </a:blipFill>
                <a:ln w="9525">
                  <a:noFill/>
                </a:ln>
                <a:effectLst/>
              </c:spPr>
            </c:marker>
            <c:bubble3D val="0"/>
            <c:spPr>
              <a:ln w="3175" cap="sq" cmpd="dbl">
                <a:noFill/>
                <a:round/>
                <a:tailEnd type="triangle"/>
              </a:ln>
              <a:effectLst/>
            </c:spPr>
            <c:extLst>
              <c:ext xmlns:c16="http://schemas.microsoft.com/office/drawing/2014/chart" uri="{C3380CC4-5D6E-409C-BE32-E72D297353CC}">
                <c16:uniqueId val="{00000003-3BE7-424C-9CAF-C7A740851FB5}"/>
              </c:ext>
            </c:extLst>
          </c:dPt>
          <c:xVal>
            <c:numRef>
              <c:f>Datenaustausch!$AS$73</c:f>
              <c:numCache>
                <c:formatCode>0</c:formatCode>
                <c:ptCount val="1"/>
                <c:pt idx="0">
                  <c:v>0</c:v>
                </c:pt>
              </c:numCache>
            </c:numRef>
          </c:xVal>
          <c:yVal>
            <c:numRef>
              <c:f>Datenaustausch!$AT$73</c:f>
              <c:numCache>
                <c:formatCode>General</c:formatCode>
                <c:ptCount val="1"/>
                <c:pt idx="0">
                  <c:v>0</c:v>
                </c:pt>
              </c:numCache>
            </c:numRef>
          </c:yVal>
          <c:smooth val="0"/>
          <c:extLst>
            <c:ext xmlns:c16="http://schemas.microsoft.com/office/drawing/2014/chart" uri="{C3380CC4-5D6E-409C-BE32-E72D297353CC}">
              <c16:uniqueId val="{00000004-3BE7-424C-9CAF-C7A740851FB5}"/>
            </c:ext>
          </c:extLst>
        </c:ser>
        <c:dLbls>
          <c:showLegendKey val="0"/>
          <c:showVal val="0"/>
          <c:showCatName val="0"/>
          <c:showSerName val="0"/>
          <c:showPercent val="0"/>
          <c:showBubbleSize val="0"/>
        </c:dLbls>
        <c:axId val="1562699216"/>
        <c:axId val="867378703"/>
      </c:scatterChart>
      <c:valAx>
        <c:axId val="1562699216"/>
        <c:scaling>
          <c:orientation val="minMax"/>
          <c:max val="250"/>
          <c:min val="1"/>
        </c:scaling>
        <c:delete val="0"/>
        <c:axPos val="b"/>
        <c:majorGridlines>
          <c:spPr>
            <a:ln w="9525" cap="flat" cmpd="sng" algn="ctr">
              <a:noFill/>
              <a:round/>
            </a:ln>
            <a:effectLst/>
          </c:spPr>
        </c:majorGridlines>
        <c:numFmt formatCode="0"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7378703"/>
        <c:crosses val="autoZero"/>
        <c:crossBetween val="midCat"/>
      </c:valAx>
      <c:valAx>
        <c:axId val="867378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2699216"/>
        <c:crossesAt val="0"/>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16763419434668E-2"/>
          <c:y val="4.0260592425946762E-2"/>
          <c:w val="0.89936902803039898"/>
          <c:h val="0.77741358187031351"/>
        </c:manualLayout>
      </c:layout>
      <c:scatterChart>
        <c:scatterStyle val="lineMarker"/>
        <c:varyColors val="0"/>
        <c:ser>
          <c:idx val="0"/>
          <c:order val="0"/>
          <c:tx>
            <c:strRef>
              <c:f>Datenaustausch!$AR$72</c:f>
              <c:strCache>
                <c:ptCount val="1"/>
                <c:pt idx="0">
                  <c:v>Vor Sanierung</c:v>
                </c:pt>
              </c:strCache>
            </c:strRef>
          </c:tx>
          <c:spPr>
            <a:ln w="25400" cap="rnd">
              <a:noFill/>
              <a:round/>
            </a:ln>
            <a:effectLst/>
          </c:spPr>
          <c:marker>
            <c:symbol val="square"/>
            <c:size val="32"/>
            <c:spPr>
              <a:blipFill dpi="0" rotWithShape="1">
                <a:blip xmlns:r="http://schemas.openxmlformats.org/officeDocument/2006/relationships" r:embed="rId3">
                  <a:extLst>
                    <a:ext uri="{96DAC541-7B7A-43D3-8B79-37D633B846F1}">
                      <asvg:svgBlip xmlns:asvg="http://schemas.microsoft.com/office/drawing/2016/SVG/main" r:embed="rId4"/>
                    </a:ext>
                  </a:extLst>
                </a:blip>
                <a:srcRect/>
                <a:stretch>
                  <a:fillRect/>
                </a:stretch>
              </a:blipFill>
              <a:ln w="6350" cap="sq">
                <a:noFill/>
                <a:bevel/>
              </a:ln>
              <a:effectLst/>
            </c:spPr>
          </c:marker>
          <c:dPt>
            <c:idx val="0"/>
            <c:marker>
              <c:symbol val="square"/>
              <c:size val="16"/>
              <c:spPr>
                <a:blipFill dpi="0" rotWithShape="1">
                  <a:blip xmlns:r="http://schemas.openxmlformats.org/officeDocument/2006/relationships" r:embed="rId3">
                    <a:extLst>
                      <a:ext uri="{96DAC541-7B7A-43D3-8B79-37D633B846F1}">
                        <asvg:svgBlip xmlns:asvg="http://schemas.microsoft.com/office/drawing/2016/SVG/main" r:embed="rId4"/>
                      </a:ext>
                    </a:extLst>
                  </a:blip>
                  <a:srcRect/>
                  <a:stretch>
                    <a:fillRect/>
                  </a:stretch>
                </a:blipFill>
                <a:ln w="6350" cap="sq">
                  <a:noFill/>
                  <a:bevel/>
                </a:ln>
                <a:effectLst/>
              </c:spPr>
            </c:marker>
            <c:bubble3D val="0"/>
            <c:extLst>
              <c:ext xmlns:c16="http://schemas.microsoft.com/office/drawing/2014/chart" uri="{C3380CC4-5D6E-409C-BE32-E72D297353CC}">
                <c16:uniqueId val="{00000000-CB05-4CE1-A07F-11510CF83EC6}"/>
              </c:ext>
            </c:extLst>
          </c:dPt>
          <c:xVal>
            <c:numRef>
              <c:f>Datenaustausch!$AS$72</c:f>
              <c:numCache>
                <c:formatCode>0</c:formatCode>
                <c:ptCount val="1"/>
                <c:pt idx="0">
                  <c:v>0</c:v>
                </c:pt>
              </c:numCache>
            </c:numRef>
          </c:xVal>
          <c:yVal>
            <c:numRef>
              <c:f>Datenaustausch!$AT$72</c:f>
              <c:numCache>
                <c:formatCode>General</c:formatCode>
                <c:ptCount val="1"/>
                <c:pt idx="0">
                  <c:v>0</c:v>
                </c:pt>
              </c:numCache>
            </c:numRef>
          </c:yVal>
          <c:smooth val="0"/>
          <c:extLst>
            <c:ext xmlns:c16="http://schemas.microsoft.com/office/drawing/2014/chart" uri="{C3380CC4-5D6E-409C-BE32-E72D297353CC}">
              <c16:uniqueId val="{00000001-CB05-4CE1-A07F-11510CF83EC6}"/>
            </c:ext>
          </c:extLst>
        </c:ser>
        <c:ser>
          <c:idx val="1"/>
          <c:order val="1"/>
          <c:tx>
            <c:strRef>
              <c:f>Datenaustausch!$AG$54</c:f>
              <c:strCache>
                <c:ptCount val="1"/>
                <c:pt idx="0">
                  <c:v>iSFP</c:v>
                </c:pt>
              </c:strCache>
            </c:strRef>
          </c:tx>
          <c:spPr>
            <a:ln w="25400" cap="rnd">
              <a:noFill/>
              <a:round/>
            </a:ln>
            <a:effectLst/>
          </c:spPr>
          <c:marker>
            <c:symbol val="circle"/>
            <c:size val="5"/>
            <c:spPr>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ln w="9525">
                <a:solidFill>
                  <a:schemeClr val="accent2"/>
                </a:solidFill>
              </a:ln>
              <a:effectLst/>
            </c:spPr>
          </c:marker>
          <c:dPt>
            <c:idx val="0"/>
            <c:marker>
              <c:symbol val="circle"/>
              <c:size val="16"/>
              <c:spPr>
                <a:blipFill dpi="0" rotWithShape="1">
                  <a:blip xmlns:r="http://schemas.openxmlformats.org/officeDocument/2006/relationships" r:embed="rId7">
                    <a:extLst>
                      <a:ext uri="{96DAC541-7B7A-43D3-8B79-37D633B846F1}">
                        <asvg:svgBlip xmlns:asvg="http://schemas.microsoft.com/office/drawing/2016/SVG/main" r:embed="rId8"/>
                      </a:ext>
                    </a:extLst>
                  </a:blip>
                  <a:srcRect/>
                  <a:stretch>
                    <a:fillRect/>
                  </a:stretch>
                </a:blipFill>
                <a:ln w="9525">
                  <a:noFill/>
                </a:ln>
                <a:effectLst/>
              </c:spPr>
            </c:marker>
            <c:bubble3D val="0"/>
            <c:spPr>
              <a:ln w="3175" cap="sq" cmpd="dbl">
                <a:noFill/>
                <a:round/>
                <a:tailEnd type="triangle"/>
              </a:ln>
              <a:effectLst/>
            </c:spPr>
            <c:extLst>
              <c:ext xmlns:c16="http://schemas.microsoft.com/office/drawing/2014/chart" uri="{C3380CC4-5D6E-409C-BE32-E72D297353CC}">
                <c16:uniqueId val="{00000003-CB05-4CE1-A07F-11510CF83EC6}"/>
              </c:ext>
            </c:extLst>
          </c:dPt>
          <c:xVal>
            <c:numRef>
              <c:f>Datenaustausch!$AH$54</c:f>
              <c:numCache>
                <c:formatCode>0</c:formatCode>
                <c:ptCount val="1"/>
                <c:pt idx="0">
                  <c:v>0</c:v>
                </c:pt>
              </c:numCache>
            </c:numRef>
          </c:xVal>
          <c:yVal>
            <c:numRef>
              <c:f>Datenaustausch!$AT$73</c:f>
              <c:numCache>
                <c:formatCode>General</c:formatCode>
                <c:ptCount val="1"/>
                <c:pt idx="0">
                  <c:v>0</c:v>
                </c:pt>
              </c:numCache>
            </c:numRef>
          </c:yVal>
          <c:smooth val="0"/>
          <c:extLst>
            <c:ext xmlns:c16="http://schemas.microsoft.com/office/drawing/2014/chart" uri="{C3380CC4-5D6E-409C-BE32-E72D297353CC}">
              <c16:uniqueId val="{00000004-CB05-4CE1-A07F-11510CF83EC6}"/>
            </c:ext>
          </c:extLst>
        </c:ser>
        <c:dLbls>
          <c:showLegendKey val="0"/>
          <c:showVal val="0"/>
          <c:showCatName val="0"/>
          <c:showSerName val="0"/>
          <c:showPercent val="0"/>
          <c:showBubbleSize val="0"/>
        </c:dLbls>
        <c:axId val="1562699216"/>
        <c:axId val="867378703"/>
      </c:scatterChart>
      <c:valAx>
        <c:axId val="1562699216"/>
        <c:scaling>
          <c:orientation val="minMax"/>
          <c:max val="250"/>
          <c:min val="1"/>
        </c:scaling>
        <c:delete val="0"/>
        <c:axPos val="b"/>
        <c:majorGridlines>
          <c:spPr>
            <a:ln w="9525" cap="flat" cmpd="sng" algn="ctr">
              <a:noFill/>
              <a:round/>
            </a:ln>
            <a:effectLst/>
          </c:spPr>
        </c:majorGridlines>
        <c:numFmt formatCode="0"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7378703"/>
        <c:crosses val="autoZero"/>
        <c:crossBetween val="midCat"/>
      </c:valAx>
      <c:valAx>
        <c:axId val="867378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2699216"/>
        <c:crossesAt val="0"/>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034093805650399E-2"/>
          <c:y val="7.9670606590497725E-2"/>
          <c:w val="0.94495734163393097"/>
          <c:h val="0.82857965821650925"/>
        </c:manualLayout>
      </c:layout>
      <c:barChart>
        <c:barDir val="col"/>
        <c:grouping val="stacked"/>
        <c:varyColors val="0"/>
        <c:ser>
          <c:idx val="1"/>
          <c:order val="0"/>
          <c:tx>
            <c:strRef>
              <c:f>Datenbank!$AM$102</c:f>
              <c:strCache>
                <c:ptCount val="1"/>
                <c:pt idx="0">
                  <c:v>Kosten</c:v>
                </c:pt>
              </c:strCache>
            </c:strRef>
          </c:tx>
          <c:spPr>
            <a:solidFill>
              <a:srgbClr val="53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Datenbank!$AN$101:$AO$101</c:f>
              <c:strCache>
                <c:ptCount val="2"/>
                <c:pt idx="0">
                  <c:v>Einnahmen</c:v>
                </c:pt>
                <c:pt idx="1">
                  <c:v>Ausgaben</c:v>
                </c:pt>
              </c:strCache>
            </c:strRef>
          </c:cat>
          <c:val>
            <c:numRef>
              <c:f>Datenbank!$AN$102:$AO$102</c:f>
              <c:numCache>
                <c:formatCode>#,##0.00\ "€"</c:formatCode>
                <c:ptCount val="2"/>
                <c:pt idx="1">
                  <c:v>0</c:v>
                </c:pt>
              </c:numCache>
            </c:numRef>
          </c:val>
          <c:extLst>
            <c:ext xmlns:c16="http://schemas.microsoft.com/office/drawing/2014/chart" uri="{C3380CC4-5D6E-409C-BE32-E72D297353CC}">
              <c16:uniqueId val="{00000000-6909-426E-8550-6C52CBA6FF45}"/>
            </c:ext>
          </c:extLst>
        </c:ser>
        <c:ser>
          <c:idx val="3"/>
          <c:order val="1"/>
          <c:tx>
            <c:strRef>
              <c:f>Datenbank!$AM$104</c:f>
              <c:strCache>
                <c:ptCount val="1"/>
                <c:pt idx="0">
                  <c:v>Einsparung</c:v>
                </c:pt>
              </c:strCache>
            </c:strRef>
          </c:tx>
          <c:spPr>
            <a:solidFill>
              <a:srgbClr val="97C335"/>
            </a:solidFill>
            <a:ln>
              <a:noFill/>
            </a:ln>
            <a:effectLst/>
          </c:spPr>
          <c:invertIfNegative val="0"/>
          <c:dPt>
            <c:idx val="0"/>
            <c:invertIfNegative val="0"/>
            <c:bubble3D val="0"/>
            <c:spPr>
              <a:solidFill>
                <a:srgbClr val="97C335"/>
              </a:solidFill>
              <a:ln>
                <a:noFill/>
              </a:ln>
              <a:effectLst/>
            </c:spPr>
            <c:extLst>
              <c:ext xmlns:c16="http://schemas.microsoft.com/office/drawing/2014/chart" uri="{C3380CC4-5D6E-409C-BE32-E72D297353CC}">
                <c16:uniqueId val="{00000002-6909-426E-8550-6C52CBA6FF45}"/>
              </c:ext>
            </c:extLst>
          </c:dPt>
          <c:dLbls>
            <c:dLbl>
              <c:idx val="0"/>
              <c:tx>
                <c:rich>
                  <a:bodyPr/>
                  <a:lstStyle/>
                  <a:p>
                    <a:fld id="{72AE609D-6DA7-4B58-A706-43435A18152B}" type="SERIESNAME">
                      <a:rPr lang="en-US" sz="600"/>
                      <a:pPr/>
                      <a:t>[DATENREIHENNAME]</a:t>
                    </a:fld>
                    <a:endParaRPr lang="de-DE"/>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909-426E-8550-6C52CBA6FF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Datenbank!$AN$101:$AO$101</c:f>
              <c:strCache>
                <c:ptCount val="2"/>
                <c:pt idx="0">
                  <c:v>Einnahmen</c:v>
                </c:pt>
                <c:pt idx="1">
                  <c:v>Ausgaben</c:v>
                </c:pt>
              </c:strCache>
            </c:strRef>
          </c:cat>
          <c:val>
            <c:numRef>
              <c:f>Datenbank!$AN$104:$AO$104</c:f>
              <c:numCache>
                <c:formatCode>General</c:formatCode>
                <c:ptCount val="2"/>
                <c:pt idx="0" formatCode="#,##0.00\ &quot;€&quot;">
                  <c:v>0</c:v>
                </c:pt>
              </c:numCache>
            </c:numRef>
          </c:val>
          <c:extLst>
            <c:ext xmlns:c16="http://schemas.microsoft.com/office/drawing/2014/chart" uri="{C3380CC4-5D6E-409C-BE32-E72D297353CC}">
              <c16:uniqueId val="{00000003-6909-426E-8550-6C52CBA6FF45}"/>
            </c:ext>
          </c:extLst>
        </c:ser>
        <c:ser>
          <c:idx val="4"/>
          <c:order val="2"/>
          <c:tx>
            <c:strRef>
              <c:f>Datenbank!$AM$106</c:f>
              <c:strCache>
                <c:ptCount val="1"/>
                <c:pt idx="0">
                  <c:v>Förderung</c:v>
                </c:pt>
              </c:strCache>
            </c:strRef>
          </c:tx>
          <c:spPr>
            <a:solidFill>
              <a:srgbClr val="AAD054"/>
            </a:solidFill>
            <a:ln>
              <a:noFill/>
            </a:ln>
            <a:effectLst/>
          </c:spPr>
          <c:invertIfNegative val="0"/>
          <c:dLbls>
            <c:dLbl>
              <c:idx val="0"/>
              <c:tx>
                <c:rich>
                  <a:bodyPr/>
                  <a:lstStyle/>
                  <a:p>
                    <a:fld id="{28FAB7EF-282F-40A3-AAF7-2B1E7BD89214}" type="SERIESNAME">
                      <a:rPr lang="en-US" sz="600"/>
                      <a:pPr/>
                      <a:t>[DATENREIHENNAME]</a:t>
                    </a:fld>
                    <a:endParaRPr lang="de-DE"/>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F48-4CFB-A93D-307920C45E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Datenbank!$AN$106:$AO$106</c:f>
              <c:numCache>
                <c:formatCode>General</c:formatCode>
                <c:ptCount val="2"/>
                <c:pt idx="0" formatCode="#,##0.00\ &quot;€&quot;">
                  <c:v>0</c:v>
                </c:pt>
              </c:numCache>
            </c:numRef>
          </c:val>
          <c:extLst>
            <c:ext xmlns:c16="http://schemas.microsoft.com/office/drawing/2014/chart" uri="{C3380CC4-5D6E-409C-BE32-E72D297353CC}">
              <c16:uniqueId val="{00000004-6909-426E-8550-6C52CBA6FF45}"/>
            </c:ext>
          </c:extLst>
        </c:ser>
        <c:ser>
          <c:idx val="2"/>
          <c:order val="3"/>
          <c:tx>
            <c:strRef>
              <c:f>Datenbank!$AM$103</c:f>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Datenbank!$AN$103:$AO$103</c:f>
              <c:numCache>
                <c:formatCode>#,##0.00\ "€"</c:formatCode>
                <c:ptCount val="2"/>
                <c:pt idx="1">
                  <c:v>0</c:v>
                </c:pt>
              </c:numCache>
            </c:numRef>
          </c:val>
          <c:extLst>
            <c:ext xmlns:c16="http://schemas.microsoft.com/office/drawing/2014/chart" uri="{C3380CC4-5D6E-409C-BE32-E72D297353CC}">
              <c16:uniqueId val="{00000007-6909-426E-8550-6C52CBA6FF45}"/>
            </c:ext>
          </c:extLst>
        </c:ser>
        <c:dLbls>
          <c:showLegendKey val="0"/>
          <c:showVal val="0"/>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33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1"/>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crossAx val="2060003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74061813351651E-2"/>
          <c:y val="8.2084828970506424E-2"/>
          <c:w val="0.95925938186648352"/>
          <c:h val="0.81641346292530559"/>
        </c:manualLayout>
      </c:layout>
      <c:barChart>
        <c:barDir val="col"/>
        <c:grouping val="stacked"/>
        <c:varyColors val="0"/>
        <c:ser>
          <c:idx val="1"/>
          <c:order val="0"/>
          <c:tx>
            <c:strRef>
              <c:f>Datenbank!$AM$212</c:f>
              <c:strCache>
                <c:ptCount val="1"/>
                <c:pt idx="0">
                  <c:v>Kosten</c:v>
                </c:pt>
              </c:strCache>
            </c:strRef>
          </c:tx>
          <c:spPr>
            <a:solidFill>
              <a:srgbClr val="53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Datenbank!$AN$212:$AO$212</c:f>
              <c:numCache>
                <c:formatCode>#,##0.00\ "€"</c:formatCode>
                <c:ptCount val="2"/>
                <c:pt idx="1">
                  <c:v>0</c:v>
                </c:pt>
              </c:numCache>
            </c:numRef>
          </c:val>
          <c:extLst>
            <c:ext xmlns:c16="http://schemas.microsoft.com/office/drawing/2014/chart" uri="{C3380CC4-5D6E-409C-BE32-E72D297353CC}">
              <c16:uniqueId val="{00000000-165B-45F7-91B2-6C405F0C9C3C}"/>
            </c:ext>
          </c:extLst>
        </c:ser>
        <c:ser>
          <c:idx val="3"/>
          <c:order val="1"/>
          <c:tx>
            <c:strRef>
              <c:f>Datenbank!$AM$214</c:f>
              <c:strCache>
                <c:ptCount val="1"/>
                <c:pt idx="0">
                  <c:v>Einsparung</c:v>
                </c:pt>
              </c:strCache>
            </c:strRef>
          </c:tx>
          <c:spPr>
            <a:solidFill>
              <a:srgbClr val="97C3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Datenbank!$AN$214:$AO$214</c:f>
              <c:numCache>
                <c:formatCode>General</c:formatCode>
                <c:ptCount val="2"/>
                <c:pt idx="0" formatCode="#,##0.00\ &quot;€&quot;">
                  <c:v>0</c:v>
                </c:pt>
              </c:numCache>
            </c:numRef>
          </c:val>
          <c:extLst>
            <c:ext xmlns:c16="http://schemas.microsoft.com/office/drawing/2014/chart" uri="{C3380CC4-5D6E-409C-BE32-E72D297353CC}">
              <c16:uniqueId val="{00000001-165B-45F7-91B2-6C405F0C9C3C}"/>
            </c:ext>
          </c:extLst>
        </c:ser>
        <c:ser>
          <c:idx val="4"/>
          <c:order val="2"/>
          <c:tx>
            <c:strRef>
              <c:f>Datenbank!$AM$216</c:f>
              <c:strCache>
                <c:ptCount val="1"/>
                <c:pt idx="0">
                  <c:v>Förderung</c:v>
                </c:pt>
              </c:strCache>
            </c:strRef>
          </c:tx>
          <c:spPr>
            <a:solidFill>
              <a:srgbClr val="AAD0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Datenbank!$AN$216:$AO$216</c:f>
              <c:numCache>
                <c:formatCode>General</c:formatCode>
                <c:ptCount val="2"/>
                <c:pt idx="0" formatCode="#,##0.00\ &quot;€&quot;">
                  <c:v>0</c:v>
                </c:pt>
              </c:numCache>
            </c:numRef>
          </c:val>
          <c:extLst>
            <c:ext xmlns:c16="http://schemas.microsoft.com/office/drawing/2014/chart" uri="{C3380CC4-5D6E-409C-BE32-E72D297353CC}">
              <c16:uniqueId val="{00000002-165B-45F7-91B2-6C405F0C9C3C}"/>
            </c:ext>
          </c:extLst>
        </c:ser>
        <c:ser>
          <c:idx val="2"/>
          <c:order val="3"/>
          <c:tx>
            <c:strRef>
              <c:f>Datenbank!$AM$213</c:f>
              <c:strCache>
                <c:ptCount val="1"/>
              </c:strCache>
            </c:strRef>
          </c:tx>
          <c:spPr>
            <a:solidFill>
              <a:schemeClr val="accent3"/>
            </a:solidFill>
            <a:ln>
              <a:noFill/>
            </a:ln>
            <a:effectLst/>
          </c:spPr>
          <c:invertIfNegative val="0"/>
          <c:dLbls>
            <c:delete val="1"/>
          </c:dLbls>
          <c:val>
            <c:numRef>
              <c:f>Datenbank!$AN$213:$AO$213</c:f>
              <c:numCache>
                <c:formatCode>#,##0.00\ "€"</c:formatCode>
                <c:ptCount val="2"/>
                <c:pt idx="1">
                  <c:v>0</c:v>
                </c:pt>
              </c:numCache>
            </c:numRef>
          </c:val>
          <c:extLst>
            <c:ext xmlns:c16="http://schemas.microsoft.com/office/drawing/2014/chart" uri="{C3380CC4-5D6E-409C-BE32-E72D297353CC}">
              <c16:uniqueId val="{00000005-165B-45F7-91B2-6C405F0C9C3C}"/>
            </c:ext>
          </c:extLst>
        </c:ser>
        <c:dLbls>
          <c:showLegendKey val="0"/>
          <c:showVal val="1"/>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1"/>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crossAx val="206000335"/>
        <c:crosses val="autoZero"/>
        <c:crossBetween val="between"/>
        <c:majorUnit val="50000"/>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000629921259844E-2"/>
          <c:y val="8.2084828970506424E-2"/>
          <c:w val="0.95664629921259847"/>
          <c:h val="0.81641346292530559"/>
        </c:manualLayout>
      </c:layout>
      <c:barChart>
        <c:barDir val="col"/>
        <c:grouping val="stacked"/>
        <c:varyColors val="0"/>
        <c:ser>
          <c:idx val="1"/>
          <c:order val="0"/>
          <c:tx>
            <c:strRef>
              <c:f>Datenbank!$AM$329</c:f>
              <c:strCache>
                <c:ptCount val="1"/>
                <c:pt idx="0">
                  <c:v>Kosten</c:v>
                </c:pt>
              </c:strCache>
            </c:strRef>
          </c:tx>
          <c:spPr>
            <a:solidFill>
              <a:srgbClr val="53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Datenbank!$AN$329:$AO$329</c:f>
              <c:numCache>
                <c:formatCode>#,##0.00\ "€"</c:formatCode>
                <c:ptCount val="2"/>
                <c:pt idx="1">
                  <c:v>0</c:v>
                </c:pt>
              </c:numCache>
            </c:numRef>
          </c:val>
          <c:extLst>
            <c:ext xmlns:c16="http://schemas.microsoft.com/office/drawing/2014/chart" uri="{C3380CC4-5D6E-409C-BE32-E72D297353CC}">
              <c16:uniqueId val="{00000000-D408-40EA-A589-3DCCD3DAEAB8}"/>
            </c:ext>
          </c:extLst>
        </c:ser>
        <c:ser>
          <c:idx val="3"/>
          <c:order val="1"/>
          <c:tx>
            <c:strRef>
              <c:f>Datenbank!$AM$331</c:f>
              <c:strCache>
                <c:ptCount val="1"/>
                <c:pt idx="0">
                  <c:v>Einsparung</c:v>
                </c:pt>
              </c:strCache>
            </c:strRef>
          </c:tx>
          <c:spPr>
            <a:solidFill>
              <a:srgbClr val="97C3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Datenbank!$AN$331:$AO$331</c:f>
              <c:numCache>
                <c:formatCode>General</c:formatCode>
                <c:ptCount val="2"/>
                <c:pt idx="0" formatCode="#,##0.00\ &quot;€&quot;">
                  <c:v>0</c:v>
                </c:pt>
              </c:numCache>
            </c:numRef>
          </c:val>
          <c:extLst>
            <c:ext xmlns:c16="http://schemas.microsoft.com/office/drawing/2014/chart" uri="{C3380CC4-5D6E-409C-BE32-E72D297353CC}">
              <c16:uniqueId val="{00000001-D408-40EA-A589-3DCCD3DAEAB8}"/>
            </c:ext>
          </c:extLst>
        </c:ser>
        <c:ser>
          <c:idx val="4"/>
          <c:order val="2"/>
          <c:tx>
            <c:strRef>
              <c:f>Datenbank!$AM$333</c:f>
              <c:strCache>
                <c:ptCount val="1"/>
                <c:pt idx="0">
                  <c:v>Förderung</c:v>
                </c:pt>
              </c:strCache>
            </c:strRef>
          </c:tx>
          <c:spPr>
            <a:solidFill>
              <a:srgbClr val="AAD0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Datenbank!$AN$333:$AO$333</c:f>
              <c:numCache>
                <c:formatCode>General</c:formatCode>
                <c:ptCount val="2"/>
                <c:pt idx="0" formatCode="#,##0.00\ &quot;€&quot;">
                  <c:v>0</c:v>
                </c:pt>
              </c:numCache>
            </c:numRef>
          </c:val>
          <c:extLst>
            <c:ext xmlns:c16="http://schemas.microsoft.com/office/drawing/2014/chart" uri="{C3380CC4-5D6E-409C-BE32-E72D297353CC}">
              <c16:uniqueId val="{00000002-D408-40EA-A589-3DCCD3DAEAB8}"/>
            </c:ext>
          </c:extLst>
        </c:ser>
        <c:ser>
          <c:idx val="2"/>
          <c:order val="3"/>
          <c:tx>
            <c:strRef>
              <c:f>Datenbank!$AM$330</c:f>
              <c:strCache>
                <c:ptCount val="1"/>
              </c:strCache>
            </c:strRef>
          </c:tx>
          <c:spPr>
            <a:solidFill>
              <a:schemeClr val="accent3"/>
            </a:solidFill>
            <a:ln>
              <a:noFill/>
            </a:ln>
            <a:effectLst/>
          </c:spPr>
          <c:invertIfNegative val="0"/>
          <c:dLbls>
            <c:delete val="1"/>
          </c:dLbls>
          <c:val>
            <c:numRef>
              <c:f>Datenbank!$AN$330:$AO$330</c:f>
              <c:numCache>
                <c:formatCode>#,##0.00\ "€"</c:formatCode>
                <c:ptCount val="2"/>
                <c:pt idx="1">
                  <c:v>0</c:v>
                </c:pt>
              </c:numCache>
            </c:numRef>
          </c:val>
          <c:extLst>
            <c:ext xmlns:c16="http://schemas.microsoft.com/office/drawing/2014/chart" uri="{C3380CC4-5D6E-409C-BE32-E72D297353CC}">
              <c16:uniqueId val="{00000005-D408-40EA-A589-3DCCD3DAEAB8}"/>
            </c:ext>
          </c:extLst>
        </c:ser>
        <c:dLbls>
          <c:showLegendKey val="0"/>
          <c:showVal val="1"/>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1"/>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crossAx val="206000335"/>
        <c:crosses val="autoZero"/>
        <c:crossBetween val="between"/>
        <c:majorUnit val="50000"/>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66730024879506"/>
          <c:y val="8.2084828970506424E-2"/>
          <c:w val="0.71664612231603131"/>
          <c:h val="0.81641346292530559"/>
        </c:manualLayout>
      </c:layout>
      <c:barChart>
        <c:barDir val="col"/>
        <c:grouping val="stacked"/>
        <c:varyColors val="0"/>
        <c:ser>
          <c:idx val="1"/>
          <c:order val="0"/>
          <c:tx>
            <c:strRef>
              <c:f>Datenbank!$AM$444</c:f>
              <c:strCache>
                <c:ptCount val="1"/>
                <c:pt idx="0">
                  <c:v>Kosten</c:v>
                </c:pt>
              </c:strCache>
            </c:strRef>
          </c:tx>
          <c:spPr>
            <a:solidFill>
              <a:srgbClr val="53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Datenbank!$AN$444:$AO$444</c:f>
              <c:numCache>
                <c:formatCode>#,##0.00\ "€"</c:formatCode>
                <c:ptCount val="2"/>
                <c:pt idx="1">
                  <c:v>0</c:v>
                </c:pt>
              </c:numCache>
            </c:numRef>
          </c:val>
          <c:extLst>
            <c:ext xmlns:c16="http://schemas.microsoft.com/office/drawing/2014/chart" uri="{C3380CC4-5D6E-409C-BE32-E72D297353CC}">
              <c16:uniqueId val="{00000000-C25B-470D-A40E-25D3ECE7F8F6}"/>
            </c:ext>
          </c:extLst>
        </c:ser>
        <c:ser>
          <c:idx val="3"/>
          <c:order val="1"/>
          <c:tx>
            <c:strRef>
              <c:f>Datenbank!$AM$446</c:f>
              <c:strCache>
                <c:ptCount val="1"/>
                <c:pt idx="0">
                  <c:v>Einsparung</c:v>
                </c:pt>
              </c:strCache>
            </c:strRef>
          </c:tx>
          <c:spPr>
            <a:solidFill>
              <a:srgbClr val="97C3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Datenbank!$AN$446:$AO$446</c:f>
              <c:numCache>
                <c:formatCode>General</c:formatCode>
                <c:ptCount val="2"/>
                <c:pt idx="0" formatCode="#,##0.00\ &quot;€&quot;">
                  <c:v>0</c:v>
                </c:pt>
              </c:numCache>
            </c:numRef>
          </c:val>
          <c:extLst>
            <c:ext xmlns:c16="http://schemas.microsoft.com/office/drawing/2014/chart" uri="{C3380CC4-5D6E-409C-BE32-E72D297353CC}">
              <c16:uniqueId val="{00000001-C25B-470D-A40E-25D3ECE7F8F6}"/>
            </c:ext>
          </c:extLst>
        </c:ser>
        <c:ser>
          <c:idx val="4"/>
          <c:order val="2"/>
          <c:tx>
            <c:strRef>
              <c:f>Datenbank!$AM$448</c:f>
              <c:strCache>
                <c:ptCount val="1"/>
                <c:pt idx="0">
                  <c:v>Förderung</c:v>
                </c:pt>
              </c:strCache>
            </c:strRef>
          </c:tx>
          <c:spPr>
            <a:solidFill>
              <a:srgbClr val="AAD0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Datenbank!$AN$448:$AO$448</c:f>
              <c:numCache>
                <c:formatCode>General</c:formatCode>
                <c:ptCount val="2"/>
                <c:pt idx="0" formatCode="#,##0.00\ &quot;€&quot;">
                  <c:v>0</c:v>
                </c:pt>
              </c:numCache>
            </c:numRef>
          </c:val>
          <c:extLst>
            <c:ext xmlns:c16="http://schemas.microsoft.com/office/drawing/2014/chart" uri="{C3380CC4-5D6E-409C-BE32-E72D297353CC}">
              <c16:uniqueId val="{00000002-C25B-470D-A40E-25D3ECE7F8F6}"/>
            </c:ext>
          </c:extLst>
        </c:ser>
        <c:ser>
          <c:idx val="2"/>
          <c:order val="3"/>
          <c:tx>
            <c:strRef>
              <c:f>Datenbank!$AM$445</c:f>
              <c:strCache>
                <c:ptCount val="1"/>
              </c:strCache>
            </c:strRef>
          </c:tx>
          <c:spPr>
            <a:solidFill>
              <a:schemeClr val="accent3"/>
            </a:solidFill>
            <a:ln>
              <a:noFill/>
            </a:ln>
            <a:effectLst/>
          </c:spPr>
          <c:invertIfNegative val="0"/>
          <c:dLbls>
            <c:delete val="1"/>
          </c:dLbls>
          <c:val>
            <c:numRef>
              <c:f>Datenbank!$AN$445:$AO$445</c:f>
              <c:numCache>
                <c:formatCode>#,##0.00\ "€"</c:formatCode>
                <c:ptCount val="2"/>
                <c:pt idx="1">
                  <c:v>0</c:v>
                </c:pt>
              </c:numCache>
            </c:numRef>
          </c:val>
          <c:extLst>
            <c:ext xmlns:c16="http://schemas.microsoft.com/office/drawing/2014/chart" uri="{C3380CC4-5D6E-409C-BE32-E72D297353CC}">
              <c16:uniqueId val="{00000005-C25B-470D-A40E-25D3ECE7F8F6}"/>
            </c:ext>
          </c:extLst>
        </c:ser>
        <c:dLbls>
          <c:showLegendKey val="0"/>
          <c:showVal val="1"/>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335"/>
        <c:crosses val="autoZero"/>
        <c:crossBetween val="between"/>
        <c:majorUnit val="50000"/>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16763419434668E-2"/>
          <c:y val="4.0260592425946762E-2"/>
          <c:w val="0.89936902803039898"/>
          <c:h val="0.77741358187031351"/>
        </c:manualLayout>
      </c:layout>
      <c:scatterChart>
        <c:scatterStyle val="lineMarker"/>
        <c:varyColors val="0"/>
        <c:ser>
          <c:idx val="0"/>
          <c:order val="0"/>
          <c:tx>
            <c:strRef>
              <c:f>Datenaustausch!$AR$72</c:f>
              <c:strCache>
                <c:ptCount val="1"/>
                <c:pt idx="0">
                  <c:v>Vor Sanierung</c:v>
                </c:pt>
              </c:strCache>
            </c:strRef>
          </c:tx>
          <c:spPr>
            <a:ln w="25400" cap="rnd">
              <a:noFill/>
              <a:round/>
            </a:ln>
            <a:effectLst/>
          </c:spPr>
          <c:marker>
            <c:symbol val="square"/>
            <c:size val="17"/>
            <c:spPr>
              <a:blipFill dpi="0" rotWithShape="1">
                <a:blip xmlns:r="http://schemas.openxmlformats.org/officeDocument/2006/relationships" r:embed="rId1"/>
                <a:srcRect/>
                <a:stretch>
                  <a:fillRect/>
                </a:stretch>
              </a:blipFill>
              <a:ln w="6350" cap="sq">
                <a:noFill/>
                <a:bevel/>
              </a:ln>
              <a:effectLst/>
            </c:spPr>
          </c:marker>
          <c:xVal>
            <c:numRef>
              <c:f>Datenaustausch!$AS$72</c:f>
              <c:numCache>
                <c:formatCode>0</c:formatCode>
                <c:ptCount val="1"/>
                <c:pt idx="0">
                  <c:v>0</c:v>
                </c:pt>
              </c:numCache>
            </c:numRef>
          </c:xVal>
          <c:yVal>
            <c:numRef>
              <c:f>Datenaustausch!$AT$72</c:f>
              <c:numCache>
                <c:formatCode>General</c:formatCode>
                <c:ptCount val="1"/>
                <c:pt idx="0">
                  <c:v>0</c:v>
                </c:pt>
              </c:numCache>
            </c:numRef>
          </c:yVal>
          <c:smooth val="0"/>
          <c:extLst>
            <c:ext xmlns:c16="http://schemas.microsoft.com/office/drawing/2014/chart" uri="{C3380CC4-5D6E-409C-BE32-E72D297353CC}">
              <c16:uniqueId val="{00000001-522D-4D09-B4C0-96398383CD4D}"/>
            </c:ext>
          </c:extLst>
        </c:ser>
        <c:ser>
          <c:idx val="1"/>
          <c:order val="1"/>
          <c:tx>
            <c:strRef>
              <c:f>Datenaustausch!$AG$77</c:f>
              <c:strCache>
                <c:ptCount val="1"/>
                <c:pt idx="0">
                  <c:v>Variante 1</c:v>
                </c:pt>
              </c:strCache>
            </c:strRef>
          </c:tx>
          <c:spPr>
            <a:ln w="25400" cap="rnd">
              <a:noFill/>
              <a:round/>
            </a:ln>
            <a:effectLst/>
          </c:spPr>
          <c:marker>
            <c:symbol val="square"/>
            <c:size val="17"/>
            <c:spPr>
              <a:blipFill>
                <a:blip xmlns:r="http://schemas.openxmlformats.org/officeDocument/2006/relationships" r:embed="rId1"/>
                <a:stretch>
                  <a:fillRect/>
                </a:stretch>
              </a:blipFill>
              <a:ln w="9525">
                <a:noFill/>
              </a:ln>
              <a:effectLst/>
            </c:spPr>
          </c:marker>
          <c:xVal>
            <c:numRef>
              <c:f>Datenaustausch!$AH$77</c:f>
              <c:numCache>
                <c:formatCode>0</c:formatCode>
                <c:ptCount val="1"/>
                <c:pt idx="0">
                  <c:v>0</c:v>
                </c:pt>
              </c:numCache>
            </c:numRef>
          </c:xVal>
          <c:yVal>
            <c:numRef>
              <c:f>Datenaustausch!$AI$77</c:f>
              <c:numCache>
                <c:formatCode>General</c:formatCode>
                <c:ptCount val="1"/>
                <c:pt idx="0">
                  <c:v>0</c:v>
                </c:pt>
              </c:numCache>
            </c:numRef>
          </c:yVal>
          <c:smooth val="0"/>
          <c:extLst>
            <c:ext xmlns:c16="http://schemas.microsoft.com/office/drawing/2014/chart" uri="{C3380CC4-5D6E-409C-BE32-E72D297353CC}">
              <c16:uniqueId val="{00000002-522D-4D09-B4C0-96398383CD4D}"/>
            </c:ext>
          </c:extLst>
        </c:ser>
        <c:dLbls>
          <c:showLegendKey val="0"/>
          <c:showVal val="0"/>
          <c:showCatName val="0"/>
          <c:showSerName val="0"/>
          <c:showPercent val="0"/>
          <c:showBubbleSize val="0"/>
        </c:dLbls>
        <c:axId val="1562699216"/>
        <c:axId val="867378703"/>
      </c:scatterChart>
      <c:valAx>
        <c:axId val="1562699216"/>
        <c:scaling>
          <c:orientation val="minMax"/>
          <c:max val="250"/>
          <c:min val="1"/>
        </c:scaling>
        <c:delete val="0"/>
        <c:axPos val="b"/>
        <c:majorGridlines>
          <c:spPr>
            <a:ln w="9525" cap="flat" cmpd="sng" algn="ctr">
              <a:noFill/>
              <a:round/>
            </a:ln>
            <a:effectLst/>
          </c:spPr>
        </c:majorGridlines>
        <c:numFmt formatCode="0"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7378703"/>
        <c:crosses val="autoZero"/>
        <c:crossBetween val="midCat"/>
      </c:valAx>
      <c:valAx>
        <c:axId val="867378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2699216"/>
        <c:crossesAt val="0"/>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16763419434668E-2"/>
          <c:y val="4.0260592425946762E-2"/>
          <c:w val="0.89936902803039898"/>
          <c:h val="0.77741358187031351"/>
        </c:manualLayout>
      </c:layout>
      <c:scatterChart>
        <c:scatterStyle val="lineMarker"/>
        <c:varyColors val="0"/>
        <c:ser>
          <c:idx val="0"/>
          <c:order val="0"/>
          <c:tx>
            <c:strRef>
              <c:f>Datenaustausch!$AR$72</c:f>
              <c:strCache>
                <c:ptCount val="1"/>
                <c:pt idx="0">
                  <c:v>Vor Sanierung</c:v>
                </c:pt>
              </c:strCache>
            </c:strRef>
          </c:tx>
          <c:spPr>
            <a:ln w="25400" cap="rnd">
              <a:noFill/>
              <a:round/>
            </a:ln>
            <a:effectLst/>
          </c:spPr>
          <c:marker>
            <c:symbol val="square"/>
            <c:size val="17"/>
            <c:spPr>
              <a:blipFill dpi="0" rotWithShape="1">
                <a:blip xmlns:r="http://schemas.openxmlformats.org/officeDocument/2006/relationships" r:embed="rId3"/>
                <a:srcRect/>
                <a:stretch>
                  <a:fillRect/>
                </a:stretch>
              </a:blipFill>
              <a:ln w="6350" cap="sq">
                <a:noFill/>
                <a:bevel/>
              </a:ln>
              <a:effectLst/>
            </c:spPr>
          </c:marker>
          <c:xVal>
            <c:numRef>
              <c:f>Datenaustausch!$AS$72</c:f>
              <c:numCache>
                <c:formatCode>0</c:formatCode>
                <c:ptCount val="1"/>
                <c:pt idx="0">
                  <c:v>0</c:v>
                </c:pt>
              </c:numCache>
            </c:numRef>
          </c:xVal>
          <c:yVal>
            <c:numRef>
              <c:f>Datenaustausch!$AT$72</c:f>
              <c:numCache>
                <c:formatCode>General</c:formatCode>
                <c:ptCount val="1"/>
                <c:pt idx="0">
                  <c:v>0</c:v>
                </c:pt>
              </c:numCache>
            </c:numRef>
          </c:yVal>
          <c:smooth val="0"/>
          <c:extLst>
            <c:ext xmlns:c16="http://schemas.microsoft.com/office/drawing/2014/chart" uri="{C3380CC4-5D6E-409C-BE32-E72D297353CC}">
              <c16:uniqueId val="{00000001-9102-4BED-BDF6-9CE6B2C404FD}"/>
            </c:ext>
          </c:extLst>
        </c:ser>
        <c:ser>
          <c:idx val="1"/>
          <c:order val="1"/>
          <c:tx>
            <c:strRef>
              <c:f>Datenaustausch!$AG$95</c:f>
              <c:strCache>
                <c:ptCount val="1"/>
                <c:pt idx="0">
                  <c:v>Variante 2</c:v>
                </c:pt>
              </c:strCache>
            </c:strRef>
          </c:tx>
          <c:spPr>
            <a:ln w="25400" cap="rnd">
              <a:noFill/>
              <a:round/>
            </a:ln>
            <a:effectLst/>
          </c:spPr>
          <c:marker>
            <c:symbol val="square"/>
            <c:size val="17"/>
            <c:spPr>
              <a:blipFill>
                <a:blip xmlns:r="http://schemas.openxmlformats.org/officeDocument/2006/relationships" r:embed="rId3"/>
                <a:stretch>
                  <a:fillRect/>
                </a:stretch>
              </a:blipFill>
              <a:ln w="9525">
                <a:noFill/>
              </a:ln>
              <a:effectLst/>
            </c:spPr>
          </c:marker>
          <c:xVal>
            <c:numRef>
              <c:f>Datenaustausch!$AH$95</c:f>
              <c:numCache>
                <c:formatCode>0</c:formatCode>
                <c:ptCount val="1"/>
                <c:pt idx="0">
                  <c:v>0</c:v>
                </c:pt>
              </c:numCache>
            </c:numRef>
          </c:xVal>
          <c:yVal>
            <c:numRef>
              <c:f>Datenaustausch!$AI$95</c:f>
              <c:numCache>
                <c:formatCode>General</c:formatCode>
                <c:ptCount val="1"/>
                <c:pt idx="0">
                  <c:v>0</c:v>
                </c:pt>
              </c:numCache>
            </c:numRef>
          </c:yVal>
          <c:smooth val="0"/>
          <c:extLst>
            <c:ext xmlns:c16="http://schemas.microsoft.com/office/drawing/2014/chart" uri="{C3380CC4-5D6E-409C-BE32-E72D297353CC}">
              <c16:uniqueId val="{00000002-9102-4BED-BDF6-9CE6B2C404FD}"/>
            </c:ext>
          </c:extLst>
        </c:ser>
        <c:dLbls>
          <c:showLegendKey val="0"/>
          <c:showVal val="0"/>
          <c:showCatName val="0"/>
          <c:showSerName val="0"/>
          <c:showPercent val="0"/>
          <c:showBubbleSize val="0"/>
        </c:dLbls>
        <c:axId val="1562699216"/>
        <c:axId val="867378703"/>
      </c:scatterChart>
      <c:valAx>
        <c:axId val="1562699216"/>
        <c:scaling>
          <c:orientation val="minMax"/>
          <c:max val="250"/>
          <c:min val="1"/>
        </c:scaling>
        <c:delete val="0"/>
        <c:axPos val="b"/>
        <c:majorGridlines>
          <c:spPr>
            <a:ln w="9525" cap="flat" cmpd="sng" algn="ctr">
              <a:noFill/>
              <a:round/>
            </a:ln>
            <a:effectLst/>
          </c:spPr>
        </c:majorGridlines>
        <c:numFmt formatCode="0"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7378703"/>
        <c:crosses val="autoZero"/>
        <c:crossBetween val="midCat"/>
      </c:valAx>
      <c:valAx>
        <c:axId val="867378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2699216"/>
        <c:crossesAt val="0"/>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16763419434668E-2"/>
          <c:y val="4.0260592425946762E-2"/>
          <c:w val="0.89936902803039898"/>
          <c:h val="0.77741358187031351"/>
        </c:manualLayout>
      </c:layout>
      <c:scatterChart>
        <c:scatterStyle val="lineMarker"/>
        <c:varyColors val="0"/>
        <c:ser>
          <c:idx val="1"/>
          <c:order val="0"/>
          <c:spPr>
            <a:ln w="25400" cap="rnd">
              <a:noFill/>
              <a:round/>
            </a:ln>
            <a:effectLst/>
          </c:spPr>
          <c:marker>
            <c:symbol val="circle"/>
            <c:size val="5"/>
            <c:spPr>
              <a:solidFill>
                <a:schemeClr val="accent2"/>
              </a:solidFill>
              <a:ln w="9525">
                <a:solidFill>
                  <a:schemeClr val="accent2"/>
                </a:solidFill>
              </a:ln>
              <a:effectLst/>
            </c:spPr>
          </c:marker>
          <c:xVal>
            <c:numRef>
              <c:f>Datenaustausch!$E$29</c:f>
              <c:numCache>
                <c:formatCode>0</c:formatCode>
                <c:ptCount val="1"/>
                <c:pt idx="0">
                  <c:v>0</c:v>
                </c:pt>
              </c:numCache>
            </c:numRef>
          </c:xVal>
          <c:yVal>
            <c:numRef>
              <c:f>Datenaustausch!$F$29</c:f>
              <c:numCache>
                <c:formatCode>General</c:formatCode>
                <c:ptCount val="1"/>
                <c:pt idx="0">
                  <c:v>0</c:v>
                </c:pt>
              </c:numCache>
            </c:numRef>
          </c:yVal>
          <c:smooth val="0"/>
          <c:extLst>
            <c:ext xmlns:c16="http://schemas.microsoft.com/office/drawing/2014/chart" uri="{C3380CC4-5D6E-409C-BE32-E72D297353CC}">
              <c16:uniqueId val="{00000003-4C0F-4DC2-B1C5-475281C14F22}"/>
            </c:ext>
          </c:extLst>
        </c:ser>
        <c:ser>
          <c:idx val="0"/>
          <c:order val="1"/>
          <c:tx>
            <c:strRef>
              <c:f>Datenaustausch!$D$29</c:f>
              <c:strCache>
                <c:ptCount val="1"/>
                <c:pt idx="0">
                  <c:v>Vor Sanierung</c:v>
                </c:pt>
              </c:strCache>
            </c:strRef>
          </c:tx>
          <c:spPr>
            <a:ln w="25400" cap="rnd">
              <a:noFill/>
              <a:round/>
            </a:ln>
            <a:effectLst/>
          </c:spPr>
          <c:marker>
            <c:symbol val="square"/>
            <c:size val="32"/>
            <c:spPr>
              <a:blipFill dpi="0" rotWithShape="1">
                <a:blip xmlns:r="http://schemas.openxmlformats.org/officeDocument/2006/relationships" r:embed="rId3">
                  <a:extLst>
                    <a:ext uri="{96DAC541-7B7A-43D3-8B79-37D633B846F1}">
                      <asvg:svgBlip xmlns:asvg="http://schemas.microsoft.com/office/drawing/2016/SVG/main" r:embed="rId4"/>
                    </a:ext>
                  </a:extLst>
                </a:blip>
                <a:srcRect/>
                <a:stretch>
                  <a:fillRect/>
                </a:stretch>
              </a:blipFill>
              <a:ln w="6350" cap="sq">
                <a:noFill/>
                <a:beve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32C00"/>
                    </a:solidFill>
                    <a:latin typeface="BRALE" panose="00000500000000000000" pitchFamily="2" charset="0"/>
                    <a:ea typeface="+mn-ea"/>
                    <a:cs typeface="+mn-cs"/>
                  </a:defRPr>
                </a:pPr>
                <a:endParaRPr lang="de-D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Datenaustausch!$E$29</c:f>
              <c:numCache>
                <c:formatCode>0</c:formatCode>
                <c:ptCount val="1"/>
                <c:pt idx="0">
                  <c:v>0</c:v>
                </c:pt>
              </c:numCache>
            </c:numRef>
          </c:xVal>
          <c:yVal>
            <c:numRef>
              <c:f>Datenaustausch!$F$29</c:f>
              <c:numCache>
                <c:formatCode>General</c:formatCode>
                <c:ptCount val="1"/>
                <c:pt idx="0">
                  <c:v>0</c:v>
                </c:pt>
              </c:numCache>
            </c:numRef>
          </c:yVal>
          <c:smooth val="0"/>
          <c:extLst>
            <c:ext xmlns:c16="http://schemas.microsoft.com/office/drawing/2014/chart" uri="{C3380CC4-5D6E-409C-BE32-E72D297353CC}">
              <c16:uniqueId val="{00000002-4C0F-4DC2-B1C5-475281C14F22}"/>
            </c:ext>
          </c:extLst>
        </c:ser>
        <c:dLbls>
          <c:showLegendKey val="0"/>
          <c:showVal val="0"/>
          <c:showCatName val="0"/>
          <c:showSerName val="0"/>
          <c:showPercent val="0"/>
          <c:showBubbleSize val="0"/>
        </c:dLbls>
        <c:axId val="1562699216"/>
        <c:axId val="867378703"/>
      </c:scatterChart>
      <c:valAx>
        <c:axId val="1562699216"/>
        <c:scaling>
          <c:orientation val="minMax"/>
          <c:max val="250"/>
          <c:min val="1"/>
        </c:scaling>
        <c:delete val="0"/>
        <c:axPos val="b"/>
        <c:majorGridlines>
          <c:spPr>
            <a:ln w="9525" cap="flat" cmpd="sng" algn="ctr">
              <a:noFill/>
              <a:round/>
            </a:ln>
            <a:effectLst/>
          </c:spPr>
        </c:majorGridlines>
        <c:numFmt formatCode="0"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7378703"/>
        <c:crosses val="autoZero"/>
        <c:crossBetween val="midCat"/>
      </c:valAx>
      <c:valAx>
        <c:axId val="867378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2699216"/>
        <c:crossesAt val="0"/>
        <c:crossBetween val="midCat"/>
      </c:valAx>
      <c:spPr>
        <a:noFill/>
        <a:ln w="25400">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16813237883916E-2"/>
          <c:y val="4.0260592425946762E-2"/>
          <c:w val="0.89936907951804557"/>
          <c:h val="0.77741358187031351"/>
        </c:manualLayout>
      </c:layout>
      <c:scatterChart>
        <c:scatterStyle val="lineMarker"/>
        <c:varyColors val="0"/>
        <c:ser>
          <c:idx val="0"/>
          <c:order val="0"/>
          <c:tx>
            <c:strRef>
              <c:f>Datenaustausch!$AR$72</c:f>
              <c:strCache>
                <c:ptCount val="1"/>
                <c:pt idx="0">
                  <c:v>Vor Sanierung</c:v>
                </c:pt>
              </c:strCache>
            </c:strRef>
          </c:tx>
          <c:spPr>
            <a:ln w="25400" cap="rnd">
              <a:noFill/>
              <a:round/>
            </a:ln>
            <a:effectLst/>
          </c:spPr>
          <c:marker>
            <c:symbol val="square"/>
            <c:size val="32"/>
            <c:spPr>
              <a:blipFill dpi="0" rotWithShape="1">
                <a:blip xmlns:r="http://schemas.openxmlformats.org/officeDocument/2006/relationships" r:embed="rId3">
                  <a:extLst>
                    <a:ext uri="{96DAC541-7B7A-43D3-8B79-37D633B846F1}">
                      <asvg:svgBlip xmlns:asvg="http://schemas.microsoft.com/office/drawing/2016/SVG/main" r:embed="rId4"/>
                    </a:ext>
                  </a:extLst>
                </a:blip>
                <a:srcRect/>
                <a:stretch>
                  <a:fillRect/>
                </a:stretch>
              </a:blipFill>
              <a:ln w="6350" cap="sq">
                <a:noFill/>
                <a:bevel/>
              </a:ln>
              <a:effectLst/>
            </c:spPr>
          </c:marker>
          <c:dLbls>
            <c:dLbl>
              <c:idx val="0"/>
              <c:tx>
                <c:rich>
                  <a:bodyPr/>
                  <a:lstStyle/>
                  <a:p>
                    <a:fld id="{6E563E5A-9940-4F40-884D-C24A9CE5640A}" type="SERIESNAME">
                      <a:rPr lang="en-US" sz="1100">
                        <a:solidFill>
                          <a:srgbClr val="532C00"/>
                        </a:solidFill>
                        <a:latin typeface="BRALE" panose="00000500000000000000" pitchFamily="2" charset="0"/>
                      </a:rPr>
                      <a:pPr/>
                      <a:t>[DATENREIHENNAME]</a:t>
                    </a:fld>
                    <a:endParaRPr lang="de-DE"/>
                  </a:p>
                </c:rich>
              </c:tx>
              <c:dLblPos val="t"/>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724-4993-95B4-E52B5AFF85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32C00"/>
                    </a:solidFill>
                    <a:latin typeface="+mn-lt"/>
                    <a:ea typeface="+mn-ea"/>
                    <a:cs typeface="+mn-cs"/>
                  </a:defRPr>
                </a:pPr>
                <a:endParaRPr lang="de-D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Datenaustausch!$AS$72</c:f>
              <c:numCache>
                <c:formatCode>0</c:formatCode>
                <c:ptCount val="1"/>
                <c:pt idx="0">
                  <c:v>0</c:v>
                </c:pt>
              </c:numCache>
            </c:numRef>
          </c:xVal>
          <c:yVal>
            <c:numRef>
              <c:f>Datenaustausch!$AT$72</c:f>
              <c:numCache>
                <c:formatCode>General</c:formatCode>
                <c:ptCount val="1"/>
                <c:pt idx="0">
                  <c:v>0</c:v>
                </c:pt>
              </c:numCache>
            </c:numRef>
          </c:yVal>
          <c:smooth val="0"/>
          <c:extLst>
            <c:ext xmlns:c16="http://schemas.microsoft.com/office/drawing/2014/chart" uri="{C3380CC4-5D6E-409C-BE32-E72D297353CC}">
              <c16:uniqueId val="{00000001-F724-4993-95B4-E52B5AFF8556}"/>
            </c:ext>
          </c:extLst>
        </c:ser>
        <c:ser>
          <c:idx val="1"/>
          <c:order val="1"/>
          <c:tx>
            <c:strRef>
              <c:f>Datenaustausch!$AR$73</c:f>
              <c:strCache>
                <c:ptCount val="1"/>
                <c:pt idx="0">
                  <c:v>Nach Sanierung</c:v>
                </c:pt>
              </c:strCache>
            </c:strRef>
          </c:tx>
          <c:spPr>
            <a:ln w="25400" cap="rnd">
              <a:noFill/>
              <a:round/>
            </a:ln>
            <a:effectLst/>
          </c:spPr>
          <c:marker>
            <c:symbol val="circle"/>
            <c:size val="5"/>
            <c:spPr>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ln w="9525">
                <a:solidFill>
                  <a:schemeClr val="accent2"/>
                </a:solidFill>
              </a:ln>
              <a:effectLst/>
            </c:spPr>
          </c:marker>
          <c:dPt>
            <c:idx val="0"/>
            <c:marker>
              <c:symbol val="circle"/>
              <c:size val="32"/>
              <c:spPr>
                <a:blipFill dpi="0" rotWithShape="1">
                  <a:blip xmlns:r="http://schemas.openxmlformats.org/officeDocument/2006/relationships" r:embed="rId7">
                    <a:extLst>
                      <a:ext uri="{96DAC541-7B7A-43D3-8B79-37D633B846F1}">
                        <asvg:svgBlip xmlns:asvg="http://schemas.microsoft.com/office/drawing/2016/SVG/main" r:embed="rId8"/>
                      </a:ext>
                    </a:extLst>
                  </a:blip>
                  <a:srcRect/>
                  <a:stretch>
                    <a:fillRect/>
                  </a:stretch>
                </a:blipFill>
                <a:ln w="9525">
                  <a:noFill/>
                </a:ln>
                <a:effectLst/>
              </c:spPr>
            </c:marker>
            <c:bubble3D val="0"/>
            <c:spPr>
              <a:ln w="3175" cap="sq" cmpd="dbl">
                <a:noFill/>
                <a:round/>
                <a:tailEnd type="triangle"/>
              </a:ln>
              <a:effectLst/>
            </c:spPr>
            <c:extLst>
              <c:ext xmlns:c16="http://schemas.microsoft.com/office/drawing/2014/chart" uri="{C3380CC4-5D6E-409C-BE32-E72D297353CC}">
                <c16:uniqueId val="{00000005-F724-4993-95B4-E52B5AFF8556}"/>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532C00"/>
                        </a:solidFill>
                        <a:latin typeface="+mn-lt"/>
                        <a:ea typeface="+mn-ea"/>
                        <a:cs typeface="+mn-cs"/>
                      </a:defRPr>
                    </a:pPr>
                    <a:fld id="{C92D5C7A-7DB0-48BD-833E-FDB1819F5939}" type="SERIESNAME">
                      <a:rPr lang="en-US" sz="1100">
                        <a:solidFill>
                          <a:srgbClr val="532C00"/>
                        </a:solidFill>
                        <a:latin typeface="BRALE" panose="00000500000000000000" pitchFamily="2" charset="0"/>
                      </a:rPr>
                      <a:pPr>
                        <a:defRPr>
                          <a:solidFill>
                            <a:srgbClr val="532C00"/>
                          </a:solidFill>
                        </a:defRPr>
                      </a:pPr>
                      <a:t>[DATENREIHENNAME]</a:t>
                    </a:fld>
                    <a:endParaRPr lang="de-D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32C00"/>
                      </a:solidFill>
                      <a:latin typeface="+mn-lt"/>
                      <a:ea typeface="+mn-ea"/>
                      <a:cs typeface="+mn-cs"/>
                    </a:defRPr>
                  </a:pPr>
                  <a:endParaRPr lang="de-DE"/>
                </a:p>
              </c:txPr>
              <c:dLblPos val="t"/>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724-4993-95B4-E52B5AFF85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Datenaustausch!$AS$73</c:f>
              <c:numCache>
                <c:formatCode>0</c:formatCode>
                <c:ptCount val="1"/>
                <c:pt idx="0">
                  <c:v>0</c:v>
                </c:pt>
              </c:numCache>
            </c:numRef>
          </c:xVal>
          <c:yVal>
            <c:numRef>
              <c:f>Datenaustausch!$AT$73</c:f>
              <c:numCache>
                <c:formatCode>General</c:formatCode>
                <c:ptCount val="1"/>
                <c:pt idx="0">
                  <c:v>0</c:v>
                </c:pt>
              </c:numCache>
            </c:numRef>
          </c:yVal>
          <c:smooth val="0"/>
          <c:extLst>
            <c:ext xmlns:c16="http://schemas.microsoft.com/office/drawing/2014/chart" uri="{C3380CC4-5D6E-409C-BE32-E72D297353CC}">
              <c16:uniqueId val="{00000004-F724-4993-95B4-E52B5AFF8556}"/>
            </c:ext>
          </c:extLst>
        </c:ser>
        <c:dLbls>
          <c:showLegendKey val="0"/>
          <c:showVal val="0"/>
          <c:showCatName val="0"/>
          <c:showSerName val="0"/>
          <c:showPercent val="0"/>
          <c:showBubbleSize val="0"/>
        </c:dLbls>
        <c:axId val="1562699216"/>
        <c:axId val="867378703"/>
      </c:scatterChart>
      <c:valAx>
        <c:axId val="1562699216"/>
        <c:scaling>
          <c:orientation val="minMax"/>
          <c:max val="250"/>
          <c:min val="1"/>
        </c:scaling>
        <c:delete val="0"/>
        <c:axPos val="b"/>
        <c:majorGridlines>
          <c:spPr>
            <a:ln w="9525" cap="flat" cmpd="sng" algn="ctr">
              <a:noFill/>
              <a:round/>
            </a:ln>
            <a:effectLst/>
          </c:spPr>
        </c:majorGridlines>
        <c:numFmt formatCode="0"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7378703"/>
        <c:crosses val="autoZero"/>
        <c:crossBetween val="midCat"/>
      </c:valAx>
      <c:valAx>
        <c:axId val="867378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2699216"/>
        <c:crossesAt val="0"/>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91170173382035"/>
          <c:y val="9.9147426211459985E-2"/>
          <c:w val="0.78981208889888976"/>
          <c:h val="0.72948832002813835"/>
        </c:manualLayout>
      </c:layout>
      <c:lineChart>
        <c:grouping val="standard"/>
        <c:varyColors val="0"/>
        <c:ser>
          <c:idx val="1"/>
          <c:order val="0"/>
          <c:tx>
            <c:strRef>
              <c:f>Datenbank!$D$99:$AG$99</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tx>
          <c:spPr>
            <a:ln w="53975">
              <a:solidFill>
                <a:srgbClr val="532C00"/>
              </a:solidFill>
              <a:tailEnd type="triangle" w="lg" len="lg"/>
            </a:ln>
          </c:spPr>
          <c:marker>
            <c:symbol val="none"/>
          </c:marker>
          <c:dLbls>
            <c:dLbl>
              <c:idx val="0"/>
              <c:layout>
                <c:manualLayout>
                  <c:x val="-3.3505759570020034E-2"/>
                  <c:y val="-6.5034496215065407E-2"/>
                </c:manualLayout>
              </c:layout>
              <c:numFmt formatCode="#,##0\ &quot;€&quot;" sourceLinked="0"/>
              <c:spPr>
                <a:noFill/>
                <a:ln>
                  <a:noFill/>
                </a:ln>
                <a:effectLst/>
              </c:spPr>
              <c:txPr>
                <a:bodyPr wrap="square" lIns="38100" tIns="19050" rIns="38100" bIns="19050" anchor="ctr">
                  <a:spAutoFit/>
                </a:bodyPr>
                <a:lstStyle/>
                <a:p>
                  <a:pPr>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65-4E0F-9A95-D7C03A67DF28}"/>
                </c:ext>
              </c:extLst>
            </c:dLbl>
            <c:dLbl>
              <c:idx val="28"/>
              <c:layout>
                <c:manualLayout>
                  <c:x val="-4.6214840786234529E-2"/>
                  <c:y val="-8.6786676978950941E-2"/>
                </c:manualLayout>
              </c:layout>
              <c:numFmt formatCode="#,##0\ &quot;€&quot;" sourceLinked="0"/>
              <c:spPr>
                <a:noFill/>
                <a:ln>
                  <a:noFill/>
                </a:ln>
                <a:effectLst/>
              </c:spPr>
              <c:txPr>
                <a:bodyPr wrap="square" lIns="38100" tIns="19050" rIns="38100" bIns="19050" anchor="ctr">
                  <a:spAutoFit/>
                </a:bodyPr>
                <a:lstStyle/>
                <a:p>
                  <a:pPr>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65-4E0F-9A95-D7C03A67DF2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Datenbank!$D$127:$AG$127</c:f>
              <c:numCache>
                <c:formatCode>General</c:formatCode>
                <c:ptCount val="30"/>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numCache>
            </c:numRef>
          </c:cat>
          <c:val>
            <c:numRef>
              <c:f>Datenbank!$D$106:$AG$106</c:f>
              <c:numCache>
                <c:formatCode>#,##0.00\ "€"</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1"/>
          <c:extLst>
            <c:ext xmlns:c16="http://schemas.microsoft.com/office/drawing/2014/chart" uri="{C3380CC4-5D6E-409C-BE32-E72D297353CC}">
              <c16:uniqueId val="{00000000-707C-4CA9-A8FB-1AC1F5B7E5CA}"/>
            </c:ext>
          </c:extLst>
        </c:ser>
        <c:dLbls>
          <c:showLegendKey val="0"/>
          <c:showVal val="0"/>
          <c:showCatName val="0"/>
          <c:showSerName val="0"/>
          <c:showPercent val="0"/>
          <c:showBubbleSize val="0"/>
        </c:dLbls>
        <c:smooth val="0"/>
        <c:axId val="573381600"/>
        <c:axId val="573392640"/>
      </c:lineChart>
      <c:catAx>
        <c:axId val="573381600"/>
        <c:scaling>
          <c:orientation val="minMax"/>
        </c:scaling>
        <c:delete val="0"/>
        <c:axPos val="b"/>
        <c:numFmt formatCode="General" sourceLinked="0"/>
        <c:majorTickMark val="none"/>
        <c:minorTickMark val="none"/>
        <c:tickLblPos val="low"/>
        <c:spPr>
          <a:noFill/>
          <a:ln w="31750" cap="flat" cmpd="sng" algn="ctr">
            <a:solidFill>
              <a:schemeClr val="bg2">
                <a:lumMod val="50000"/>
                <a:alpha val="75000"/>
              </a:schemeClr>
            </a:solidFill>
            <a:round/>
          </a:ln>
          <a:effectLst/>
        </c:spPr>
        <c:txPr>
          <a:bodyPr rot="0" spcFirstLastPara="1" vertOverflow="ellipsis" wrap="square" anchor="ctr" anchorCtr="1"/>
          <a:lstStyle/>
          <a:p>
            <a:pPr>
              <a:defRPr sz="2000" b="0" i="0" u="none" strike="noStrike" kern="1200" baseline="0">
                <a:solidFill>
                  <a:srgbClr val="663300"/>
                </a:solidFill>
                <a:latin typeface="BRALE" panose="00000500000000000000" pitchFamily="2" charset="0"/>
                <a:ea typeface="+mn-ea"/>
                <a:cs typeface="+mn-cs"/>
              </a:defRPr>
            </a:pPr>
            <a:endParaRPr lang="de-DE"/>
          </a:p>
        </c:txPr>
        <c:crossAx val="573392640"/>
        <c:crosses val="autoZero"/>
        <c:auto val="1"/>
        <c:lblAlgn val="ctr"/>
        <c:lblOffset val="100"/>
        <c:tickLblSkip val="9"/>
        <c:tickMarkSkip val="10"/>
        <c:noMultiLvlLbl val="0"/>
      </c:catAx>
      <c:valAx>
        <c:axId val="573392640"/>
        <c:scaling>
          <c:orientation val="minMax"/>
        </c:scaling>
        <c:delete val="0"/>
        <c:axPos val="l"/>
        <c:numFmt formatCode="#,##0\ &quot;€&quot;" sourceLinked="0"/>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rgbClr val="663300"/>
                </a:solidFill>
                <a:latin typeface="BRALE" panose="00000500000000000000" pitchFamily="2" charset="0"/>
                <a:ea typeface="+mn-ea"/>
                <a:cs typeface="+mn-cs"/>
              </a:defRPr>
            </a:pPr>
            <a:endParaRPr lang="de-DE"/>
          </a:p>
        </c:txPr>
        <c:crossAx val="573381600"/>
        <c:crossesAt val="0"/>
        <c:crossBetween val="between"/>
      </c:valAx>
      <c:spPr>
        <a:noFill/>
        <a:ln w="25400">
          <a:noFill/>
        </a:ln>
      </c:spPr>
    </c:plotArea>
    <c:plotVisOnly val="1"/>
    <c:dispBlanksAs val="gap"/>
    <c:showDLblsOverMax val="0"/>
    <c:extLst/>
  </c:chart>
  <c:spPr>
    <a:solidFill>
      <a:schemeClr val="bg1">
        <a:alpha val="0"/>
      </a:schemeClr>
    </a:solidFill>
    <a:ln w="9525" cap="flat" cmpd="sng" algn="ctr">
      <a:noFill/>
      <a:round/>
    </a:ln>
    <a:effectLst/>
  </c:spPr>
  <c:txPr>
    <a:bodyPr/>
    <a:lstStyle/>
    <a:p>
      <a:pPr>
        <a:defRPr sz="2000">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65277515173684E-2"/>
          <c:y val="2.4983230962595436E-2"/>
          <c:w val="0.87669894618570765"/>
          <c:h val="0.95712758306568768"/>
        </c:manualLayout>
      </c:layout>
      <c:barChart>
        <c:barDir val="col"/>
        <c:grouping val="clustered"/>
        <c:varyColors val="0"/>
        <c:ser>
          <c:idx val="2"/>
          <c:order val="0"/>
          <c:tx>
            <c:v>Kosten mit Sanierung</c:v>
          </c:tx>
          <c:spPr>
            <a:solidFill>
              <a:srgbClr val="97C335"/>
            </a:solidFill>
            <a:ln>
              <a:noFill/>
            </a:ln>
            <a:effectLst/>
          </c:spPr>
          <c:invertIfNegative val="0"/>
          <c:dLbls>
            <c:dLbl>
              <c:idx val="0"/>
              <c:layout>
                <c:manualLayout>
                  <c:x val="-3.6314143116678542E-3"/>
                  <c:y val="1.359843124174568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CE3C042-6A2A-45A6-BC7E-D5E36A8F18F5}" type="VALUE">
                      <a:rPr lang="en-US" sz="2000" b="1">
                        <a:solidFill>
                          <a:srgbClr val="97C335"/>
                        </a:solidFill>
                        <a:latin typeface="BRALE" panose="00000500000000000000" pitchFamily="2" charset="0"/>
                      </a:rPr>
                      <a:pPr>
                        <a:defRPr/>
                      </a:pPr>
                      <a:t>[WERT]</a:t>
                    </a:fld>
                    <a:endParaRPr lang="de-DE"/>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15:layout>
                    <c:manualLayout>
                      <c:w val="0.40111426560465285"/>
                      <c:h val="8.3687250345026873E-2"/>
                    </c:manualLayout>
                  </c15:layout>
                  <c15:dlblFieldTable/>
                  <c15:showDataLabelsRange val="0"/>
                </c:ext>
                <c:ext xmlns:c16="http://schemas.microsoft.com/office/drawing/2014/chart" uri="{C3380CC4-5D6E-409C-BE32-E72D297353CC}">
                  <c16:uniqueId val="{00000000-7EEA-4233-A203-9920BFE9CE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
            </c:numLit>
          </c:cat>
          <c:val>
            <c:numRef>
              <c:f>Datenaustausch!$J$34</c:f>
              <c:numCache>
                <c:formatCode>#,##0\ "€"</c:formatCode>
                <c:ptCount val="1"/>
                <c:pt idx="0">
                  <c:v>0</c:v>
                </c:pt>
              </c:numCache>
            </c:numRef>
          </c:val>
          <c:extLst>
            <c:ext xmlns:c16="http://schemas.microsoft.com/office/drawing/2014/chart" uri="{C3380CC4-5D6E-409C-BE32-E72D297353CC}">
              <c16:uniqueId val="{00000001-7EEA-4233-A203-9920BFE9CEBD}"/>
            </c:ext>
          </c:extLst>
        </c:ser>
        <c:ser>
          <c:idx val="1"/>
          <c:order val="1"/>
          <c:tx>
            <c:v>Kosten ohne Sanierung</c:v>
          </c:tx>
          <c:spPr>
            <a:solidFill>
              <a:schemeClr val="bg1">
                <a:lumMod val="65000"/>
              </a:schemeClr>
            </a:solidFill>
            <a:ln>
              <a:noFill/>
            </a:ln>
            <a:effectLst/>
          </c:spPr>
          <c:invertIfNegative val="0"/>
          <c:dLbls>
            <c:dLbl>
              <c:idx val="0"/>
              <c:layout>
                <c:manualLayout>
                  <c:x val="-8.8715248528991632E-4"/>
                  <c:y val="0"/>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9A1FABF-F960-4A06-938E-0FE010EC4A1F}" type="VALUE">
                      <a:rPr lang="en-US" sz="2000" b="1">
                        <a:solidFill>
                          <a:schemeClr val="bg1">
                            <a:lumMod val="50000"/>
                          </a:schemeClr>
                        </a:solidFill>
                        <a:latin typeface="BRALE" panose="00000500000000000000" pitchFamily="2" charset="0"/>
                      </a:rPr>
                      <a:pPr>
                        <a:defRPr/>
                      </a:pPr>
                      <a:t>[WERT]</a:t>
                    </a:fld>
                    <a:endParaRPr lang="de-DE"/>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15:layout>
                    <c:manualLayout>
                      <c:w val="0.36186243615384439"/>
                      <c:h val="6.56274289245386E-2"/>
                    </c:manualLayout>
                  </c15:layout>
                  <c15:dlblFieldTable/>
                  <c15:showDataLabelsRange val="0"/>
                </c:ext>
                <c:ext xmlns:c16="http://schemas.microsoft.com/office/drawing/2014/chart" uri="{C3380CC4-5D6E-409C-BE32-E72D297353CC}">
                  <c16:uniqueId val="{00000005-7EEA-4233-A203-9920BFE9CE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
            </c:numLit>
          </c:cat>
          <c:val>
            <c:numRef>
              <c:f>Datenaustausch!$J$33</c:f>
              <c:numCache>
                <c:formatCode>#,##0\ "€"</c:formatCode>
                <c:ptCount val="1"/>
                <c:pt idx="0">
                  <c:v>0</c:v>
                </c:pt>
              </c:numCache>
            </c:numRef>
          </c:val>
          <c:extLst>
            <c:ext xmlns:c16="http://schemas.microsoft.com/office/drawing/2014/chart" uri="{C3380CC4-5D6E-409C-BE32-E72D297353CC}">
              <c16:uniqueId val="{00000006-7EEA-4233-A203-9920BFE9CEBD}"/>
            </c:ext>
          </c:extLst>
        </c:ser>
        <c:dLbls>
          <c:showLegendKey val="0"/>
          <c:showVal val="0"/>
          <c:showCatName val="0"/>
          <c:showSerName val="0"/>
          <c:showPercent val="0"/>
          <c:showBubbleSize val="0"/>
        </c:dLbls>
        <c:gapWidth val="20"/>
        <c:overlap val="-6"/>
        <c:axId val="32542352"/>
        <c:axId val="32559152"/>
      </c:barChart>
      <c:catAx>
        <c:axId val="32542352"/>
        <c:scaling>
          <c:orientation val="minMax"/>
        </c:scaling>
        <c:delete val="1"/>
        <c:axPos val="b"/>
        <c:numFmt formatCode="General" sourceLinked="1"/>
        <c:majorTickMark val="out"/>
        <c:minorTickMark val="none"/>
        <c:tickLblPos val="nextTo"/>
        <c:crossAx val="32559152"/>
        <c:crosses val="autoZero"/>
        <c:auto val="1"/>
        <c:lblAlgn val="ctr"/>
        <c:lblOffset val="100"/>
        <c:noMultiLvlLbl val="0"/>
      </c:catAx>
      <c:valAx>
        <c:axId val="32559152"/>
        <c:scaling>
          <c:orientation val="minMax"/>
        </c:scaling>
        <c:delete val="1"/>
        <c:axPos val="l"/>
        <c:numFmt formatCode="#,##0\ &quot;€&quot;" sourceLinked="1"/>
        <c:majorTickMark val="out"/>
        <c:minorTickMark val="none"/>
        <c:tickLblPos val="nextTo"/>
        <c:crossAx val="325423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16763419434668E-2"/>
          <c:y val="4.0260592425946762E-2"/>
          <c:w val="0.89936902803039898"/>
          <c:h val="0.77741358187031351"/>
        </c:manualLayout>
      </c:layout>
      <c:scatterChart>
        <c:scatterStyle val="lineMarker"/>
        <c:varyColors val="0"/>
        <c:ser>
          <c:idx val="0"/>
          <c:order val="0"/>
          <c:tx>
            <c:strRef>
              <c:f>Datenaustausch!$AR$72</c:f>
              <c:strCache>
                <c:ptCount val="1"/>
                <c:pt idx="0">
                  <c:v>Vor Sanierung</c:v>
                </c:pt>
              </c:strCache>
            </c:strRef>
          </c:tx>
          <c:spPr>
            <a:ln w="25400" cap="rnd">
              <a:noFill/>
              <a:round/>
            </a:ln>
            <a:effectLst/>
          </c:spPr>
          <c:marker>
            <c:symbol val="square"/>
            <c:size val="32"/>
            <c:spPr>
              <a:blipFill dpi="0" rotWithShape="1">
                <a:blip xmlns:r="http://schemas.openxmlformats.org/officeDocument/2006/relationships" r:embed="rId3">
                  <a:extLst>
                    <a:ext uri="{96DAC541-7B7A-43D3-8B79-37D633B846F1}">
                      <asvg:svgBlip xmlns:asvg="http://schemas.microsoft.com/office/drawing/2016/SVG/main" r:embed="rId4"/>
                    </a:ext>
                  </a:extLst>
                </a:blip>
                <a:srcRect/>
                <a:stretch>
                  <a:fillRect/>
                </a:stretch>
              </a:blipFill>
              <a:ln w="6350" cap="sq">
                <a:noFill/>
                <a:bevel/>
              </a:ln>
              <a:effectLst/>
            </c:spPr>
          </c:marker>
          <c:dLbls>
            <c:dLbl>
              <c:idx val="0"/>
              <c:tx>
                <c:rich>
                  <a:bodyPr/>
                  <a:lstStyle/>
                  <a:p>
                    <a:fld id="{6E563E5A-9940-4F40-884D-C24A9CE5640A}" type="SERIESNAME">
                      <a:rPr lang="en-US" sz="1100">
                        <a:solidFill>
                          <a:srgbClr val="532C00"/>
                        </a:solidFill>
                        <a:latin typeface="BRALE" panose="00000500000000000000" pitchFamily="2" charset="0"/>
                      </a:rPr>
                      <a:pPr/>
                      <a:t>[DATENREIHENNAME]</a:t>
                    </a:fld>
                    <a:endParaRPr lang="de-DE"/>
                  </a:p>
                </c:rich>
              </c:tx>
              <c:dLblPos val="t"/>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396-4AEA-A573-69BD796E5A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32C00"/>
                    </a:solidFill>
                    <a:latin typeface="+mn-lt"/>
                    <a:ea typeface="+mn-ea"/>
                    <a:cs typeface="+mn-cs"/>
                  </a:defRPr>
                </a:pPr>
                <a:endParaRPr lang="de-D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Datenaustausch!$AS$72</c:f>
              <c:numCache>
                <c:formatCode>0</c:formatCode>
                <c:ptCount val="1"/>
                <c:pt idx="0">
                  <c:v>0</c:v>
                </c:pt>
              </c:numCache>
            </c:numRef>
          </c:xVal>
          <c:yVal>
            <c:numRef>
              <c:f>Datenaustausch!$AT$72</c:f>
              <c:numCache>
                <c:formatCode>General</c:formatCode>
                <c:ptCount val="1"/>
                <c:pt idx="0">
                  <c:v>0</c:v>
                </c:pt>
              </c:numCache>
            </c:numRef>
          </c:yVal>
          <c:smooth val="0"/>
          <c:extLst>
            <c:ext xmlns:c16="http://schemas.microsoft.com/office/drawing/2014/chart" uri="{C3380CC4-5D6E-409C-BE32-E72D297353CC}">
              <c16:uniqueId val="{00000001-F396-4AEA-A573-69BD796E5AB4}"/>
            </c:ext>
          </c:extLst>
        </c:ser>
        <c:ser>
          <c:idx val="1"/>
          <c:order val="1"/>
          <c:tx>
            <c:strRef>
              <c:f>Datenaustausch!$AG$54</c:f>
              <c:strCache>
                <c:ptCount val="1"/>
                <c:pt idx="0">
                  <c:v>iSFP</c:v>
                </c:pt>
              </c:strCache>
            </c:strRef>
          </c:tx>
          <c:spPr>
            <a:ln w="25400" cap="rnd">
              <a:noFill/>
              <a:round/>
            </a:ln>
            <a:effectLst/>
          </c:spPr>
          <c:marker>
            <c:symbol val="circle"/>
            <c:size val="5"/>
            <c:spPr>
              <a:blipFill>
                <a:blip xmlns:r="http://schemas.openxmlformats.org/officeDocument/2006/relationships" r:embed="rId5">
                  <a:extLst>
                    <a:ext uri="{96DAC541-7B7A-43D3-8B79-37D633B846F1}">
                      <asvg:svgBlip xmlns:asvg="http://schemas.microsoft.com/office/drawing/2016/SVG/main" r:embed="rId6"/>
                    </a:ext>
                  </a:extLst>
                </a:blip>
                <a:stretch>
                  <a:fillRect/>
                </a:stretch>
              </a:blipFill>
              <a:ln w="9525">
                <a:solidFill>
                  <a:schemeClr val="accent2"/>
                </a:solidFill>
              </a:ln>
              <a:effectLst/>
            </c:spPr>
          </c:marker>
          <c:dPt>
            <c:idx val="0"/>
            <c:marker>
              <c:symbol val="circle"/>
              <c:size val="32"/>
              <c:spPr>
                <a:blipFill dpi="0" rotWithShape="1">
                  <a:blip xmlns:r="http://schemas.openxmlformats.org/officeDocument/2006/relationships" r:embed="rId7">
                    <a:extLst>
                      <a:ext uri="{96DAC541-7B7A-43D3-8B79-37D633B846F1}">
                        <asvg:svgBlip xmlns:asvg="http://schemas.microsoft.com/office/drawing/2016/SVG/main" r:embed="rId8"/>
                      </a:ext>
                    </a:extLst>
                  </a:blip>
                  <a:srcRect/>
                  <a:stretch>
                    <a:fillRect/>
                  </a:stretch>
                </a:blipFill>
                <a:ln w="9525">
                  <a:noFill/>
                </a:ln>
                <a:effectLst/>
              </c:spPr>
            </c:marker>
            <c:bubble3D val="0"/>
            <c:spPr>
              <a:ln w="3175" cap="sq" cmpd="dbl">
                <a:noFill/>
                <a:round/>
                <a:tailEnd type="triangle"/>
              </a:ln>
              <a:effectLst/>
            </c:spPr>
            <c:extLst>
              <c:ext xmlns:c16="http://schemas.microsoft.com/office/drawing/2014/chart" uri="{C3380CC4-5D6E-409C-BE32-E72D297353CC}">
                <c16:uniqueId val="{00000003-F396-4AEA-A573-69BD796E5AB4}"/>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532C00"/>
                        </a:solidFill>
                        <a:latin typeface="+mn-lt"/>
                        <a:ea typeface="+mn-ea"/>
                        <a:cs typeface="+mn-cs"/>
                      </a:defRPr>
                    </a:pPr>
                    <a:fld id="{C92D5C7A-7DB0-48BD-833E-FDB1819F5939}" type="SERIESNAME">
                      <a:rPr lang="en-US" sz="1100">
                        <a:solidFill>
                          <a:srgbClr val="532C00"/>
                        </a:solidFill>
                        <a:latin typeface="BRALE" panose="00000500000000000000" pitchFamily="2" charset="0"/>
                      </a:rPr>
                      <a:pPr>
                        <a:defRPr>
                          <a:solidFill>
                            <a:srgbClr val="532C00"/>
                          </a:solidFill>
                        </a:defRPr>
                      </a:pPr>
                      <a:t>[DATENREIHENNAME]</a:t>
                    </a:fld>
                    <a:endParaRPr lang="de-D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32C00"/>
                      </a:solidFill>
                      <a:latin typeface="+mn-lt"/>
                      <a:ea typeface="+mn-ea"/>
                      <a:cs typeface="+mn-cs"/>
                    </a:defRPr>
                  </a:pPr>
                  <a:endParaRPr lang="de-DE"/>
                </a:p>
              </c:txPr>
              <c:dLblPos val="t"/>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396-4AEA-A573-69BD796E5A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Datenaustausch!$AH$54</c:f>
              <c:numCache>
                <c:formatCode>0</c:formatCode>
                <c:ptCount val="1"/>
                <c:pt idx="0">
                  <c:v>0</c:v>
                </c:pt>
              </c:numCache>
            </c:numRef>
          </c:xVal>
          <c:yVal>
            <c:numRef>
              <c:f>Datenaustausch!$AT$73</c:f>
              <c:numCache>
                <c:formatCode>General</c:formatCode>
                <c:ptCount val="1"/>
                <c:pt idx="0">
                  <c:v>0</c:v>
                </c:pt>
              </c:numCache>
            </c:numRef>
          </c:yVal>
          <c:smooth val="0"/>
          <c:extLst>
            <c:ext xmlns:c16="http://schemas.microsoft.com/office/drawing/2014/chart" uri="{C3380CC4-5D6E-409C-BE32-E72D297353CC}">
              <c16:uniqueId val="{00000004-F396-4AEA-A573-69BD796E5AB4}"/>
            </c:ext>
          </c:extLst>
        </c:ser>
        <c:dLbls>
          <c:showLegendKey val="0"/>
          <c:showVal val="0"/>
          <c:showCatName val="0"/>
          <c:showSerName val="0"/>
          <c:showPercent val="0"/>
          <c:showBubbleSize val="0"/>
        </c:dLbls>
        <c:axId val="1562699216"/>
        <c:axId val="867378703"/>
      </c:scatterChart>
      <c:valAx>
        <c:axId val="1562699216"/>
        <c:scaling>
          <c:orientation val="minMax"/>
          <c:max val="250"/>
          <c:min val="1"/>
        </c:scaling>
        <c:delete val="0"/>
        <c:axPos val="b"/>
        <c:majorGridlines>
          <c:spPr>
            <a:ln w="9525" cap="flat" cmpd="sng" algn="ctr">
              <a:noFill/>
              <a:round/>
            </a:ln>
            <a:effectLst/>
          </c:spPr>
        </c:majorGridlines>
        <c:numFmt formatCode="0"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7378703"/>
        <c:crosses val="autoZero"/>
        <c:crossBetween val="midCat"/>
      </c:valAx>
      <c:valAx>
        <c:axId val="867378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2699216"/>
        <c:crossesAt val="0"/>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16763419434668E-2"/>
          <c:y val="4.0260592425946762E-2"/>
          <c:w val="0.89936902803039898"/>
          <c:h val="0.77741358187031351"/>
        </c:manualLayout>
      </c:layout>
      <c:scatterChart>
        <c:scatterStyle val="lineMarker"/>
        <c:varyColors val="0"/>
        <c:ser>
          <c:idx val="0"/>
          <c:order val="0"/>
          <c:tx>
            <c:strRef>
              <c:f>Datenaustausch!$AR$72</c:f>
              <c:strCache>
                <c:ptCount val="1"/>
                <c:pt idx="0">
                  <c:v>Vor Sanierung</c:v>
                </c:pt>
              </c:strCache>
            </c:strRef>
          </c:tx>
          <c:spPr>
            <a:ln w="25400" cap="rnd">
              <a:noFill/>
              <a:round/>
            </a:ln>
            <a:effectLst/>
          </c:spPr>
          <c:marker>
            <c:symbol val="square"/>
            <c:size val="34"/>
            <c:spPr>
              <a:blipFill dpi="0" rotWithShape="1">
                <a:blip xmlns:r="http://schemas.openxmlformats.org/officeDocument/2006/relationships" r:embed="rId1"/>
                <a:srcRect/>
                <a:stretch>
                  <a:fillRect/>
                </a:stretch>
              </a:blipFill>
              <a:ln w="6350" cap="sq">
                <a:noFill/>
                <a:bevel/>
              </a:ln>
              <a:effectLst/>
            </c:spPr>
          </c:marker>
          <c:dLbls>
            <c:dLbl>
              <c:idx val="0"/>
              <c:tx>
                <c:rich>
                  <a:bodyPr/>
                  <a:lstStyle/>
                  <a:p>
                    <a:fld id="{6E563E5A-9940-4F40-884D-C24A9CE5640A}" type="SERIESNAME">
                      <a:rPr lang="en-US" sz="1100">
                        <a:solidFill>
                          <a:srgbClr val="532C00"/>
                        </a:solidFill>
                        <a:latin typeface="BRALE" panose="00000500000000000000" pitchFamily="2" charset="0"/>
                      </a:rPr>
                      <a:pPr/>
                      <a:t>[DATENREIHENNAME]</a:t>
                    </a:fld>
                    <a:endParaRPr lang="de-DE"/>
                  </a:p>
                </c:rich>
              </c:tx>
              <c:dLblPos val="t"/>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BE8-4C00-94AD-51E90B26A4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32C00"/>
                    </a:solidFill>
                    <a:latin typeface="BRALE" panose="00000500000000000000" pitchFamily="2" charset="0"/>
                    <a:ea typeface="+mn-ea"/>
                    <a:cs typeface="+mn-cs"/>
                  </a:defRPr>
                </a:pPr>
                <a:endParaRPr lang="de-D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Datenaustausch!$AS$72</c:f>
              <c:numCache>
                <c:formatCode>0</c:formatCode>
                <c:ptCount val="1"/>
                <c:pt idx="0">
                  <c:v>0</c:v>
                </c:pt>
              </c:numCache>
            </c:numRef>
          </c:xVal>
          <c:yVal>
            <c:numRef>
              <c:f>Datenaustausch!$AT$72</c:f>
              <c:numCache>
                <c:formatCode>General</c:formatCode>
                <c:ptCount val="1"/>
                <c:pt idx="0">
                  <c:v>0</c:v>
                </c:pt>
              </c:numCache>
            </c:numRef>
          </c:yVal>
          <c:smooth val="0"/>
          <c:extLst>
            <c:ext xmlns:c16="http://schemas.microsoft.com/office/drawing/2014/chart" uri="{C3380CC4-5D6E-409C-BE32-E72D297353CC}">
              <c16:uniqueId val="{00000001-ABE8-4C00-94AD-51E90B26A49D}"/>
            </c:ext>
          </c:extLst>
        </c:ser>
        <c:ser>
          <c:idx val="1"/>
          <c:order val="1"/>
          <c:tx>
            <c:strRef>
              <c:f>Datenaustausch!$AG$77</c:f>
              <c:strCache>
                <c:ptCount val="1"/>
                <c:pt idx="0">
                  <c:v>Variante 1</c:v>
                </c:pt>
              </c:strCache>
            </c:strRef>
          </c:tx>
          <c:spPr>
            <a:ln w="25400" cap="rnd">
              <a:noFill/>
              <a:round/>
            </a:ln>
            <a:effectLst/>
          </c:spPr>
          <c:marker>
            <c:symbol val="square"/>
            <c:size val="34"/>
            <c:spPr>
              <a:blipFill>
                <a:blip xmlns:r="http://schemas.openxmlformats.org/officeDocument/2006/relationships" r:embed="rId1"/>
                <a:stretch>
                  <a:fillRect/>
                </a:stretch>
              </a:blipFill>
              <a:ln w="9525">
                <a:noFill/>
              </a:ln>
              <a:effectLst/>
            </c:spPr>
          </c:marker>
          <c:dLbls>
            <c:spPr>
              <a:noFill/>
              <a:ln>
                <a:noFill/>
              </a:ln>
              <a:effectLst/>
            </c:spPr>
            <c:txPr>
              <a:bodyPr wrap="square" lIns="38100" tIns="19050" rIns="38100" bIns="19050" anchor="ctr">
                <a:spAutoFit/>
              </a:bodyPr>
              <a:lstStyle/>
              <a:p>
                <a:pPr>
                  <a:defRPr>
                    <a:solidFill>
                      <a:srgbClr val="532C00"/>
                    </a:solidFill>
                    <a:latin typeface="BRALE" panose="00000500000000000000" pitchFamily="2" charset="0"/>
                  </a:defRPr>
                </a:pPr>
                <a:endParaRPr lang="de-D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xVal>
            <c:numRef>
              <c:f>Datenaustausch!$AH$77</c:f>
              <c:numCache>
                <c:formatCode>0</c:formatCode>
                <c:ptCount val="1"/>
                <c:pt idx="0">
                  <c:v>0</c:v>
                </c:pt>
              </c:numCache>
            </c:numRef>
          </c:xVal>
          <c:yVal>
            <c:numRef>
              <c:f>Datenaustausch!$AI$77</c:f>
              <c:numCache>
                <c:formatCode>General</c:formatCode>
                <c:ptCount val="1"/>
                <c:pt idx="0">
                  <c:v>0</c:v>
                </c:pt>
              </c:numCache>
            </c:numRef>
          </c:yVal>
          <c:smooth val="0"/>
          <c:extLst>
            <c:ext xmlns:c16="http://schemas.microsoft.com/office/drawing/2014/chart" uri="{C3380CC4-5D6E-409C-BE32-E72D297353CC}">
              <c16:uniqueId val="{00000002-00BA-4B68-9515-3C612B4E3C82}"/>
            </c:ext>
          </c:extLst>
        </c:ser>
        <c:dLbls>
          <c:showLegendKey val="0"/>
          <c:showVal val="0"/>
          <c:showCatName val="0"/>
          <c:showSerName val="0"/>
          <c:showPercent val="0"/>
          <c:showBubbleSize val="0"/>
        </c:dLbls>
        <c:axId val="1562699216"/>
        <c:axId val="867378703"/>
      </c:scatterChart>
      <c:valAx>
        <c:axId val="1562699216"/>
        <c:scaling>
          <c:orientation val="minMax"/>
          <c:max val="250"/>
          <c:min val="1"/>
        </c:scaling>
        <c:delete val="0"/>
        <c:axPos val="b"/>
        <c:majorGridlines>
          <c:spPr>
            <a:ln w="9525" cap="flat" cmpd="sng" algn="ctr">
              <a:noFill/>
              <a:round/>
            </a:ln>
            <a:effectLst/>
          </c:spPr>
        </c:majorGridlines>
        <c:numFmt formatCode="0"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7378703"/>
        <c:crosses val="autoZero"/>
        <c:crossBetween val="midCat"/>
      </c:valAx>
      <c:valAx>
        <c:axId val="867378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2699216"/>
        <c:crossesAt val="0"/>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16763419434668E-2"/>
          <c:y val="4.0260592425946762E-2"/>
          <c:w val="0.89936902803039898"/>
          <c:h val="0.77741358187031351"/>
        </c:manualLayout>
      </c:layout>
      <c:scatterChart>
        <c:scatterStyle val="lineMarker"/>
        <c:varyColors val="0"/>
        <c:ser>
          <c:idx val="0"/>
          <c:order val="0"/>
          <c:tx>
            <c:strRef>
              <c:f>Datenaustausch!$AR$72</c:f>
              <c:strCache>
                <c:ptCount val="1"/>
                <c:pt idx="0">
                  <c:v>Vor Sanierung</c:v>
                </c:pt>
              </c:strCache>
            </c:strRef>
          </c:tx>
          <c:spPr>
            <a:ln w="25400" cap="rnd">
              <a:noFill/>
              <a:round/>
            </a:ln>
            <a:effectLst/>
          </c:spPr>
          <c:marker>
            <c:symbol val="square"/>
            <c:size val="34"/>
            <c:spPr>
              <a:blipFill dpi="0" rotWithShape="1">
                <a:blip xmlns:r="http://schemas.openxmlformats.org/officeDocument/2006/relationships" r:embed="rId3"/>
                <a:srcRect/>
                <a:stretch>
                  <a:fillRect/>
                </a:stretch>
              </a:blipFill>
              <a:ln w="6350" cap="sq">
                <a:noFill/>
                <a:bevel/>
              </a:ln>
              <a:effectLst/>
            </c:spPr>
          </c:marker>
          <c:dLbls>
            <c:dLbl>
              <c:idx val="0"/>
              <c:tx>
                <c:rich>
                  <a:bodyPr/>
                  <a:lstStyle/>
                  <a:p>
                    <a:fld id="{6E563E5A-9940-4F40-884D-C24A9CE5640A}" type="SERIESNAME">
                      <a:rPr lang="en-US" sz="1100">
                        <a:solidFill>
                          <a:srgbClr val="532C00"/>
                        </a:solidFill>
                        <a:latin typeface="BRALE" panose="00000500000000000000" pitchFamily="2" charset="0"/>
                      </a:rPr>
                      <a:pPr/>
                      <a:t>[DATENREIHENNAME]</a:t>
                    </a:fld>
                    <a:endParaRPr lang="de-DE"/>
                  </a:p>
                </c:rich>
              </c:tx>
              <c:dLblPos val="t"/>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B48-4887-A340-F4F12288E12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32C00"/>
                    </a:solidFill>
                    <a:latin typeface="BRALE" panose="00000500000000000000" pitchFamily="2" charset="0"/>
                    <a:ea typeface="+mn-ea"/>
                    <a:cs typeface="+mn-cs"/>
                  </a:defRPr>
                </a:pPr>
                <a:endParaRPr lang="de-D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Datenaustausch!$AS$72</c:f>
              <c:numCache>
                <c:formatCode>0</c:formatCode>
                <c:ptCount val="1"/>
                <c:pt idx="0">
                  <c:v>0</c:v>
                </c:pt>
              </c:numCache>
            </c:numRef>
          </c:xVal>
          <c:yVal>
            <c:numRef>
              <c:f>Datenaustausch!$AT$72</c:f>
              <c:numCache>
                <c:formatCode>General</c:formatCode>
                <c:ptCount val="1"/>
                <c:pt idx="0">
                  <c:v>0</c:v>
                </c:pt>
              </c:numCache>
            </c:numRef>
          </c:yVal>
          <c:smooth val="0"/>
          <c:extLst>
            <c:ext xmlns:c16="http://schemas.microsoft.com/office/drawing/2014/chart" uri="{C3380CC4-5D6E-409C-BE32-E72D297353CC}">
              <c16:uniqueId val="{00000001-8B48-4887-A340-F4F12288E124}"/>
            </c:ext>
          </c:extLst>
        </c:ser>
        <c:ser>
          <c:idx val="1"/>
          <c:order val="1"/>
          <c:tx>
            <c:strRef>
              <c:f>Datenaustausch!$AG$95</c:f>
              <c:strCache>
                <c:ptCount val="1"/>
                <c:pt idx="0">
                  <c:v>Variante 2</c:v>
                </c:pt>
              </c:strCache>
            </c:strRef>
          </c:tx>
          <c:spPr>
            <a:ln w="25400" cap="rnd">
              <a:noFill/>
              <a:round/>
            </a:ln>
            <a:effectLst/>
          </c:spPr>
          <c:marker>
            <c:symbol val="square"/>
            <c:size val="34"/>
            <c:spPr>
              <a:blipFill>
                <a:blip xmlns:r="http://schemas.openxmlformats.org/officeDocument/2006/relationships" r:embed="rId3"/>
                <a:stretch>
                  <a:fillRect/>
                </a:stretch>
              </a:blip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32C00"/>
                    </a:solidFill>
                    <a:latin typeface="BRALE" panose="00000500000000000000" pitchFamily="2" charset="0"/>
                    <a:ea typeface="+mn-ea"/>
                    <a:cs typeface="+mn-cs"/>
                  </a:defRPr>
                </a:pPr>
                <a:endParaRPr lang="de-DE"/>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Datenaustausch!$AH$95</c:f>
              <c:numCache>
                <c:formatCode>0</c:formatCode>
                <c:ptCount val="1"/>
                <c:pt idx="0">
                  <c:v>0</c:v>
                </c:pt>
              </c:numCache>
            </c:numRef>
          </c:xVal>
          <c:yVal>
            <c:numRef>
              <c:f>Datenaustausch!$AI$95</c:f>
              <c:numCache>
                <c:formatCode>General</c:formatCode>
                <c:ptCount val="1"/>
                <c:pt idx="0">
                  <c:v>0</c:v>
                </c:pt>
              </c:numCache>
            </c:numRef>
          </c:yVal>
          <c:smooth val="0"/>
          <c:extLst>
            <c:ext xmlns:c16="http://schemas.microsoft.com/office/drawing/2014/chart" uri="{C3380CC4-5D6E-409C-BE32-E72D297353CC}">
              <c16:uniqueId val="{00000004-8B48-4887-A340-F4F12288E124}"/>
            </c:ext>
          </c:extLst>
        </c:ser>
        <c:dLbls>
          <c:showLegendKey val="0"/>
          <c:showVal val="0"/>
          <c:showCatName val="0"/>
          <c:showSerName val="0"/>
          <c:showPercent val="0"/>
          <c:showBubbleSize val="0"/>
        </c:dLbls>
        <c:axId val="1562699216"/>
        <c:axId val="867378703"/>
      </c:scatterChart>
      <c:valAx>
        <c:axId val="1562699216"/>
        <c:scaling>
          <c:orientation val="minMax"/>
          <c:max val="250"/>
          <c:min val="1"/>
        </c:scaling>
        <c:delete val="0"/>
        <c:axPos val="b"/>
        <c:majorGridlines>
          <c:spPr>
            <a:ln w="9525" cap="flat" cmpd="sng" algn="ctr">
              <a:noFill/>
              <a:round/>
            </a:ln>
            <a:effectLst/>
          </c:spPr>
        </c:majorGridlines>
        <c:numFmt formatCode="0"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67378703"/>
        <c:crosses val="autoZero"/>
        <c:crossBetween val="midCat"/>
      </c:valAx>
      <c:valAx>
        <c:axId val="867378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2699216"/>
        <c:crossesAt val="0"/>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33535020592336E-2"/>
          <c:y val="7.5495275445519705E-2"/>
          <c:w val="0.93275036148549939"/>
          <c:h val="0.80653065015961312"/>
        </c:manualLayout>
      </c:layout>
      <c:lineChart>
        <c:grouping val="standard"/>
        <c:varyColors val="0"/>
        <c:ser>
          <c:idx val="1"/>
          <c:order val="0"/>
          <c:tx>
            <c:v>mit Sanierung</c:v>
          </c:tx>
          <c:spPr>
            <a:ln w="50800" cap="rnd">
              <a:solidFill>
                <a:srgbClr val="AAD054"/>
              </a:solidFill>
              <a:round/>
            </a:ln>
            <a:effectLst/>
          </c:spPr>
          <c:marker>
            <c:symbol val="none"/>
          </c:marker>
          <c:dLbls>
            <c:dLbl>
              <c:idx val="0"/>
              <c:layout>
                <c:manualLayout>
                  <c:x val="-1.8510238150142189E-2"/>
                  <c:y val="-4.2307939168068333E-2"/>
                </c:manualLayout>
              </c:layout>
              <c:tx>
                <c:rich>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fld id="{FCB1BCA7-0E4A-4112-8676-CE4DB3FAA148}" type="VALUE">
                      <a:rPr lang="en-US">
                        <a:solidFill>
                          <a:srgbClr val="AAD054"/>
                        </a:solidFill>
                      </a:rPr>
                      <a:pPr>
                        <a:defRPr/>
                      </a:pPr>
                      <a:t>[WERT]</a:t>
                    </a:fld>
                    <a:endParaRPr lang="de-DE"/>
                  </a:p>
                </c:rich>
              </c:tx>
              <c:numFmt formatCode="#,##0\ &quot;€&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308A-4A71-8573-DB898CDEEC15}"/>
                </c:ext>
              </c:extLst>
            </c:dLbl>
            <c:dLbl>
              <c:idx val="15"/>
              <c:layout>
                <c:manualLayout>
                  <c:x val="-5.9453466089721803E-2"/>
                  <c:y val="-3.751601158895574E-2"/>
                </c:manualLayout>
              </c:layout>
              <c:tx>
                <c:rich>
                  <a:bodyPr rot="-120000" spcFirstLastPara="1" vertOverflow="ellipsis"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fld id="{8F9380D9-5A78-43C0-9D85-12A237433B1A}" type="SERIESNAME">
                      <a:rPr lang="en-US">
                        <a:solidFill>
                          <a:srgbClr val="97C335"/>
                        </a:solidFill>
                      </a:rPr>
                      <a:pPr>
                        <a:defRPr/>
                      </a:pPr>
                      <a:t>[DATENREIHENNAME]</a:t>
                    </a:fld>
                    <a:endParaRPr lang="de-DE"/>
                  </a:p>
                </c:rich>
              </c:tx>
              <c:spPr>
                <a:noFill/>
                <a:ln>
                  <a:noFill/>
                </a:ln>
                <a:effectLst/>
              </c:spPr>
              <c:txPr>
                <a:bodyPr rot="-120000" spcFirstLastPara="1" vertOverflow="ellipsis"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DEB-4DAC-B6C1-EA5BACD20CDB}"/>
                </c:ext>
              </c:extLst>
            </c:dLbl>
            <c:dLbl>
              <c:idx val="29"/>
              <c:layout>
                <c:manualLayout>
                  <c:x val="0"/>
                  <c:y val="-5.3590056279553197E-2"/>
                </c:manualLayout>
              </c:layout>
              <c:tx>
                <c:rich>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fld id="{1B49DCA7-795D-4302-8175-745BBD762EC7}" type="VALUE">
                      <a:rPr lang="en-US">
                        <a:solidFill>
                          <a:srgbClr val="AAD054"/>
                        </a:solidFill>
                      </a:rPr>
                      <a:pPr>
                        <a:defRPr/>
                      </a:pPr>
                      <a:t>[WERT]</a:t>
                    </a:fld>
                    <a:endParaRPr lang="de-DE"/>
                  </a:p>
                </c:rich>
              </c:tx>
              <c:numFmt formatCode="#,##0\ &quot;€&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08A-4A71-8573-DB898CDEEC15}"/>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Datenbank!$D$127:$AG$127</c:f>
              <c:numCache>
                <c:formatCode>General</c:formatCode>
                <c:ptCount val="30"/>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numCache>
            </c:numRef>
          </c:cat>
          <c:val>
            <c:numRef>
              <c:f>Datenbank!$D$458:$AG$458</c:f>
              <c:numCache>
                <c:formatCode>#,##0.00\ "€"</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1"/>
          <c:extLst>
            <c:ext xmlns:c16="http://schemas.microsoft.com/office/drawing/2014/chart" uri="{C3380CC4-5D6E-409C-BE32-E72D297353CC}">
              <c16:uniqueId val="{00000002-308A-4A71-8573-DB898CDEEC15}"/>
            </c:ext>
          </c:extLst>
        </c:ser>
        <c:ser>
          <c:idx val="0"/>
          <c:order val="1"/>
          <c:tx>
            <c:v>ohne Sanierung</c:v>
          </c:tx>
          <c:spPr>
            <a:ln w="50800" cap="rnd">
              <a:solidFill>
                <a:srgbClr val="532C00"/>
              </a:solidFill>
              <a:round/>
              <a:tailEnd type="triangle" w="lg" len="lg"/>
            </a:ln>
            <a:effectLst/>
          </c:spPr>
          <c:marker>
            <c:symbol val="none"/>
          </c:marker>
          <c:dLbls>
            <c:dLbl>
              <c:idx val="0"/>
              <c:layout>
                <c:manualLayout>
                  <c:x val="-1.9832398018009491E-2"/>
                  <c:y val="-5.3590056279553093E-2"/>
                </c:manualLayout>
              </c:layout>
              <c:tx>
                <c:rich>
                  <a:bodyPr rot="0" spcFirstLastPara="1" vertOverflow="ellipsis" vert="horz" wrap="square" lIns="38100" tIns="19050" rIns="38100" bIns="19050" anchor="ctr" anchorCtr="1">
                    <a:spAutoFit/>
                  </a:bodyPr>
                  <a:lstStyle/>
                  <a:p>
                    <a:pPr>
                      <a:defRPr lang="en-US" sz="2000" b="0" i="0" u="none" strike="noStrike" kern="1200" baseline="0">
                        <a:solidFill>
                          <a:srgbClr val="AAD054"/>
                        </a:solidFill>
                        <a:latin typeface="BRALE" panose="00000500000000000000" pitchFamily="2" charset="0"/>
                        <a:ea typeface="+mn-ea"/>
                        <a:cs typeface="+mn-cs"/>
                      </a:defRPr>
                    </a:pPr>
                    <a:fld id="{6EFB0C9A-274F-4F6D-96C9-742FFE4B40C9}" type="VALUE">
                      <a:rPr lang="en-US">
                        <a:solidFill>
                          <a:srgbClr val="532C00"/>
                        </a:solidFill>
                      </a:rPr>
                      <a:pPr>
                        <a:defRPr lang="en-US">
                          <a:solidFill>
                            <a:srgbClr val="AAD054"/>
                          </a:solidFill>
                        </a:defRPr>
                      </a:pPr>
                      <a:t>[WERT]</a:t>
                    </a:fld>
                    <a:endParaRPr lang="de-DE"/>
                  </a:p>
                </c:rich>
              </c:tx>
              <c:numFmt formatCode="#,##0\ &quot;€&quot;" sourceLinked="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rgbClr val="AAD054"/>
                      </a:solidFill>
                      <a:latin typeface="BRALE" panose="00000500000000000000" pitchFamily="2" charset="0"/>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08A-4A71-8573-DB898CDEEC15}"/>
                </c:ext>
              </c:extLst>
            </c:dLbl>
            <c:dLbl>
              <c:idx val="15"/>
              <c:layout>
                <c:manualLayout>
                  <c:x val="-9.8217126139377539E-2"/>
                  <c:y val="-4.9336057465423799E-2"/>
                </c:manualLayout>
              </c:layout>
              <c:tx>
                <c:rich>
                  <a:bodyPr rot="-660000" spcFirstLastPara="1" vertOverflow="ellipsis" wrap="square" lIns="38100" tIns="19050" rIns="38100" bIns="19050" anchor="ctr" anchorCtr="1">
                    <a:spAutoFit/>
                  </a:bodyPr>
                  <a:lstStyle/>
                  <a:p>
                    <a:pPr>
                      <a:defRPr lang="en-US" sz="2000" b="0" i="0" u="none" strike="noStrike" kern="1200" baseline="0">
                        <a:solidFill>
                          <a:srgbClr val="AAD054"/>
                        </a:solidFill>
                        <a:latin typeface="BRALE" panose="00000500000000000000" pitchFamily="2" charset="0"/>
                        <a:ea typeface="+mn-ea"/>
                        <a:cs typeface="+mn-cs"/>
                      </a:defRPr>
                    </a:pPr>
                    <a:fld id="{52B6395A-1373-4963-ACD6-77F1EAE13F71}" type="SERIESNAME">
                      <a:rPr lang="en-US">
                        <a:solidFill>
                          <a:srgbClr val="532C00"/>
                        </a:solidFill>
                      </a:rPr>
                      <a:pPr>
                        <a:defRPr lang="en-US">
                          <a:solidFill>
                            <a:srgbClr val="AAD054"/>
                          </a:solidFill>
                        </a:defRPr>
                      </a:pPr>
                      <a:t>[DATENREIHENNAME]</a:t>
                    </a:fld>
                    <a:endParaRPr lang="de-DE"/>
                  </a:p>
                </c:rich>
              </c:tx>
              <c:spPr>
                <a:noFill/>
                <a:ln>
                  <a:noFill/>
                </a:ln>
                <a:effectLst/>
              </c:spPr>
              <c:txPr>
                <a:bodyPr rot="-660000" spcFirstLastPara="1" vertOverflow="ellipsis" wrap="square" lIns="38100" tIns="19050" rIns="38100" bIns="19050" anchor="ctr" anchorCtr="1">
                  <a:spAutoFit/>
                </a:bodyPr>
                <a:lstStyle/>
                <a:p>
                  <a:pPr>
                    <a:defRPr lang="en-US" sz="2000" b="0" i="0" u="none" strike="noStrike" kern="1200" baseline="0">
                      <a:solidFill>
                        <a:srgbClr val="AAD054"/>
                      </a:solidFill>
                      <a:latin typeface="BRALE" panose="00000500000000000000" pitchFamily="2" charset="0"/>
                      <a:ea typeface="+mn-ea"/>
                      <a:cs typeface="+mn-cs"/>
                    </a:defRPr>
                  </a:pPr>
                  <a:endParaRPr lang="de-DE"/>
                </a:p>
              </c:txPr>
              <c:showLegendKey val="0"/>
              <c:showVal val="0"/>
              <c:showCatName val="0"/>
              <c:showSerName val="1"/>
              <c:showPercent val="0"/>
              <c:showBubbleSize val="0"/>
              <c:extLst>
                <c:ext xmlns:c15="http://schemas.microsoft.com/office/drawing/2012/chart" uri="{CE6537A1-D6FC-4f65-9D91-7224C49458BB}">
                  <c15:layout>
                    <c:manualLayout>
                      <c:w val="0.2082852222301641"/>
                      <c:h val="0.24447640513131624"/>
                    </c:manualLayout>
                  </c15:layout>
                  <c15:dlblFieldTable/>
                  <c15:showDataLabelsRange val="0"/>
                </c:ext>
                <c:ext xmlns:c16="http://schemas.microsoft.com/office/drawing/2014/chart" uri="{C3380CC4-5D6E-409C-BE32-E72D297353CC}">
                  <c16:uniqueId val="{00000000-2DEB-4DAC-B6C1-EA5BACD20CDB}"/>
                </c:ext>
              </c:extLst>
            </c:dLbl>
            <c:dLbl>
              <c:idx val="29"/>
              <c:layout>
                <c:manualLayout>
                  <c:x val="0"/>
                  <c:y val="-4.2307939168068236E-2"/>
                </c:manualLayout>
              </c:layout>
              <c:tx>
                <c:rich>
                  <a:bodyPr rot="0" spcFirstLastPara="1" vertOverflow="ellipsis" vert="horz" wrap="square" lIns="38100" tIns="19050" rIns="38100" bIns="19050" anchor="ctr" anchorCtr="1">
                    <a:spAutoFit/>
                  </a:bodyPr>
                  <a:lstStyle/>
                  <a:p>
                    <a:pPr>
                      <a:defRPr lang="en-US" sz="2000" b="0" i="0" u="none" strike="noStrike" kern="1200" baseline="0">
                        <a:solidFill>
                          <a:srgbClr val="AAD054"/>
                        </a:solidFill>
                        <a:latin typeface="BRALE" panose="00000500000000000000" pitchFamily="2" charset="0"/>
                        <a:ea typeface="+mn-ea"/>
                        <a:cs typeface="+mn-cs"/>
                      </a:defRPr>
                    </a:pPr>
                    <a:fld id="{958C200B-E265-4635-8B27-E2A384EAA723}" type="VALUE">
                      <a:rPr lang="en-US">
                        <a:solidFill>
                          <a:srgbClr val="532C00"/>
                        </a:solidFill>
                      </a:rPr>
                      <a:pPr>
                        <a:defRPr lang="en-US">
                          <a:solidFill>
                            <a:srgbClr val="AAD054"/>
                          </a:solidFill>
                        </a:defRPr>
                      </a:pPr>
                      <a:t>[WERT]</a:t>
                    </a:fld>
                    <a:endParaRPr lang="de-DE"/>
                  </a:p>
                </c:rich>
              </c:tx>
              <c:numFmt formatCode="#,##0\ &quot;€&quot;" sourceLinked="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rgbClr val="AAD054"/>
                      </a:solidFill>
                      <a:latin typeface="BRALE" panose="00000500000000000000" pitchFamily="2" charset="0"/>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08A-4A71-8573-DB898CDEEC15}"/>
                </c:ext>
              </c:extLst>
            </c:dLbl>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rgbClr val="AAD054"/>
                    </a:solidFill>
                    <a:latin typeface="BRALE" panose="00000500000000000000" pitchFamily="2" charset="0"/>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Datenbank!$D$127:$AG$127</c:f>
              <c:numCache>
                <c:formatCode>General</c:formatCode>
                <c:ptCount val="30"/>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numCache>
            </c:numRef>
          </c:cat>
          <c:val>
            <c:numRef>
              <c:f>Datenbank!$D$448:$AG$448</c:f>
              <c:numCache>
                <c:formatCode>#,##0.00\ "€"</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1"/>
          <c:extLst>
            <c:ext xmlns:c16="http://schemas.microsoft.com/office/drawing/2014/chart" uri="{C3380CC4-5D6E-409C-BE32-E72D297353CC}">
              <c16:uniqueId val="{00000006-308A-4A71-8573-DB898CDEEC15}"/>
            </c:ext>
          </c:extLst>
        </c:ser>
        <c:dLbls>
          <c:showLegendKey val="0"/>
          <c:showVal val="0"/>
          <c:showCatName val="0"/>
          <c:showSerName val="0"/>
          <c:showPercent val="0"/>
          <c:showBubbleSize val="0"/>
        </c:dLbls>
        <c:smooth val="0"/>
        <c:axId val="573381600"/>
        <c:axId val="573392640"/>
      </c:lineChart>
      <c:catAx>
        <c:axId val="573381600"/>
        <c:scaling>
          <c:orientation val="minMax"/>
        </c:scaling>
        <c:delete val="0"/>
        <c:axPos val="b"/>
        <c:numFmt formatCode="General" sourceLinked="1"/>
        <c:majorTickMark val="none"/>
        <c:minorTickMark val="none"/>
        <c:tickLblPos val="low"/>
        <c:spPr>
          <a:noFill/>
          <a:ln w="9525" cap="flat" cmpd="sng" algn="ctr">
            <a:solidFill>
              <a:schemeClr val="bg1">
                <a:lumMod val="50000"/>
              </a:schemeClr>
            </a:solidFill>
            <a:round/>
          </a:ln>
          <a:effectLst/>
        </c:spPr>
        <c:txPr>
          <a:bodyPr rot="0" spcFirstLastPara="1" vertOverflow="ellipsis" wrap="square" anchor="ctr" anchorCtr="1"/>
          <a:lstStyle/>
          <a:p>
            <a:pPr>
              <a:defRPr sz="2000" b="0" i="0" u="none" strike="noStrike" kern="1200" baseline="0">
                <a:solidFill>
                  <a:srgbClr val="663300"/>
                </a:solidFill>
                <a:latin typeface="BRALE" panose="00000500000000000000" pitchFamily="2" charset="0"/>
                <a:ea typeface="+mn-ea"/>
                <a:cs typeface="+mn-cs"/>
              </a:defRPr>
            </a:pPr>
            <a:endParaRPr lang="de-DE"/>
          </a:p>
        </c:txPr>
        <c:crossAx val="573392640"/>
        <c:crosses val="autoZero"/>
        <c:auto val="1"/>
        <c:lblAlgn val="ctr"/>
        <c:lblOffset val="100"/>
        <c:tickLblSkip val="9"/>
        <c:noMultiLvlLbl val="0"/>
      </c:catAx>
      <c:valAx>
        <c:axId val="573392640"/>
        <c:scaling>
          <c:orientation val="minMax"/>
        </c:scaling>
        <c:delete val="0"/>
        <c:axPos val="l"/>
        <c:numFmt formatCode="#,##0\ &quot;€&quot;"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2000" b="0" i="0" u="none" strike="noStrike" kern="1200" baseline="0">
                <a:solidFill>
                  <a:srgbClr val="663300"/>
                </a:solidFill>
                <a:latin typeface="BRALE" panose="00000500000000000000" pitchFamily="2" charset="0"/>
                <a:ea typeface="+mn-ea"/>
                <a:cs typeface="+mn-cs"/>
              </a:defRPr>
            </a:pPr>
            <a:endParaRPr lang="de-DE"/>
          </a:p>
        </c:txPr>
        <c:crossAx val="573381600"/>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sz="2000">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13628709400193"/>
          <c:y val="6.2003040437269827E-2"/>
          <c:w val="0.93275036148549939"/>
          <c:h val="0.80653065015961312"/>
        </c:manualLayout>
      </c:layout>
      <c:lineChart>
        <c:grouping val="standard"/>
        <c:varyColors val="0"/>
        <c:ser>
          <c:idx val="1"/>
          <c:order val="0"/>
          <c:tx>
            <c:v>mit Sanierung</c:v>
          </c:tx>
          <c:spPr>
            <a:ln w="28575" cap="rnd">
              <a:solidFill>
                <a:srgbClr val="AAD054"/>
              </a:solidFill>
              <a:round/>
            </a:ln>
            <a:effectLst/>
          </c:spPr>
          <c:marker>
            <c:symbol val="none"/>
          </c:marker>
          <c:dLbls>
            <c:dLbl>
              <c:idx val="0"/>
              <c:layout>
                <c:manualLayout>
                  <c:x val="-7.9329592072037939E-3"/>
                  <c:y val="6.6435646807085982E-2"/>
                </c:manualLayout>
              </c:layout>
              <c:numFmt formatCode="#,##0\ &quot;€&quot;" sourceLinked="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rgbClr val="AAD054"/>
                      </a:solidFill>
                      <a:latin typeface="BRALE" panose="00000500000000000000" pitchFamily="2" charset="0"/>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569-434F-981C-C9F0D530FBD8}"/>
                </c:ext>
              </c:extLst>
            </c:dLbl>
            <c:dLbl>
              <c:idx val="29"/>
              <c:layout>
                <c:manualLayout>
                  <c:x val="-4.2309115771753759E-2"/>
                  <c:y val="2.5996557446251036E-2"/>
                </c:manualLayout>
              </c:layout>
              <c:tx>
                <c:rich>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fld id="{B7130960-9290-4D3A-B0F3-A04887A79EA5}" type="VALUE">
                      <a:rPr lang="en-US">
                        <a:solidFill>
                          <a:srgbClr val="AAD054"/>
                        </a:solidFill>
                      </a:rPr>
                      <a:pPr>
                        <a:defRPr/>
                      </a:pPr>
                      <a:t>[WERT]</a:t>
                    </a:fld>
                    <a:endParaRPr lang="de-DE"/>
                  </a:p>
                </c:rich>
              </c:tx>
              <c:numFmt formatCode="#,##0\ &quot;€&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569-434F-981C-C9F0D530FBD8}"/>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Datenbank!$D$127:$AG$127</c:f>
              <c:numCache>
                <c:formatCode>General</c:formatCode>
                <c:ptCount val="30"/>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numCache>
            </c:numRef>
          </c:cat>
          <c:val>
            <c:numRef>
              <c:f>Datenbank!$D$464:$AG$464</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1"/>
          <c:extLst>
            <c:ext xmlns:c16="http://schemas.microsoft.com/office/drawing/2014/chart" uri="{C3380CC4-5D6E-409C-BE32-E72D297353CC}">
              <c16:uniqueId val="{00000002-308A-4A71-8573-DB898CDEEC15}"/>
            </c:ext>
          </c:extLst>
        </c:ser>
        <c:ser>
          <c:idx val="2"/>
          <c:order val="1"/>
          <c:tx>
            <c:v>Vor Sanierung + Sowieso-Kosten</c:v>
          </c:tx>
          <c:spPr>
            <a:ln w="28575" cap="rnd">
              <a:solidFill>
                <a:srgbClr val="532C00"/>
              </a:solidFill>
              <a:round/>
            </a:ln>
            <a:effectLst/>
          </c:spPr>
          <c:marker>
            <c:symbol val="none"/>
          </c:marker>
          <c:dLbls>
            <c:dLbl>
              <c:idx val="0"/>
              <c:layout>
                <c:manualLayout>
                  <c:x val="-1.7188078282274886E-2"/>
                  <c:y val="-7.2212659572919599E-2"/>
                </c:manualLayout>
              </c:layout>
              <c:tx>
                <c:rich>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fld id="{7248B7FD-98C3-459D-B88B-9B1C9DC82627}" type="VALUE">
                      <a:rPr lang="en-US">
                        <a:solidFill>
                          <a:srgbClr val="532C00"/>
                        </a:solidFill>
                      </a:rPr>
                      <a:pPr>
                        <a:defRPr/>
                      </a:pPr>
                      <a:t>[WERT]</a:t>
                    </a:fld>
                    <a:endParaRPr lang="de-DE"/>
                  </a:p>
                </c:rich>
              </c:tx>
              <c:numFmt formatCode="#,##0\ &quot;€&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3569-434F-981C-C9F0D530FBD8}"/>
                </c:ext>
              </c:extLst>
            </c:dLbl>
            <c:dLbl>
              <c:idx val="29"/>
              <c:layout>
                <c:manualLayout>
                  <c:x val="0"/>
                  <c:y val="-4.9104608509585292E-2"/>
                </c:manualLayout>
              </c:layout>
              <c:numFmt formatCode="#,##0\ &quot;€&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569-434F-981C-C9F0D530FBD8}"/>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Datenbank!$D$465:$AG$465</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5-3569-434F-981C-C9F0D530FBD8}"/>
            </c:ext>
          </c:extLst>
        </c:ser>
        <c:dLbls>
          <c:showLegendKey val="0"/>
          <c:showVal val="0"/>
          <c:showCatName val="0"/>
          <c:showSerName val="0"/>
          <c:showPercent val="0"/>
          <c:showBubbleSize val="0"/>
        </c:dLbls>
        <c:smooth val="0"/>
        <c:axId val="573381600"/>
        <c:axId val="573392640"/>
      </c:lineChart>
      <c:catAx>
        <c:axId val="573381600"/>
        <c:scaling>
          <c:orientation val="minMax"/>
        </c:scaling>
        <c:delete val="0"/>
        <c:axPos val="b"/>
        <c:numFmt formatCode="General" sourceLinked="1"/>
        <c:majorTickMark val="none"/>
        <c:minorTickMark val="none"/>
        <c:tickLblPos val="low"/>
        <c:spPr>
          <a:noFill/>
          <a:ln w="9525" cap="flat" cmpd="sng" algn="ctr">
            <a:solidFill>
              <a:schemeClr val="bg1">
                <a:lumMod val="50000"/>
              </a:schemeClr>
            </a:solidFill>
            <a:round/>
          </a:ln>
          <a:effectLst/>
        </c:spPr>
        <c:txPr>
          <a:bodyPr rot="0" spcFirstLastPara="1" vertOverflow="ellipsis" wrap="square" anchor="ctr" anchorCtr="1"/>
          <a:lstStyle/>
          <a:p>
            <a:pPr>
              <a:defRPr sz="2000" b="0" i="0" u="none" strike="noStrike" kern="1200" baseline="0">
                <a:solidFill>
                  <a:srgbClr val="663300"/>
                </a:solidFill>
                <a:latin typeface="BRALE" panose="00000500000000000000" pitchFamily="2" charset="0"/>
                <a:ea typeface="+mn-ea"/>
                <a:cs typeface="+mn-cs"/>
              </a:defRPr>
            </a:pPr>
            <a:endParaRPr lang="de-DE"/>
          </a:p>
        </c:txPr>
        <c:crossAx val="573392640"/>
        <c:crosses val="autoZero"/>
        <c:auto val="1"/>
        <c:lblAlgn val="ctr"/>
        <c:lblOffset val="100"/>
        <c:tickLblSkip val="9"/>
        <c:noMultiLvlLbl val="0"/>
      </c:catAx>
      <c:valAx>
        <c:axId val="573392640"/>
        <c:scaling>
          <c:orientation val="minMax"/>
        </c:scaling>
        <c:delete val="0"/>
        <c:axPos val="l"/>
        <c:numFmt formatCode="#,##0\ &quot;€&quot;"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2000" b="0" i="0" u="none" strike="noStrike" kern="1200" baseline="0">
                <a:solidFill>
                  <a:srgbClr val="663300"/>
                </a:solidFill>
                <a:latin typeface="BRALE" panose="00000500000000000000" pitchFamily="2" charset="0"/>
                <a:ea typeface="+mn-ea"/>
                <a:cs typeface="+mn-cs"/>
              </a:defRPr>
            </a:pPr>
            <a:endParaRPr lang="de-DE"/>
          </a:p>
        </c:txPr>
        <c:crossAx val="573381600"/>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sz="2000">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07925800528851"/>
          <c:y val="7.3369998753653187E-2"/>
          <c:w val="0.93275036148549939"/>
          <c:h val="0.80653065015961312"/>
        </c:manualLayout>
      </c:layout>
      <c:lineChart>
        <c:grouping val="standard"/>
        <c:varyColors val="0"/>
        <c:ser>
          <c:idx val="1"/>
          <c:order val="0"/>
          <c:tx>
            <c:v>effektive Kosten im Monat</c:v>
          </c:tx>
          <c:spPr>
            <a:ln w="28575" cap="rnd">
              <a:solidFill>
                <a:srgbClr val="532C00"/>
              </a:solidFill>
              <a:round/>
            </a:ln>
            <a:effectLst/>
          </c:spPr>
          <c:marker>
            <c:symbol val="none"/>
          </c:marker>
          <c:dLbls>
            <c:dLbl>
              <c:idx val="0"/>
              <c:layout>
                <c:manualLayout>
                  <c:x val="-2.1823036936206016E-2"/>
                  <c:y val="-4.546816434145786E-2"/>
                </c:manualLayout>
              </c:layout>
              <c:numFmt formatCode="#,##0\ &quot;€&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4B-4A19-B9F7-9D15B0852BAF}"/>
                </c:ext>
              </c:extLst>
            </c:dLbl>
            <c:dLbl>
              <c:idx val="15"/>
              <c:layout>
                <c:manualLayout>
                  <c:x val="3.2682527604089252E-3"/>
                  <c:y val="5.1151684884139986E-2"/>
                </c:manualLayout>
              </c:layout>
              <c:showLegendKey val="0"/>
              <c:showVal val="0"/>
              <c:showCatName val="0"/>
              <c:showSerName val="1"/>
              <c:showPercent val="0"/>
              <c:showBubbleSize val="0"/>
              <c:extLst>
                <c:ext xmlns:c15="http://schemas.microsoft.com/office/drawing/2012/chart" uri="{CE6537A1-D6FC-4f65-9D91-7224C49458BB}">
                  <c15:layout>
                    <c:manualLayout>
                      <c:w val="0.36927003277942338"/>
                      <c:h val="0.16357172121839464"/>
                    </c:manualLayout>
                  </c15:layout>
                </c:ext>
                <c:ext xmlns:c16="http://schemas.microsoft.com/office/drawing/2014/chart" uri="{C3380CC4-5D6E-409C-BE32-E72D297353CC}">
                  <c16:uniqueId val="{00000007-854B-4A19-B9F7-9D15B0852BAF}"/>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Datenbank!$D$127:$AG$127</c:f>
              <c:numCache>
                <c:formatCode>General</c:formatCode>
                <c:ptCount val="30"/>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numCache>
            </c:numRef>
          </c:cat>
          <c:val>
            <c:numRef>
              <c:f>Datenbank!$D$467:$AG$467</c:f>
              <c:numCache>
                <c:formatCode>_-* #,##0.00\ [$€-407]_-;\-* #,##0.00\ [$€-407]_-;_-* "-"??\ [$€-407]_-;_-@_-</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1"/>
          <c:extLst>
            <c:ext xmlns:c16="http://schemas.microsoft.com/office/drawing/2014/chart" uri="{C3380CC4-5D6E-409C-BE32-E72D297353CC}">
              <c16:uniqueId val="{00000002-854B-4A19-B9F7-9D15B0852BAF}"/>
            </c:ext>
          </c:extLst>
        </c:ser>
        <c:ser>
          <c:idx val="2"/>
          <c:order val="1"/>
          <c:tx>
            <c:v>Ersparnisse pro Monat</c:v>
          </c:tx>
          <c:spPr>
            <a:ln w="28575" cap="rnd">
              <a:solidFill>
                <a:srgbClr val="AAD054"/>
              </a:solidFill>
              <a:round/>
            </a:ln>
            <a:effectLst/>
          </c:spPr>
          <c:marker>
            <c:symbol val="none"/>
          </c:marker>
          <c:dLbls>
            <c:dLbl>
              <c:idx val="0"/>
              <c:layout>
                <c:manualLayout>
                  <c:x val="-2.1823036936206016E-2"/>
                  <c:y val="4.8309924612798975E-2"/>
                </c:manualLayout>
              </c:layout>
              <c:tx>
                <c:rich>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fld id="{A375A0EE-B9B4-4C73-B8D0-EFE956E72B2D}" type="VALUE">
                      <a:rPr lang="en-US">
                        <a:solidFill>
                          <a:srgbClr val="AAD054"/>
                        </a:solidFill>
                      </a:rPr>
                      <a:pPr>
                        <a:defRPr/>
                      </a:pPr>
                      <a:t>[WERT]</a:t>
                    </a:fld>
                    <a:endParaRPr lang="de-DE"/>
                  </a:p>
                </c:rich>
              </c:tx>
              <c:numFmt formatCode="#,##0\ &quot;€&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54B-4A19-B9F7-9D15B0852BAF}"/>
                </c:ext>
              </c:extLst>
            </c:dLbl>
            <c:dLbl>
              <c:idx val="16"/>
              <c:layout>
                <c:manualLayout>
                  <c:x val="-0.17700907737144861"/>
                  <c:y val="-2.2734082170728982E-2"/>
                </c:manualLayout>
              </c:layout>
              <c:tx>
                <c:rich>
                  <a:bodyPr rot="-720000" spcFirstLastPara="1" vertOverflow="ellipsis"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fld id="{D195EB93-1B7E-4254-82CC-C8ADCC374008}" type="SERIESNAME">
                      <a:rPr lang="en-US">
                        <a:solidFill>
                          <a:srgbClr val="AAD054"/>
                        </a:solidFill>
                      </a:rPr>
                      <a:pPr>
                        <a:defRPr/>
                      </a:pPr>
                      <a:t>[DATENREIHENNAME]</a:t>
                    </a:fld>
                    <a:endParaRPr lang="de-DE"/>
                  </a:p>
                </c:rich>
              </c:tx>
              <c:spPr>
                <a:noFill/>
                <a:ln>
                  <a:noFill/>
                </a:ln>
                <a:effectLst/>
              </c:spPr>
              <c:txPr>
                <a:bodyPr rot="-720000" spcFirstLastPara="1" vertOverflow="ellipsis"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extLst>
                <c:ext xmlns:c15="http://schemas.microsoft.com/office/drawing/2012/chart" uri="{CE6537A1-D6FC-4f65-9D91-7224C49458BB}">
                  <c15:layout>
                    <c:manualLayout>
                      <c:w val="0.26708972428034333"/>
                      <c:h val="0.16357172121839464"/>
                    </c:manualLayout>
                  </c15:layout>
                  <c15:dlblFieldTable/>
                  <c15:showDataLabelsRange val="0"/>
                </c:ext>
                <c:ext xmlns:c16="http://schemas.microsoft.com/office/drawing/2014/chart" uri="{C3380CC4-5D6E-409C-BE32-E72D297353CC}">
                  <c16:uniqueId val="{00000006-854B-4A19-B9F7-9D15B0852BAF}"/>
                </c:ext>
              </c:extLst>
            </c:dLbl>
            <c:dLbl>
              <c:idx val="29"/>
              <c:layout>
                <c:manualLayout>
                  <c:x val="0"/>
                  <c:y val="-3.4101123256093394E-2"/>
                </c:manualLayout>
              </c:layout>
              <c:tx>
                <c:rich>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fld id="{14125E11-06DD-4ECD-9EAD-DAEF8742EEFC}" type="VALUE">
                      <a:rPr lang="en-US">
                        <a:solidFill>
                          <a:srgbClr val="AAD054"/>
                        </a:solidFill>
                      </a:rPr>
                      <a:pPr>
                        <a:defRPr/>
                      </a:pPr>
                      <a:t>[WERT]</a:t>
                    </a:fld>
                    <a:endParaRPr lang="de-DE"/>
                  </a:p>
                </c:rich>
              </c:tx>
              <c:numFmt formatCode="#,##0\ &quot;€&quot;"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54B-4A19-B9F7-9D15B0852BAF}"/>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Datenbank!$D$460:$AG$460</c:f>
              <c:numCache>
                <c:formatCode>#,##0.00\ "€"</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5-854B-4A19-B9F7-9D15B0852BAF}"/>
            </c:ext>
          </c:extLst>
        </c:ser>
        <c:dLbls>
          <c:showLegendKey val="0"/>
          <c:showVal val="0"/>
          <c:showCatName val="0"/>
          <c:showSerName val="0"/>
          <c:showPercent val="0"/>
          <c:showBubbleSize val="0"/>
        </c:dLbls>
        <c:smooth val="0"/>
        <c:axId val="573381600"/>
        <c:axId val="573392640"/>
      </c:lineChart>
      <c:catAx>
        <c:axId val="573381600"/>
        <c:scaling>
          <c:orientation val="minMax"/>
        </c:scaling>
        <c:delete val="0"/>
        <c:axPos val="b"/>
        <c:numFmt formatCode="General" sourceLinked="1"/>
        <c:majorTickMark val="none"/>
        <c:minorTickMark val="none"/>
        <c:tickLblPos val="low"/>
        <c:spPr>
          <a:noFill/>
          <a:ln w="9525" cap="flat" cmpd="sng" algn="ctr">
            <a:solidFill>
              <a:schemeClr val="bg1">
                <a:lumMod val="50000"/>
              </a:schemeClr>
            </a:solidFill>
            <a:round/>
          </a:ln>
          <a:effectLst/>
        </c:spPr>
        <c:txPr>
          <a:bodyPr rot="0" spcFirstLastPara="1" vertOverflow="ellipsis" wrap="square" anchor="ctr" anchorCtr="1"/>
          <a:lstStyle/>
          <a:p>
            <a:pPr>
              <a:defRPr sz="2000" b="0" i="0" u="none" strike="noStrike" kern="1200" baseline="0">
                <a:solidFill>
                  <a:srgbClr val="663300"/>
                </a:solidFill>
                <a:latin typeface="BRALE" panose="00000500000000000000" pitchFamily="2" charset="0"/>
                <a:ea typeface="+mn-ea"/>
                <a:cs typeface="+mn-cs"/>
              </a:defRPr>
            </a:pPr>
            <a:endParaRPr lang="de-DE"/>
          </a:p>
        </c:txPr>
        <c:crossAx val="573392640"/>
        <c:crosses val="autoZero"/>
        <c:auto val="1"/>
        <c:lblAlgn val="ctr"/>
        <c:lblOffset val="100"/>
        <c:tickLblSkip val="9"/>
        <c:noMultiLvlLbl val="0"/>
      </c:catAx>
      <c:valAx>
        <c:axId val="573392640"/>
        <c:scaling>
          <c:orientation val="minMax"/>
        </c:scaling>
        <c:delete val="0"/>
        <c:axPos val="l"/>
        <c:numFmt formatCode="#,##0\ &quot;€&quot;"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2000" b="0" i="0" u="none" strike="noStrike" kern="1200" baseline="0">
                <a:solidFill>
                  <a:srgbClr val="663300"/>
                </a:solidFill>
                <a:latin typeface="BRALE" panose="00000500000000000000" pitchFamily="2" charset="0"/>
                <a:ea typeface="+mn-ea"/>
                <a:cs typeface="+mn-cs"/>
              </a:defRPr>
            </a:pPr>
            <a:endParaRPr lang="de-DE"/>
          </a:p>
        </c:txPr>
        <c:crossAx val="573381600"/>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sz="2000">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034093805650399E-2"/>
          <c:y val="7.9670606590497725E-2"/>
          <c:w val="0.94495734163393097"/>
          <c:h val="0.82857965821650925"/>
        </c:manualLayout>
      </c:layout>
      <c:barChart>
        <c:barDir val="col"/>
        <c:grouping val="stacked"/>
        <c:varyColors val="0"/>
        <c:ser>
          <c:idx val="1"/>
          <c:order val="0"/>
          <c:tx>
            <c:strRef>
              <c:f>Datenaustausch!$AB$28</c:f>
              <c:strCache>
                <c:ptCount val="1"/>
                <c:pt idx="0">
                  <c:v>Kosten</c:v>
                </c:pt>
              </c:strCache>
            </c:strRef>
          </c:tx>
          <c:spPr>
            <a:solidFill>
              <a:srgbClr val="53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RALE" panose="00000500000000000000" pitchFamily="2" charset="0"/>
                    <a:ea typeface="+mn-ea"/>
                    <a:cs typeface="+mn-cs"/>
                  </a:defRPr>
                </a:pPr>
                <a:endParaRPr lang="de-DE"/>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Datenaustausch!$AC$27:$AD$27</c:f>
              <c:strCache>
                <c:ptCount val="2"/>
                <c:pt idx="0">
                  <c:v>Einnahmen</c:v>
                </c:pt>
                <c:pt idx="1">
                  <c:v>Ausgaben</c:v>
                </c:pt>
              </c:strCache>
            </c:strRef>
          </c:cat>
          <c:val>
            <c:numRef>
              <c:f>Datenaustausch!$AC$28:$AD$28</c:f>
              <c:numCache>
                <c:formatCode>#,##0\ "€"</c:formatCode>
                <c:ptCount val="2"/>
                <c:pt idx="1">
                  <c:v>0</c:v>
                </c:pt>
              </c:numCache>
            </c:numRef>
          </c:val>
          <c:extLst>
            <c:ext xmlns:c16="http://schemas.microsoft.com/office/drawing/2014/chart" uri="{C3380CC4-5D6E-409C-BE32-E72D297353CC}">
              <c16:uniqueId val="{00000000-FA4C-42FC-AECB-D7A98C6ACFC7}"/>
            </c:ext>
          </c:extLst>
        </c:ser>
        <c:ser>
          <c:idx val="3"/>
          <c:order val="1"/>
          <c:tx>
            <c:strRef>
              <c:f>Datenaustausch!$AB$29</c:f>
              <c:strCache>
                <c:ptCount val="1"/>
                <c:pt idx="0">
                  <c:v>Einsparung</c:v>
                </c:pt>
              </c:strCache>
            </c:strRef>
          </c:tx>
          <c:spPr>
            <a:solidFill>
              <a:srgbClr val="97C3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663300"/>
                    </a:solidFill>
                    <a:latin typeface="BRALE" panose="00000500000000000000" pitchFamily="2" charset="0"/>
                    <a:ea typeface="+mn-ea"/>
                    <a:cs typeface="+mn-cs"/>
                  </a:defRPr>
                </a:pPr>
                <a:endParaRPr lang="de-DE"/>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Datenaustausch!$AC$27:$AD$27</c:f>
              <c:strCache>
                <c:ptCount val="2"/>
                <c:pt idx="0">
                  <c:v>Einnahmen</c:v>
                </c:pt>
                <c:pt idx="1">
                  <c:v>Ausgaben</c:v>
                </c:pt>
              </c:strCache>
            </c:strRef>
          </c:cat>
          <c:val>
            <c:numRef>
              <c:f>Datenaustausch!$AC$29:$AD$29</c:f>
              <c:numCache>
                <c:formatCode>#,##0\ "€"</c:formatCode>
                <c:ptCount val="2"/>
                <c:pt idx="0">
                  <c:v>0</c:v>
                </c:pt>
              </c:numCache>
            </c:numRef>
          </c:val>
          <c:extLst>
            <c:ext xmlns:c16="http://schemas.microsoft.com/office/drawing/2014/chart" uri="{C3380CC4-5D6E-409C-BE32-E72D297353CC}">
              <c16:uniqueId val="{00000003-FA4C-42FC-AECB-D7A98C6ACFC7}"/>
            </c:ext>
          </c:extLst>
        </c:ser>
        <c:ser>
          <c:idx val="2"/>
          <c:order val="2"/>
          <c:tx>
            <c:strRef>
              <c:f>Datenbank!$AM$103</c:f>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Datenaustausch!$AC$27:$AD$27</c:f>
              <c:strCache>
                <c:ptCount val="2"/>
                <c:pt idx="0">
                  <c:v>Einnahmen</c:v>
                </c:pt>
                <c:pt idx="1">
                  <c:v>Ausgaben</c:v>
                </c:pt>
              </c:strCache>
            </c:strRef>
          </c:cat>
          <c:val>
            <c:numRef>
              <c:f>Datenbank!$AN$103:$AO$103</c:f>
              <c:numCache>
                <c:formatCode>#,##0.00\ "€"</c:formatCode>
                <c:ptCount val="2"/>
                <c:pt idx="1">
                  <c:v>0</c:v>
                </c:pt>
              </c:numCache>
            </c:numRef>
          </c:val>
          <c:extLst>
            <c:ext xmlns:c16="http://schemas.microsoft.com/office/drawing/2014/chart" uri="{C3380CC4-5D6E-409C-BE32-E72D297353CC}">
              <c16:uniqueId val="{00000006-FA4C-42FC-AECB-D7A98C6ACFC7}"/>
            </c:ext>
          </c:extLst>
        </c:ser>
        <c:dLbls>
          <c:showLegendKey val="0"/>
          <c:showVal val="0"/>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33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1"/>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crossAx val="2060003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74061813351651E-2"/>
          <c:y val="8.2084828970506424E-2"/>
          <c:w val="0.95925938186648352"/>
          <c:h val="0.81641346292530559"/>
        </c:manualLayout>
      </c:layout>
      <c:barChart>
        <c:barDir val="col"/>
        <c:grouping val="stacked"/>
        <c:varyColors val="0"/>
        <c:ser>
          <c:idx val="1"/>
          <c:order val="0"/>
          <c:tx>
            <c:strRef>
              <c:f>Datenaustausch!$AF$28</c:f>
              <c:strCache>
                <c:ptCount val="1"/>
                <c:pt idx="0">
                  <c:v>Kosten</c:v>
                </c:pt>
              </c:strCache>
            </c:strRef>
          </c:tx>
          <c:spPr>
            <a:solidFill>
              <a:srgbClr val="53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Datenaustausch!$AG$27:$AH$27</c:f>
              <c:strCache>
                <c:ptCount val="2"/>
                <c:pt idx="0">
                  <c:v>Einnahmen</c:v>
                </c:pt>
                <c:pt idx="1">
                  <c:v>Ausgaben</c:v>
                </c:pt>
              </c:strCache>
            </c:strRef>
          </c:cat>
          <c:val>
            <c:numRef>
              <c:f>Datenaustausch!$AG$28:$AH$28</c:f>
              <c:numCache>
                <c:formatCode>#,##0\ "€"</c:formatCode>
                <c:ptCount val="2"/>
                <c:pt idx="1">
                  <c:v>0</c:v>
                </c:pt>
              </c:numCache>
            </c:numRef>
          </c:val>
          <c:extLst>
            <c:ext xmlns:c16="http://schemas.microsoft.com/office/drawing/2014/chart" uri="{C3380CC4-5D6E-409C-BE32-E72D297353CC}">
              <c16:uniqueId val="{00000000-491A-4D58-B593-C7C98596CA03}"/>
            </c:ext>
          </c:extLst>
        </c:ser>
        <c:ser>
          <c:idx val="3"/>
          <c:order val="1"/>
          <c:tx>
            <c:strRef>
              <c:f>Datenaustausch!$AF$29</c:f>
              <c:strCache>
                <c:ptCount val="1"/>
                <c:pt idx="0">
                  <c:v>Einsparung</c:v>
                </c:pt>
              </c:strCache>
            </c:strRef>
          </c:tx>
          <c:spPr>
            <a:solidFill>
              <a:srgbClr val="97C3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Datenaustausch!$AG$27:$AH$27</c:f>
              <c:strCache>
                <c:ptCount val="2"/>
                <c:pt idx="0">
                  <c:v>Einnahmen</c:v>
                </c:pt>
                <c:pt idx="1">
                  <c:v>Ausgaben</c:v>
                </c:pt>
              </c:strCache>
            </c:strRef>
          </c:cat>
          <c:val>
            <c:numRef>
              <c:f>Datenaustausch!$AG$29:$AH$29</c:f>
              <c:numCache>
                <c:formatCode>#,##0\ "€"</c:formatCode>
                <c:ptCount val="2"/>
                <c:pt idx="0">
                  <c:v>0</c:v>
                </c:pt>
              </c:numCache>
            </c:numRef>
          </c:val>
          <c:extLst>
            <c:ext xmlns:c16="http://schemas.microsoft.com/office/drawing/2014/chart" uri="{C3380CC4-5D6E-409C-BE32-E72D297353CC}">
              <c16:uniqueId val="{00000001-491A-4D58-B593-C7C98596CA03}"/>
            </c:ext>
          </c:extLst>
        </c:ser>
        <c:ser>
          <c:idx val="2"/>
          <c:order val="2"/>
          <c:tx>
            <c:strRef>
              <c:f>Datenbank!$AM$213</c:f>
              <c:strCache>
                <c:ptCount val="1"/>
              </c:strCache>
            </c:strRef>
          </c:tx>
          <c:spPr>
            <a:solidFill>
              <a:schemeClr val="accent3"/>
            </a:solidFill>
            <a:ln>
              <a:noFill/>
            </a:ln>
            <a:effectLst/>
          </c:spPr>
          <c:invertIfNegative val="0"/>
          <c:dLbls>
            <c:delete val="1"/>
          </c:dLbls>
          <c:cat>
            <c:strRef>
              <c:f>Datenaustausch!$AG$27:$AH$27</c:f>
              <c:strCache>
                <c:ptCount val="2"/>
                <c:pt idx="0">
                  <c:v>Einnahmen</c:v>
                </c:pt>
                <c:pt idx="1">
                  <c:v>Ausgaben</c:v>
                </c:pt>
              </c:strCache>
            </c:strRef>
          </c:cat>
          <c:val>
            <c:numRef>
              <c:f>Datenbank!$AN$213:$AO$213</c:f>
              <c:numCache>
                <c:formatCode>#,##0.00\ "€"</c:formatCode>
                <c:ptCount val="2"/>
                <c:pt idx="1">
                  <c:v>0</c:v>
                </c:pt>
              </c:numCache>
            </c:numRef>
          </c:val>
          <c:extLst>
            <c:ext xmlns:c16="http://schemas.microsoft.com/office/drawing/2014/chart" uri="{C3380CC4-5D6E-409C-BE32-E72D297353CC}">
              <c16:uniqueId val="{00000003-491A-4D58-B593-C7C98596CA03}"/>
            </c:ext>
          </c:extLst>
        </c:ser>
        <c:dLbls>
          <c:showLegendKey val="0"/>
          <c:showVal val="1"/>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1"/>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crossAx val="206000335"/>
        <c:crosses val="autoZero"/>
        <c:crossBetween val="between"/>
        <c:majorUnit val="50000"/>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000629921259844E-2"/>
          <c:y val="8.2084828970506424E-2"/>
          <c:w val="0.95664629921259847"/>
          <c:h val="0.81641346292530559"/>
        </c:manualLayout>
      </c:layout>
      <c:barChart>
        <c:barDir val="col"/>
        <c:grouping val="stacked"/>
        <c:varyColors val="0"/>
        <c:ser>
          <c:idx val="1"/>
          <c:order val="0"/>
          <c:tx>
            <c:strRef>
              <c:f>Datenaustausch!$AK$28</c:f>
              <c:strCache>
                <c:ptCount val="1"/>
                <c:pt idx="0">
                  <c:v>Kosten</c:v>
                </c:pt>
              </c:strCache>
            </c:strRef>
          </c:tx>
          <c:spPr>
            <a:solidFill>
              <a:srgbClr val="53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Datenaustausch!$AL$27:$AM$27</c:f>
              <c:strCache>
                <c:ptCount val="2"/>
                <c:pt idx="0">
                  <c:v>Einnahmen</c:v>
                </c:pt>
                <c:pt idx="1">
                  <c:v>Ausgaben</c:v>
                </c:pt>
              </c:strCache>
            </c:strRef>
          </c:cat>
          <c:val>
            <c:numRef>
              <c:f>Datenaustausch!$AL$28:$AM$28</c:f>
              <c:numCache>
                <c:formatCode>#,##0\ "€"</c:formatCode>
                <c:ptCount val="2"/>
                <c:pt idx="1">
                  <c:v>0</c:v>
                </c:pt>
              </c:numCache>
            </c:numRef>
          </c:val>
          <c:extLst>
            <c:ext xmlns:c16="http://schemas.microsoft.com/office/drawing/2014/chart" uri="{C3380CC4-5D6E-409C-BE32-E72D297353CC}">
              <c16:uniqueId val="{00000000-B5DD-4814-8461-7CDD18E13692}"/>
            </c:ext>
          </c:extLst>
        </c:ser>
        <c:ser>
          <c:idx val="3"/>
          <c:order val="1"/>
          <c:tx>
            <c:strRef>
              <c:f>Datenaustausch!$AK$29</c:f>
              <c:strCache>
                <c:ptCount val="1"/>
                <c:pt idx="0">
                  <c:v>Einsparung</c:v>
                </c:pt>
              </c:strCache>
            </c:strRef>
          </c:tx>
          <c:spPr>
            <a:solidFill>
              <a:srgbClr val="97C3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Datenaustausch!$AL$27:$AM$27</c:f>
              <c:strCache>
                <c:ptCount val="2"/>
                <c:pt idx="0">
                  <c:v>Einnahmen</c:v>
                </c:pt>
                <c:pt idx="1">
                  <c:v>Ausgaben</c:v>
                </c:pt>
              </c:strCache>
            </c:strRef>
          </c:cat>
          <c:val>
            <c:numRef>
              <c:f>Datenaustausch!$AL$29:$AM$29</c:f>
              <c:numCache>
                <c:formatCode>#,##0\ "€"</c:formatCode>
                <c:ptCount val="2"/>
                <c:pt idx="0">
                  <c:v>0</c:v>
                </c:pt>
              </c:numCache>
            </c:numRef>
          </c:val>
          <c:extLst>
            <c:ext xmlns:c16="http://schemas.microsoft.com/office/drawing/2014/chart" uri="{C3380CC4-5D6E-409C-BE32-E72D297353CC}">
              <c16:uniqueId val="{00000001-B5DD-4814-8461-7CDD18E13692}"/>
            </c:ext>
          </c:extLst>
        </c:ser>
        <c:ser>
          <c:idx val="2"/>
          <c:order val="2"/>
          <c:tx>
            <c:strRef>
              <c:f>Datenbank!$AM$330</c:f>
              <c:strCache>
                <c:ptCount val="1"/>
              </c:strCache>
            </c:strRef>
          </c:tx>
          <c:spPr>
            <a:solidFill>
              <a:schemeClr val="accent3"/>
            </a:solidFill>
            <a:ln>
              <a:noFill/>
            </a:ln>
            <a:effectLst/>
          </c:spPr>
          <c:invertIfNegative val="0"/>
          <c:dLbls>
            <c:delete val="1"/>
          </c:dLbls>
          <c:cat>
            <c:strRef>
              <c:f>Datenaustausch!$AL$27:$AM$27</c:f>
              <c:strCache>
                <c:ptCount val="2"/>
                <c:pt idx="0">
                  <c:v>Einnahmen</c:v>
                </c:pt>
                <c:pt idx="1">
                  <c:v>Ausgaben</c:v>
                </c:pt>
              </c:strCache>
            </c:strRef>
          </c:cat>
          <c:val>
            <c:numRef>
              <c:f>Datenbank!$AN$330:$AO$330</c:f>
              <c:numCache>
                <c:formatCode>#,##0.00\ "€"</c:formatCode>
                <c:ptCount val="2"/>
                <c:pt idx="1">
                  <c:v>0</c:v>
                </c:pt>
              </c:numCache>
            </c:numRef>
          </c:val>
          <c:extLst>
            <c:ext xmlns:c16="http://schemas.microsoft.com/office/drawing/2014/chart" uri="{C3380CC4-5D6E-409C-BE32-E72D297353CC}">
              <c16:uniqueId val="{00000003-B5DD-4814-8461-7CDD18E13692}"/>
            </c:ext>
          </c:extLst>
        </c:ser>
        <c:dLbls>
          <c:showLegendKey val="0"/>
          <c:showVal val="1"/>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1"/>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crossAx val="206000335"/>
        <c:crosses val="autoZero"/>
        <c:crossBetween val="between"/>
        <c:majorUnit val="50000"/>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000629921259844E-2"/>
          <c:y val="8.2084828970506424E-2"/>
          <c:w val="0.95664629921259847"/>
          <c:h val="0.81641346292530559"/>
        </c:manualLayout>
      </c:layout>
      <c:barChart>
        <c:barDir val="col"/>
        <c:grouping val="stacked"/>
        <c:varyColors val="0"/>
        <c:ser>
          <c:idx val="1"/>
          <c:order val="0"/>
          <c:tx>
            <c:strRef>
              <c:f>Datenaustausch!$AP$28</c:f>
              <c:strCache>
                <c:ptCount val="1"/>
                <c:pt idx="0">
                  <c:v>Kosten</c:v>
                </c:pt>
              </c:strCache>
            </c:strRef>
          </c:tx>
          <c:spPr>
            <a:solidFill>
              <a:srgbClr val="53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Datenaustausch!$AQ$27:$AR$27</c:f>
              <c:strCache>
                <c:ptCount val="2"/>
                <c:pt idx="0">
                  <c:v>Einsparung</c:v>
                </c:pt>
                <c:pt idx="1">
                  <c:v>Kosten</c:v>
                </c:pt>
              </c:strCache>
            </c:strRef>
          </c:cat>
          <c:val>
            <c:numRef>
              <c:f>Datenaustausch!$AQ$28:$AR$28</c:f>
              <c:numCache>
                <c:formatCode>#,##0\ "€"</c:formatCode>
                <c:ptCount val="2"/>
                <c:pt idx="1">
                  <c:v>0</c:v>
                </c:pt>
              </c:numCache>
            </c:numRef>
          </c:val>
          <c:extLst>
            <c:ext xmlns:c16="http://schemas.microsoft.com/office/drawing/2014/chart" uri="{C3380CC4-5D6E-409C-BE32-E72D297353CC}">
              <c16:uniqueId val="{00000000-DCA0-4D84-AD30-F51F8D1705C7}"/>
            </c:ext>
          </c:extLst>
        </c:ser>
        <c:ser>
          <c:idx val="3"/>
          <c:order val="1"/>
          <c:tx>
            <c:strRef>
              <c:f>Datenaustausch!$AP$29</c:f>
              <c:strCache>
                <c:ptCount val="1"/>
                <c:pt idx="0">
                  <c:v>Einsparung</c:v>
                </c:pt>
              </c:strCache>
            </c:strRef>
          </c:tx>
          <c:spPr>
            <a:solidFill>
              <a:srgbClr val="97C3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Datenaustausch!$AQ$27:$AR$27</c:f>
              <c:strCache>
                <c:ptCount val="2"/>
                <c:pt idx="0">
                  <c:v>Einsparung</c:v>
                </c:pt>
                <c:pt idx="1">
                  <c:v>Kosten</c:v>
                </c:pt>
              </c:strCache>
            </c:strRef>
          </c:cat>
          <c:val>
            <c:numRef>
              <c:f>Datenaustausch!$AQ$29:$AR$29</c:f>
              <c:numCache>
                <c:formatCode>#,##0\ "€"</c:formatCode>
                <c:ptCount val="2"/>
                <c:pt idx="0">
                  <c:v>0</c:v>
                </c:pt>
              </c:numCache>
            </c:numRef>
          </c:val>
          <c:extLst>
            <c:ext xmlns:c16="http://schemas.microsoft.com/office/drawing/2014/chart" uri="{C3380CC4-5D6E-409C-BE32-E72D297353CC}">
              <c16:uniqueId val="{00000001-DCA0-4D84-AD30-F51F8D1705C7}"/>
            </c:ext>
          </c:extLst>
        </c:ser>
        <c:dLbls>
          <c:showLegendKey val="0"/>
          <c:showVal val="1"/>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1"/>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crossAx val="206000335"/>
        <c:crosses val="autoZero"/>
        <c:crossBetween val="between"/>
        <c:majorUnit val="50000"/>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663300"/>
                </a:solidFill>
                <a:latin typeface="BRALE" panose="00000500000000000000" pitchFamily="2" charset="0"/>
                <a:ea typeface="+mn-ea"/>
                <a:cs typeface="+mn-cs"/>
              </a:defRPr>
            </a:pPr>
            <a:r>
              <a:rPr lang="de-DE" b="1"/>
              <a:t>Kostenbilanz</a:t>
            </a:r>
            <a:r>
              <a:rPr lang="de-DE" b="1" baseline="0"/>
              <a:t> ihrer Sanierung</a:t>
            </a:r>
            <a:endParaRPr lang="de-DE" b="1"/>
          </a:p>
        </c:rich>
      </c:tx>
      <c:layout>
        <c:manualLayout>
          <c:xMode val="edge"/>
          <c:yMode val="edge"/>
          <c:x val="0.29361478638333643"/>
          <c:y val="3.73909896984053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663300"/>
              </a:solidFill>
              <a:latin typeface="BRALE" panose="00000500000000000000" pitchFamily="2" charset="0"/>
              <a:ea typeface="+mn-ea"/>
              <a:cs typeface="+mn-cs"/>
            </a:defRPr>
          </a:pPr>
          <a:endParaRPr lang="de-DE"/>
        </a:p>
      </c:txPr>
    </c:title>
    <c:autoTitleDeleted val="0"/>
    <c:plotArea>
      <c:layout>
        <c:manualLayout>
          <c:layoutTarget val="inner"/>
          <c:xMode val="edge"/>
          <c:yMode val="edge"/>
          <c:x val="0.20682236394480119"/>
          <c:y val="0.15211671385395717"/>
          <c:w val="0.66457816042717266"/>
          <c:h val="0.75212694606771913"/>
        </c:manualLayout>
      </c:layout>
      <c:barChart>
        <c:barDir val="col"/>
        <c:grouping val="stacked"/>
        <c:varyColors val="0"/>
        <c:ser>
          <c:idx val="1"/>
          <c:order val="0"/>
          <c:tx>
            <c:strRef>
              <c:f>Datenbank!$AM$102</c:f>
              <c:strCache>
                <c:ptCount val="1"/>
                <c:pt idx="0">
                  <c:v>Kosten</c:v>
                </c:pt>
              </c:strCache>
            </c:strRef>
          </c:tx>
          <c:spPr>
            <a:solidFill>
              <a:srgbClr val="53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Datenbank!$AN$101:$AO$101</c:f>
              <c:strCache>
                <c:ptCount val="2"/>
                <c:pt idx="0">
                  <c:v>Einnahmen</c:v>
                </c:pt>
                <c:pt idx="1">
                  <c:v>Ausgaben</c:v>
                </c:pt>
              </c:strCache>
            </c:strRef>
          </c:cat>
          <c:val>
            <c:numRef>
              <c:f>Datenbank!$AN$102:$AO$102</c:f>
              <c:numCache>
                <c:formatCode>#,##0.00\ "€"</c:formatCode>
                <c:ptCount val="2"/>
                <c:pt idx="1">
                  <c:v>0</c:v>
                </c:pt>
              </c:numCache>
            </c:numRef>
          </c:val>
          <c:extLst>
            <c:ext xmlns:c16="http://schemas.microsoft.com/office/drawing/2014/chart" uri="{C3380CC4-5D6E-409C-BE32-E72D297353CC}">
              <c16:uniqueId val="{00000001-E700-480C-AF4E-C478C70B85AF}"/>
            </c:ext>
          </c:extLst>
        </c:ser>
        <c:ser>
          <c:idx val="3"/>
          <c:order val="1"/>
          <c:tx>
            <c:strRef>
              <c:f>Datenbank!$AM$104</c:f>
              <c:strCache>
                <c:ptCount val="1"/>
                <c:pt idx="0">
                  <c:v>Einsparung</c:v>
                </c:pt>
              </c:strCache>
            </c:strRef>
          </c:tx>
          <c:spPr>
            <a:solidFill>
              <a:srgbClr val="97C335"/>
            </a:solidFill>
            <a:ln>
              <a:noFill/>
            </a:ln>
            <a:effectLst/>
          </c:spPr>
          <c:invertIfNegative val="0"/>
          <c:dPt>
            <c:idx val="0"/>
            <c:invertIfNegative val="0"/>
            <c:bubble3D val="0"/>
            <c:spPr>
              <a:solidFill>
                <a:srgbClr val="97C335"/>
              </a:solidFill>
              <a:ln>
                <a:noFill/>
              </a:ln>
              <a:effectLst/>
            </c:spPr>
            <c:extLst>
              <c:ext xmlns:c16="http://schemas.microsoft.com/office/drawing/2014/chart" uri="{C3380CC4-5D6E-409C-BE32-E72D297353CC}">
                <c16:uniqueId val="{00000007-E700-480C-AF4E-C478C70B85AF}"/>
              </c:ext>
            </c:extLst>
          </c:dPt>
          <c:dLbls>
            <c:dLbl>
              <c:idx val="0"/>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E700-480C-AF4E-C478C70B85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Datenbank!$AN$101:$AO$101</c:f>
              <c:strCache>
                <c:ptCount val="2"/>
                <c:pt idx="0">
                  <c:v>Einnahmen</c:v>
                </c:pt>
                <c:pt idx="1">
                  <c:v>Ausgaben</c:v>
                </c:pt>
              </c:strCache>
            </c:strRef>
          </c:cat>
          <c:val>
            <c:numRef>
              <c:f>Datenbank!$AN$104:$AO$104</c:f>
              <c:numCache>
                <c:formatCode>General</c:formatCode>
                <c:ptCount val="2"/>
                <c:pt idx="0" formatCode="#,##0.00\ &quot;€&quot;">
                  <c:v>0</c:v>
                </c:pt>
              </c:numCache>
            </c:numRef>
          </c:val>
          <c:extLst>
            <c:ext xmlns:c16="http://schemas.microsoft.com/office/drawing/2014/chart" uri="{C3380CC4-5D6E-409C-BE32-E72D297353CC}">
              <c16:uniqueId val="{00000002-E700-480C-AF4E-C478C70B85AF}"/>
            </c:ext>
          </c:extLst>
        </c:ser>
        <c:ser>
          <c:idx val="4"/>
          <c:order val="2"/>
          <c:tx>
            <c:strRef>
              <c:f>Datenbank!$AM$106</c:f>
              <c:strCache>
                <c:ptCount val="1"/>
                <c:pt idx="0">
                  <c:v>Förderung</c:v>
                </c:pt>
              </c:strCache>
            </c:strRef>
          </c:tx>
          <c:spPr>
            <a:solidFill>
              <a:srgbClr val="AAD0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Datenbank!$AN$106:$AO$106</c:f>
              <c:numCache>
                <c:formatCode>General</c:formatCode>
                <c:ptCount val="2"/>
                <c:pt idx="0" formatCode="#,##0.00\ &quot;€&quot;">
                  <c:v>0</c:v>
                </c:pt>
              </c:numCache>
            </c:numRef>
          </c:val>
          <c:extLst>
            <c:ext xmlns:c16="http://schemas.microsoft.com/office/drawing/2014/chart" uri="{C3380CC4-5D6E-409C-BE32-E72D297353CC}">
              <c16:uniqueId val="{00000003-E700-480C-AF4E-C478C70B85AF}"/>
            </c:ext>
          </c:extLst>
        </c:ser>
        <c:ser>
          <c:idx val="5"/>
          <c:order val="3"/>
          <c:tx>
            <c:strRef>
              <c:f>Datenbank!$AM$107</c:f>
              <c:strCache>
                <c:ptCount val="1"/>
                <c:pt idx="0">
                  <c:v>Sowieso-Kosten</c:v>
                </c:pt>
              </c:strCache>
            </c:strRef>
          </c:tx>
          <c:spPr>
            <a:solidFill>
              <a:srgbClr val="97C3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Datenbank!$AN$101:$AO$101</c:f>
              <c:strCache>
                <c:ptCount val="2"/>
                <c:pt idx="0">
                  <c:v>Einnahmen</c:v>
                </c:pt>
                <c:pt idx="1">
                  <c:v>Ausgaben</c:v>
                </c:pt>
              </c:strCache>
            </c:strRef>
          </c:cat>
          <c:val>
            <c:numRef>
              <c:f>Datenbank!$AN$107:$AO$107</c:f>
              <c:numCache>
                <c:formatCode>General</c:formatCode>
                <c:ptCount val="2"/>
                <c:pt idx="0" formatCode="_(&quot;€&quot;* #,##0.00_);_(&quot;€&quot;* \(#,##0.00\);_(&quot;€&quot;* &quot;-&quot;??_);_(@_)">
                  <c:v>0</c:v>
                </c:pt>
              </c:numCache>
            </c:numRef>
          </c:val>
          <c:extLst>
            <c:ext xmlns:c16="http://schemas.microsoft.com/office/drawing/2014/chart" uri="{C3380CC4-5D6E-409C-BE32-E72D297353CC}">
              <c16:uniqueId val="{00000004-E700-480C-AF4E-C478C70B85AF}"/>
            </c:ext>
          </c:extLst>
        </c:ser>
        <c:ser>
          <c:idx val="0"/>
          <c:order val="4"/>
          <c:tx>
            <c:strRef>
              <c:f>Datenbank!$AM$108</c:f>
              <c:strCache>
                <c:ptCount val="1"/>
                <c:pt idx="0">
                  <c:v>Wertsteigerung</c:v>
                </c:pt>
              </c:strCache>
            </c:strRef>
          </c:tx>
          <c:spPr>
            <a:solidFill>
              <a:srgbClr val="AAD0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32C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Datenbank!$AN$108:$AO$108</c:f>
              <c:numCache>
                <c:formatCode>General</c:formatCode>
                <c:ptCount val="2"/>
                <c:pt idx="0" formatCode="#,##0.00\ &quot;€&quot;">
                  <c:v>0</c:v>
                </c:pt>
              </c:numCache>
            </c:numRef>
          </c:val>
          <c:extLst>
            <c:ext xmlns:c16="http://schemas.microsoft.com/office/drawing/2014/chart" uri="{C3380CC4-5D6E-409C-BE32-E72D297353CC}">
              <c16:uniqueId val="{00000005-E700-480C-AF4E-C478C70B85AF}"/>
            </c:ext>
          </c:extLst>
        </c:ser>
        <c:ser>
          <c:idx val="2"/>
          <c:order val="5"/>
          <c:tx>
            <c:strRef>
              <c:f>Datenbank!$AM$103</c:f>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Datenbank!$AN$103:$AO$103</c:f>
              <c:numCache>
                <c:formatCode>#,##0.00\ "€"</c:formatCode>
                <c:ptCount val="2"/>
                <c:pt idx="1">
                  <c:v>0</c:v>
                </c:pt>
              </c:numCache>
            </c:numRef>
          </c:val>
          <c:extLst>
            <c:ext xmlns:c16="http://schemas.microsoft.com/office/drawing/2014/chart" uri="{C3380CC4-5D6E-409C-BE32-E72D297353CC}">
              <c16:uniqueId val="{00000006-E700-480C-AF4E-C478C70B85AF}"/>
            </c:ext>
          </c:extLst>
        </c:ser>
        <c:dLbls>
          <c:showLegendKey val="0"/>
          <c:showVal val="0"/>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33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3300"/>
                </a:solidFill>
                <a:latin typeface="BRALE" panose="00000500000000000000" pitchFamily="2" charset="0"/>
                <a:ea typeface="+mn-ea"/>
                <a:cs typeface="+mn-cs"/>
              </a:defRPr>
            </a:pPr>
            <a:endParaRPr lang="de-DE"/>
          </a:p>
        </c:txPr>
        <c:crossAx val="206000335"/>
        <c:crosses val="autoZero"/>
        <c:crossBetween val="between"/>
        <c:majorUnit val="1000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Datenbank!$BS$12</c:f>
              <c:strCache>
                <c:ptCount val="1"/>
                <c:pt idx="0">
                  <c:v>Abminderungsfaktor</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0"/>
          </c:trendline>
          <c:trendline>
            <c:spPr>
              <a:ln w="19050" cap="rnd">
                <a:solidFill>
                  <a:schemeClr val="accent1"/>
                </a:solidFill>
                <a:prstDash val="sysDot"/>
              </a:ln>
              <a:effectLst/>
            </c:spPr>
            <c:trendlineType val="power"/>
            <c:dispRSqr val="0"/>
            <c:dispEq val="0"/>
          </c:trendline>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poly"/>
            <c:order val="3"/>
            <c:dispRSqr val="0"/>
            <c:dispEq val="1"/>
            <c:trendlineLbl>
              <c:layout>
                <c:manualLayout>
                  <c:x val="-3.2977767870606516E-3"/>
                  <c:y val="0.1968926214320297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strRef>
              <c:f>Datenbank!$BR$13:$BR$33</c:f>
              <c:strCache>
                <c:ptCount val="2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strCache>
            </c:strRef>
          </c:xVal>
          <c:yVal>
            <c:numRef>
              <c:f>Datenbank!$BS$13:$BS$33</c:f>
              <c:numCache>
                <c:formatCode>General</c:formatCode>
                <c:ptCount val="21"/>
                <c:pt idx="0">
                  <c:v>0.58609999999999995</c:v>
                </c:pt>
                <c:pt idx="1">
                  <c:v>0.67620000000000002</c:v>
                </c:pt>
                <c:pt idx="2">
                  <c:v>0.76839999999999997</c:v>
                </c:pt>
                <c:pt idx="3">
                  <c:v>0.80330000000000001</c:v>
                </c:pt>
                <c:pt idx="4">
                  <c:v>0.83809999999999996</c:v>
                </c:pt>
                <c:pt idx="5">
                  <c:v>0.85450000000000004</c:v>
                </c:pt>
                <c:pt idx="6">
                  <c:v>0.873</c:v>
                </c:pt>
                <c:pt idx="7">
                  <c:v>0.88319999999999999</c:v>
                </c:pt>
                <c:pt idx="8">
                  <c:v>0.89549999999999996</c:v>
                </c:pt>
                <c:pt idx="9">
                  <c:v>0.90369999999999995</c:v>
                </c:pt>
                <c:pt idx="10">
                  <c:v>0.90980000000000005</c:v>
                </c:pt>
                <c:pt idx="11">
                  <c:v>0.91600000000000004</c:v>
                </c:pt>
                <c:pt idx="12">
                  <c:v>0.92210000000000003</c:v>
                </c:pt>
                <c:pt idx="13">
                  <c:v>0.92620000000000002</c:v>
                </c:pt>
                <c:pt idx="14">
                  <c:v>0.93030000000000002</c:v>
                </c:pt>
                <c:pt idx="15">
                  <c:v>0.93240000000000001</c:v>
                </c:pt>
                <c:pt idx="16">
                  <c:v>0.9365</c:v>
                </c:pt>
                <c:pt idx="17">
                  <c:v>0.9385</c:v>
                </c:pt>
                <c:pt idx="18">
                  <c:v>0.94059999999999999</c:v>
                </c:pt>
                <c:pt idx="19">
                  <c:v>0.94469999999999998</c:v>
                </c:pt>
                <c:pt idx="20">
                  <c:v>0.94879999999999998</c:v>
                </c:pt>
              </c:numCache>
            </c:numRef>
          </c:yVal>
          <c:smooth val="0"/>
          <c:extLst>
            <c:ext xmlns:c16="http://schemas.microsoft.com/office/drawing/2014/chart" uri="{C3380CC4-5D6E-409C-BE32-E72D297353CC}">
              <c16:uniqueId val="{00000004-FFA4-4971-A4CD-2D5B0699B105}"/>
            </c:ext>
          </c:extLst>
        </c:ser>
        <c:dLbls>
          <c:showLegendKey val="0"/>
          <c:showVal val="0"/>
          <c:showCatName val="0"/>
          <c:showSerName val="0"/>
          <c:showPercent val="0"/>
          <c:showBubbleSize val="0"/>
        </c:dLbls>
        <c:axId val="2085946175"/>
        <c:axId val="1606252143"/>
      </c:scatterChart>
      <c:valAx>
        <c:axId val="2085946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06252143"/>
        <c:crosses val="autoZero"/>
        <c:crossBetween val="midCat"/>
      </c:valAx>
      <c:valAx>
        <c:axId val="160625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859461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66730024879506"/>
          <c:y val="8.2084828970506424E-2"/>
          <c:w val="0.71664612231603131"/>
          <c:h val="0.81641346292530559"/>
        </c:manualLayout>
      </c:layout>
      <c:barChart>
        <c:barDir val="col"/>
        <c:grouping val="stacked"/>
        <c:varyColors val="0"/>
        <c:ser>
          <c:idx val="1"/>
          <c:order val="0"/>
          <c:tx>
            <c:strRef>
              <c:f>Datenbank!$AM$212</c:f>
              <c:strCache>
                <c:ptCount val="1"/>
                <c:pt idx="0">
                  <c:v>Kosten</c:v>
                </c:pt>
              </c:strCache>
            </c:strRef>
          </c:tx>
          <c:spPr>
            <a:solidFill>
              <a:srgbClr val="53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Datenbank!$AN$212:$AO$212</c:f>
              <c:numCache>
                <c:formatCode>#,##0.00\ "€"</c:formatCode>
                <c:ptCount val="2"/>
                <c:pt idx="1">
                  <c:v>0</c:v>
                </c:pt>
              </c:numCache>
            </c:numRef>
          </c:val>
          <c:extLst>
            <c:ext xmlns:c16="http://schemas.microsoft.com/office/drawing/2014/chart" uri="{C3380CC4-5D6E-409C-BE32-E72D297353CC}">
              <c16:uniqueId val="{00000002-A611-4B05-A03A-755F92AA5FAF}"/>
            </c:ext>
          </c:extLst>
        </c:ser>
        <c:ser>
          <c:idx val="3"/>
          <c:order val="1"/>
          <c:tx>
            <c:strRef>
              <c:f>Datenbank!$AM$214</c:f>
              <c:strCache>
                <c:ptCount val="1"/>
                <c:pt idx="0">
                  <c:v>Einsparung</c:v>
                </c:pt>
              </c:strCache>
            </c:strRef>
          </c:tx>
          <c:spPr>
            <a:solidFill>
              <a:srgbClr val="97C3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Datenbank!$AN$214:$AO$214</c:f>
              <c:numCache>
                <c:formatCode>General</c:formatCode>
                <c:ptCount val="2"/>
                <c:pt idx="0" formatCode="#,##0.00\ &quot;€&quot;">
                  <c:v>0</c:v>
                </c:pt>
              </c:numCache>
            </c:numRef>
          </c:val>
          <c:extLst>
            <c:ext xmlns:c16="http://schemas.microsoft.com/office/drawing/2014/chart" uri="{C3380CC4-5D6E-409C-BE32-E72D297353CC}">
              <c16:uniqueId val="{00000005-A611-4B05-A03A-755F92AA5FAF}"/>
            </c:ext>
          </c:extLst>
        </c:ser>
        <c:ser>
          <c:idx val="4"/>
          <c:order val="2"/>
          <c:tx>
            <c:strRef>
              <c:f>Datenbank!$AM$216</c:f>
              <c:strCache>
                <c:ptCount val="1"/>
                <c:pt idx="0">
                  <c:v>Förderung</c:v>
                </c:pt>
              </c:strCache>
            </c:strRef>
          </c:tx>
          <c:spPr>
            <a:solidFill>
              <a:srgbClr val="AAD0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Datenbank!$AN$216:$AO$216</c:f>
              <c:numCache>
                <c:formatCode>General</c:formatCode>
                <c:ptCount val="2"/>
                <c:pt idx="0" formatCode="#,##0.00\ &quot;€&quot;">
                  <c:v>0</c:v>
                </c:pt>
              </c:numCache>
            </c:numRef>
          </c:val>
          <c:extLst>
            <c:ext xmlns:c16="http://schemas.microsoft.com/office/drawing/2014/chart" uri="{C3380CC4-5D6E-409C-BE32-E72D297353CC}">
              <c16:uniqueId val="{00000007-A611-4B05-A03A-755F92AA5FAF}"/>
            </c:ext>
          </c:extLst>
        </c:ser>
        <c:ser>
          <c:idx val="5"/>
          <c:order val="3"/>
          <c:tx>
            <c:strRef>
              <c:f>Datenbank!$AM$217</c:f>
              <c:strCache>
                <c:ptCount val="1"/>
                <c:pt idx="0">
                  <c:v>Sowieso-Kosten</c:v>
                </c:pt>
              </c:strCache>
            </c:strRef>
          </c:tx>
          <c:spPr>
            <a:solidFill>
              <a:srgbClr val="97C3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Datenbank!$AN$217:$AO$217</c:f>
              <c:numCache>
                <c:formatCode>General</c:formatCode>
                <c:ptCount val="2"/>
                <c:pt idx="0" formatCode="_(&quot;€&quot;* #,##0.00_);_(&quot;€&quot;* \(#,##0.00\);_(&quot;€&quot;* &quot;-&quot;??_);_(@_)">
                  <c:v>0</c:v>
                </c:pt>
              </c:numCache>
            </c:numRef>
          </c:val>
          <c:extLst>
            <c:ext xmlns:c16="http://schemas.microsoft.com/office/drawing/2014/chart" uri="{C3380CC4-5D6E-409C-BE32-E72D297353CC}">
              <c16:uniqueId val="{00000009-A611-4B05-A03A-755F92AA5FAF}"/>
            </c:ext>
          </c:extLst>
        </c:ser>
        <c:ser>
          <c:idx val="0"/>
          <c:order val="4"/>
          <c:tx>
            <c:strRef>
              <c:f>Datenbank!$AM$218</c:f>
              <c:strCache>
                <c:ptCount val="1"/>
                <c:pt idx="0">
                  <c:v>Wertsteigerung</c:v>
                </c:pt>
              </c:strCache>
            </c:strRef>
          </c:tx>
          <c:spPr>
            <a:solidFill>
              <a:srgbClr val="AAD0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Datenbank!$AN$218:$AO$218</c:f>
              <c:numCache>
                <c:formatCode>General</c:formatCode>
                <c:ptCount val="2"/>
                <c:pt idx="0" formatCode="#,##0.00\ &quot;€&quot;">
                  <c:v>0</c:v>
                </c:pt>
              </c:numCache>
            </c:numRef>
          </c:val>
          <c:extLst>
            <c:ext xmlns:c16="http://schemas.microsoft.com/office/drawing/2014/chart" uri="{C3380CC4-5D6E-409C-BE32-E72D297353CC}">
              <c16:uniqueId val="{0000000B-A611-4B05-A03A-755F92AA5FAF}"/>
            </c:ext>
          </c:extLst>
        </c:ser>
        <c:ser>
          <c:idx val="2"/>
          <c:order val="5"/>
          <c:tx>
            <c:strRef>
              <c:f>Datenbank!$AM$213</c:f>
              <c:strCache>
                <c:ptCount val="1"/>
              </c:strCache>
            </c:strRef>
          </c:tx>
          <c:spPr>
            <a:solidFill>
              <a:schemeClr val="accent3"/>
            </a:solidFill>
            <a:ln>
              <a:noFill/>
            </a:ln>
            <a:effectLst/>
          </c:spPr>
          <c:invertIfNegative val="0"/>
          <c:dLbls>
            <c:delete val="1"/>
          </c:dLbls>
          <c:val>
            <c:numRef>
              <c:f>Datenbank!$AN$213:$AO$213</c:f>
              <c:numCache>
                <c:formatCode>#,##0.00\ "€"</c:formatCode>
                <c:ptCount val="2"/>
                <c:pt idx="1">
                  <c:v>0</c:v>
                </c:pt>
              </c:numCache>
            </c:numRef>
          </c:val>
          <c:extLst>
            <c:ext xmlns:c16="http://schemas.microsoft.com/office/drawing/2014/chart" uri="{C3380CC4-5D6E-409C-BE32-E72D297353CC}">
              <c16:uniqueId val="{0000000D-A611-4B05-A03A-755F92AA5FAF}"/>
            </c:ext>
          </c:extLst>
        </c:ser>
        <c:dLbls>
          <c:showLegendKey val="0"/>
          <c:showVal val="1"/>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335"/>
        <c:crosses val="autoZero"/>
        <c:crossBetween val="between"/>
        <c:majorUnit val="100000"/>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66730024879506"/>
          <c:y val="8.2084828970506424E-2"/>
          <c:w val="0.71664612231603131"/>
          <c:h val="0.81641346292530559"/>
        </c:manualLayout>
      </c:layout>
      <c:barChart>
        <c:barDir val="col"/>
        <c:grouping val="stacked"/>
        <c:varyColors val="0"/>
        <c:ser>
          <c:idx val="1"/>
          <c:order val="0"/>
          <c:tx>
            <c:strRef>
              <c:f>Datenbank!$AM$329</c:f>
              <c:strCache>
                <c:ptCount val="1"/>
                <c:pt idx="0">
                  <c:v>Kosten</c:v>
                </c:pt>
              </c:strCache>
            </c:strRef>
          </c:tx>
          <c:spPr>
            <a:solidFill>
              <a:srgbClr val="53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Datenbank!$AN$329:$AO$329</c:f>
              <c:numCache>
                <c:formatCode>#,##0.00\ "€"</c:formatCode>
                <c:ptCount val="2"/>
                <c:pt idx="1">
                  <c:v>0</c:v>
                </c:pt>
              </c:numCache>
            </c:numRef>
          </c:val>
          <c:extLst>
            <c:ext xmlns:c16="http://schemas.microsoft.com/office/drawing/2014/chart" uri="{C3380CC4-5D6E-409C-BE32-E72D297353CC}">
              <c16:uniqueId val="{00000000-6B38-4BAC-B81E-4BD36C794F97}"/>
            </c:ext>
          </c:extLst>
        </c:ser>
        <c:ser>
          <c:idx val="3"/>
          <c:order val="1"/>
          <c:tx>
            <c:strRef>
              <c:f>Datenbank!$AM$331</c:f>
              <c:strCache>
                <c:ptCount val="1"/>
                <c:pt idx="0">
                  <c:v>Einsparung</c:v>
                </c:pt>
              </c:strCache>
            </c:strRef>
          </c:tx>
          <c:spPr>
            <a:solidFill>
              <a:srgbClr val="AAD0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Datenbank!$AN$331:$AO$331</c:f>
              <c:numCache>
                <c:formatCode>General</c:formatCode>
                <c:ptCount val="2"/>
                <c:pt idx="0" formatCode="#,##0.00\ &quot;€&quot;">
                  <c:v>0</c:v>
                </c:pt>
              </c:numCache>
            </c:numRef>
          </c:val>
          <c:extLst>
            <c:ext xmlns:c16="http://schemas.microsoft.com/office/drawing/2014/chart" uri="{C3380CC4-5D6E-409C-BE32-E72D297353CC}">
              <c16:uniqueId val="{00000001-6B38-4BAC-B81E-4BD36C794F97}"/>
            </c:ext>
          </c:extLst>
        </c:ser>
        <c:ser>
          <c:idx val="4"/>
          <c:order val="2"/>
          <c:tx>
            <c:strRef>
              <c:f>Datenbank!$AM$333</c:f>
              <c:strCache>
                <c:ptCount val="1"/>
                <c:pt idx="0">
                  <c:v>Förderung</c:v>
                </c:pt>
              </c:strCache>
            </c:strRef>
          </c:tx>
          <c:spPr>
            <a:solidFill>
              <a:srgbClr val="AAD0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Datenbank!$AN$333:$AO$333</c:f>
              <c:numCache>
                <c:formatCode>General</c:formatCode>
                <c:ptCount val="2"/>
                <c:pt idx="0" formatCode="#,##0.00\ &quot;€&quot;">
                  <c:v>0</c:v>
                </c:pt>
              </c:numCache>
            </c:numRef>
          </c:val>
          <c:extLst>
            <c:ext xmlns:c16="http://schemas.microsoft.com/office/drawing/2014/chart" uri="{C3380CC4-5D6E-409C-BE32-E72D297353CC}">
              <c16:uniqueId val="{00000002-6B38-4BAC-B81E-4BD36C794F97}"/>
            </c:ext>
          </c:extLst>
        </c:ser>
        <c:ser>
          <c:idx val="5"/>
          <c:order val="3"/>
          <c:tx>
            <c:strRef>
              <c:f>Datenbank!$AM$334</c:f>
              <c:strCache>
                <c:ptCount val="1"/>
                <c:pt idx="0">
                  <c:v>Sowieso-Kosten</c:v>
                </c:pt>
              </c:strCache>
            </c:strRef>
          </c:tx>
          <c:spPr>
            <a:solidFill>
              <a:srgbClr val="97C3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Datenbank!$AN$334:$AO$334</c:f>
              <c:numCache>
                <c:formatCode>General</c:formatCode>
                <c:ptCount val="2"/>
                <c:pt idx="0" formatCode="_(&quot;€&quot;* #,##0.00_);_(&quot;€&quot;* \(#,##0.00\);_(&quot;€&quot;* &quot;-&quot;??_);_(@_)">
                  <c:v>0</c:v>
                </c:pt>
              </c:numCache>
            </c:numRef>
          </c:val>
          <c:extLst>
            <c:ext xmlns:c16="http://schemas.microsoft.com/office/drawing/2014/chart" uri="{C3380CC4-5D6E-409C-BE32-E72D297353CC}">
              <c16:uniqueId val="{00000003-6B38-4BAC-B81E-4BD36C794F97}"/>
            </c:ext>
          </c:extLst>
        </c:ser>
        <c:ser>
          <c:idx val="0"/>
          <c:order val="4"/>
          <c:tx>
            <c:strRef>
              <c:f>Datenbank!$AM$335</c:f>
              <c:strCache>
                <c:ptCount val="1"/>
                <c:pt idx="0">
                  <c:v>Wertsteigerung</c:v>
                </c:pt>
              </c:strCache>
            </c:strRef>
          </c:tx>
          <c:spPr>
            <a:solidFill>
              <a:srgbClr val="AAD0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Datenbank!$AN$101:$AO$101</c:f>
              <c:strCache>
                <c:ptCount val="2"/>
                <c:pt idx="0">
                  <c:v>Einnahmen</c:v>
                </c:pt>
                <c:pt idx="1">
                  <c:v>Ausgaben</c:v>
                </c:pt>
              </c:strCache>
            </c:strRef>
          </c:cat>
          <c:val>
            <c:numRef>
              <c:f>Datenbank!$AN$335:$AO$335</c:f>
              <c:numCache>
                <c:formatCode>General</c:formatCode>
                <c:ptCount val="2"/>
                <c:pt idx="0" formatCode="#,##0.00\ &quot;€&quot;">
                  <c:v>0</c:v>
                </c:pt>
              </c:numCache>
            </c:numRef>
          </c:val>
          <c:extLst>
            <c:ext xmlns:c16="http://schemas.microsoft.com/office/drawing/2014/chart" uri="{C3380CC4-5D6E-409C-BE32-E72D297353CC}">
              <c16:uniqueId val="{00000004-6B38-4BAC-B81E-4BD36C794F97}"/>
            </c:ext>
          </c:extLst>
        </c:ser>
        <c:ser>
          <c:idx val="2"/>
          <c:order val="5"/>
          <c:tx>
            <c:strRef>
              <c:f>Datenbank!$AM$330</c:f>
              <c:strCache>
                <c:ptCount val="1"/>
              </c:strCache>
            </c:strRef>
          </c:tx>
          <c:spPr>
            <a:solidFill>
              <a:schemeClr val="accent3"/>
            </a:solidFill>
            <a:ln>
              <a:noFill/>
            </a:ln>
            <a:effectLst/>
          </c:spPr>
          <c:invertIfNegative val="0"/>
          <c:dLbls>
            <c:delete val="1"/>
          </c:dLbls>
          <c:val>
            <c:numRef>
              <c:f>Datenbank!$AN$330:$AO$330</c:f>
              <c:numCache>
                <c:formatCode>#,##0.00\ "€"</c:formatCode>
                <c:ptCount val="2"/>
                <c:pt idx="1">
                  <c:v>0</c:v>
                </c:pt>
              </c:numCache>
            </c:numRef>
          </c:val>
          <c:extLst>
            <c:ext xmlns:c16="http://schemas.microsoft.com/office/drawing/2014/chart" uri="{C3380CC4-5D6E-409C-BE32-E72D297353CC}">
              <c16:uniqueId val="{00000005-6B38-4BAC-B81E-4BD36C794F97}"/>
            </c:ext>
          </c:extLst>
        </c:ser>
        <c:dLbls>
          <c:showLegendKey val="0"/>
          <c:showVal val="1"/>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335"/>
        <c:crosses val="autoZero"/>
        <c:crossBetween val="between"/>
        <c:majorUnit val="100000"/>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66730024879506"/>
          <c:y val="8.2084828970506424E-2"/>
          <c:w val="0.71664612231603131"/>
          <c:h val="0.81641346292530559"/>
        </c:manualLayout>
      </c:layout>
      <c:barChart>
        <c:barDir val="col"/>
        <c:grouping val="stacked"/>
        <c:varyColors val="0"/>
        <c:ser>
          <c:idx val="1"/>
          <c:order val="0"/>
          <c:tx>
            <c:strRef>
              <c:f>Datenbank!$AM$444</c:f>
              <c:strCache>
                <c:ptCount val="1"/>
                <c:pt idx="0">
                  <c:v>Kosten</c:v>
                </c:pt>
              </c:strCache>
            </c:strRef>
          </c:tx>
          <c:spPr>
            <a:solidFill>
              <a:srgbClr val="532C00"/>
            </a:solidFill>
            <a:ln>
              <a:noFill/>
            </a:ln>
            <a:effectLst/>
          </c:spPr>
          <c:invertIfNegative val="0"/>
          <c:dLbls>
            <c:delete val="1"/>
          </c:dLbls>
          <c:cat>
            <c:strRef>
              <c:f>Datenbank!$AN$101:$AO$101</c:f>
              <c:strCache>
                <c:ptCount val="2"/>
                <c:pt idx="0">
                  <c:v>Einnahmen</c:v>
                </c:pt>
                <c:pt idx="1">
                  <c:v>Ausgaben</c:v>
                </c:pt>
              </c:strCache>
            </c:strRef>
          </c:cat>
          <c:val>
            <c:numRef>
              <c:f>Datenbank!$AN$444:$AO$444</c:f>
              <c:numCache>
                <c:formatCode>#,##0.00\ "€"</c:formatCode>
                <c:ptCount val="2"/>
                <c:pt idx="1">
                  <c:v>0</c:v>
                </c:pt>
              </c:numCache>
            </c:numRef>
          </c:val>
          <c:extLst>
            <c:ext xmlns:c16="http://schemas.microsoft.com/office/drawing/2014/chart" uri="{C3380CC4-5D6E-409C-BE32-E72D297353CC}">
              <c16:uniqueId val="{00000000-3FA4-495F-A1B8-59426A21E43A}"/>
            </c:ext>
          </c:extLst>
        </c:ser>
        <c:ser>
          <c:idx val="3"/>
          <c:order val="1"/>
          <c:tx>
            <c:strRef>
              <c:f>Datenbank!$AM$446</c:f>
              <c:strCache>
                <c:ptCount val="1"/>
                <c:pt idx="0">
                  <c:v>Einsparung</c:v>
                </c:pt>
              </c:strCache>
            </c:strRef>
          </c:tx>
          <c:spPr>
            <a:solidFill>
              <a:srgbClr val="97C335"/>
            </a:solidFill>
            <a:ln>
              <a:noFill/>
            </a:ln>
            <a:effectLst/>
          </c:spPr>
          <c:invertIfNegative val="0"/>
          <c:dLbls>
            <c:delete val="1"/>
          </c:dLbls>
          <c:cat>
            <c:strRef>
              <c:f>Datenbank!$AN$101:$AO$101</c:f>
              <c:strCache>
                <c:ptCount val="2"/>
                <c:pt idx="0">
                  <c:v>Einnahmen</c:v>
                </c:pt>
                <c:pt idx="1">
                  <c:v>Ausgaben</c:v>
                </c:pt>
              </c:strCache>
            </c:strRef>
          </c:cat>
          <c:val>
            <c:numRef>
              <c:f>Datenbank!$AN$446:$AO$446</c:f>
              <c:numCache>
                <c:formatCode>General</c:formatCode>
                <c:ptCount val="2"/>
                <c:pt idx="0" formatCode="#,##0.00\ &quot;€&quot;">
                  <c:v>0</c:v>
                </c:pt>
              </c:numCache>
            </c:numRef>
          </c:val>
          <c:extLst>
            <c:ext xmlns:c16="http://schemas.microsoft.com/office/drawing/2014/chart" uri="{C3380CC4-5D6E-409C-BE32-E72D297353CC}">
              <c16:uniqueId val="{00000001-3FA4-495F-A1B8-59426A21E43A}"/>
            </c:ext>
          </c:extLst>
        </c:ser>
        <c:ser>
          <c:idx val="4"/>
          <c:order val="2"/>
          <c:tx>
            <c:strRef>
              <c:f>Datenbank!$AM$448</c:f>
              <c:strCache>
                <c:ptCount val="1"/>
                <c:pt idx="0">
                  <c:v>Förderung</c:v>
                </c:pt>
              </c:strCache>
            </c:strRef>
          </c:tx>
          <c:spPr>
            <a:solidFill>
              <a:srgbClr val="AAD054"/>
            </a:solidFill>
            <a:ln>
              <a:noFill/>
            </a:ln>
            <a:effectLst/>
          </c:spPr>
          <c:invertIfNegative val="0"/>
          <c:dLbls>
            <c:delete val="1"/>
          </c:dLbls>
          <c:cat>
            <c:strRef>
              <c:f>Datenbank!$AN$101:$AO$101</c:f>
              <c:strCache>
                <c:ptCount val="2"/>
                <c:pt idx="0">
                  <c:v>Einnahmen</c:v>
                </c:pt>
                <c:pt idx="1">
                  <c:v>Ausgaben</c:v>
                </c:pt>
              </c:strCache>
            </c:strRef>
          </c:cat>
          <c:val>
            <c:numRef>
              <c:f>Datenbank!$AN$448:$AO$448</c:f>
              <c:numCache>
                <c:formatCode>General</c:formatCode>
                <c:ptCount val="2"/>
                <c:pt idx="0" formatCode="#,##0.00\ &quot;€&quot;">
                  <c:v>0</c:v>
                </c:pt>
              </c:numCache>
            </c:numRef>
          </c:val>
          <c:extLst>
            <c:ext xmlns:c16="http://schemas.microsoft.com/office/drawing/2014/chart" uri="{C3380CC4-5D6E-409C-BE32-E72D297353CC}">
              <c16:uniqueId val="{00000002-3FA4-495F-A1B8-59426A21E43A}"/>
            </c:ext>
          </c:extLst>
        </c:ser>
        <c:ser>
          <c:idx val="5"/>
          <c:order val="3"/>
          <c:tx>
            <c:strRef>
              <c:f>Datenbank!$AM$449</c:f>
              <c:strCache>
                <c:ptCount val="1"/>
                <c:pt idx="0">
                  <c:v>Sowieso-Kosten</c:v>
                </c:pt>
              </c:strCache>
            </c:strRef>
          </c:tx>
          <c:spPr>
            <a:solidFill>
              <a:srgbClr val="97C335"/>
            </a:solidFill>
            <a:ln>
              <a:noFill/>
            </a:ln>
            <a:effectLst/>
          </c:spPr>
          <c:invertIfNegative val="0"/>
          <c:dLbls>
            <c:delete val="1"/>
          </c:dLbls>
          <c:cat>
            <c:strRef>
              <c:f>Datenbank!$AN$101:$AO$101</c:f>
              <c:strCache>
                <c:ptCount val="2"/>
                <c:pt idx="0">
                  <c:v>Einnahmen</c:v>
                </c:pt>
                <c:pt idx="1">
                  <c:v>Ausgaben</c:v>
                </c:pt>
              </c:strCache>
            </c:strRef>
          </c:cat>
          <c:val>
            <c:numRef>
              <c:f>Datenbank!$AN$449:$AO$449</c:f>
              <c:numCache>
                <c:formatCode>General</c:formatCode>
                <c:ptCount val="2"/>
                <c:pt idx="0" formatCode="_(&quot;€&quot;* #,##0.00_);_(&quot;€&quot;* \(#,##0.00\);_(&quot;€&quot;* &quot;-&quot;??_);_(@_)">
                  <c:v>0</c:v>
                </c:pt>
              </c:numCache>
            </c:numRef>
          </c:val>
          <c:extLst>
            <c:ext xmlns:c16="http://schemas.microsoft.com/office/drawing/2014/chart" uri="{C3380CC4-5D6E-409C-BE32-E72D297353CC}">
              <c16:uniqueId val="{00000003-3FA4-495F-A1B8-59426A21E43A}"/>
            </c:ext>
          </c:extLst>
        </c:ser>
        <c:ser>
          <c:idx val="0"/>
          <c:order val="4"/>
          <c:tx>
            <c:strRef>
              <c:f>Datenbank!$AM$450</c:f>
              <c:strCache>
                <c:ptCount val="1"/>
                <c:pt idx="0">
                  <c:v>Wertsteigerung</c:v>
                </c:pt>
              </c:strCache>
            </c:strRef>
          </c:tx>
          <c:spPr>
            <a:solidFill>
              <a:srgbClr val="AAD054"/>
            </a:solidFill>
            <a:ln>
              <a:noFill/>
            </a:ln>
            <a:effectLst/>
          </c:spPr>
          <c:invertIfNegative val="0"/>
          <c:dLbls>
            <c:delete val="1"/>
          </c:dLbls>
          <c:cat>
            <c:strRef>
              <c:f>Datenbank!$AN$101:$AO$101</c:f>
              <c:strCache>
                <c:ptCount val="2"/>
                <c:pt idx="0">
                  <c:v>Einnahmen</c:v>
                </c:pt>
                <c:pt idx="1">
                  <c:v>Ausgaben</c:v>
                </c:pt>
              </c:strCache>
            </c:strRef>
          </c:cat>
          <c:val>
            <c:numRef>
              <c:f>Datenbank!$AN$450:$AO$450</c:f>
              <c:numCache>
                <c:formatCode>General</c:formatCode>
                <c:ptCount val="2"/>
                <c:pt idx="0" formatCode="#,##0.00\ &quot;€&quot;">
                  <c:v>0</c:v>
                </c:pt>
              </c:numCache>
            </c:numRef>
          </c:val>
          <c:extLst>
            <c:ext xmlns:c16="http://schemas.microsoft.com/office/drawing/2014/chart" uri="{C3380CC4-5D6E-409C-BE32-E72D297353CC}">
              <c16:uniqueId val="{00000004-3FA4-495F-A1B8-59426A21E43A}"/>
            </c:ext>
          </c:extLst>
        </c:ser>
        <c:ser>
          <c:idx val="2"/>
          <c:order val="5"/>
          <c:tx>
            <c:strRef>
              <c:f>Datenbank!$AM$445</c:f>
              <c:strCache>
                <c:ptCount val="1"/>
              </c:strCache>
            </c:strRef>
          </c:tx>
          <c:spPr>
            <a:solidFill>
              <a:schemeClr val="accent3"/>
            </a:solidFill>
            <a:ln>
              <a:noFill/>
            </a:ln>
            <a:effectLst/>
          </c:spPr>
          <c:invertIfNegative val="0"/>
          <c:dLbls>
            <c:delete val="1"/>
          </c:dLbls>
          <c:val>
            <c:numRef>
              <c:f>Datenbank!$AN$445:$AO$445</c:f>
              <c:numCache>
                <c:formatCode>#,##0.00\ "€"</c:formatCode>
                <c:ptCount val="2"/>
                <c:pt idx="1">
                  <c:v>0</c:v>
                </c:pt>
              </c:numCache>
            </c:numRef>
          </c:val>
          <c:extLst>
            <c:ext xmlns:c16="http://schemas.microsoft.com/office/drawing/2014/chart" uri="{C3380CC4-5D6E-409C-BE32-E72D297353CC}">
              <c16:uniqueId val="{00000005-3FA4-495F-A1B8-59426A21E43A}"/>
            </c:ext>
          </c:extLst>
        </c:ser>
        <c:dLbls>
          <c:showLegendKey val="0"/>
          <c:showVal val="1"/>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335"/>
        <c:crosses val="autoZero"/>
        <c:crossBetween val="between"/>
        <c:majorUnit val="50000"/>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85862953065739"/>
          <c:y val="7.0088470163281583E-2"/>
          <c:w val="0.71664612231603131"/>
          <c:h val="0.81641346292530559"/>
        </c:manualLayout>
      </c:layout>
      <c:barChart>
        <c:barDir val="col"/>
        <c:grouping val="stacked"/>
        <c:varyColors val="0"/>
        <c:ser>
          <c:idx val="1"/>
          <c:order val="0"/>
          <c:tx>
            <c:strRef>
              <c:f>Datenbank!$H$506</c:f>
              <c:strCache>
                <c:ptCount val="1"/>
                <c:pt idx="0">
                  <c:v>Kosten</c:v>
                </c:pt>
              </c:strCache>
            </c:strRef>
          </c:tx>
          <c:spPr>
            <a:solidFill>
              <a:srgbClr val="532C00"/>
            </a:solidFill>
            <a:ln>
              <a:noFill/>
            </a:ln>
            <a:effectLst/>
          </c:spPr>
          <c:invertIfNegative val="0"/>
          <c:dLbls>
            <c:dLbl>
              <c:idx val="1"/>
              <c:tx>
                <c:rich>
                  <a:bodyPr/>
                  <a:lstStyle/>
                  <a:p>
                    <a:fld id="{8DAE2350-8747-4D3E-9AD5-E8723E6274D4}" type="SERIESNAME">
                      <a:rPr lang="en-US" b="1">
                        <a:solidFill>
                          <a:schemeClr val="bg1"/>
                        </a:solidFill>
                      </a:rPr>
                      <a:pPr/>
                      <a:t>[DATENREIHENNAME]</a:t>
                    </a:fld>
                    <a:endParaRPr lang="de-DE"/>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64D9-4C61-AEB0-CDB224DFC1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Datenbank!$AN$101:$AO$101</c:f>
              <c:strCache>
                <c:ptCount val="2"/>
                <c:pt idx="0">
                  <c:v>Einnahmen</c:v>
                </c:pt>
                <c:pt idx="1">
                  <c:v>Ausgaben</c:v>
                </c:pt>
              </c:strCache>
            </c:strRef>
          </c:cat>
          <c:val>
            <c:numRef>
              <c:f>Datenbank!$I$506:$J$506</c:f>
              <c:numCache>
                <c:formatCode>#,##0.00\ "€"</c:formatCode>
                <c:ptCount val="2"/>
                <c:pt idx="1">
                  <c:v>0</c:v>
                </c:pt>
              </c:numCache>
            </c:numRef>
          </c:val>
          <c:extLst>
            <c:ext xmlns:c16="http://schemas.microsoft.com/office/drawing/2014/chart" uri="{C3380CC4-5D6E-409C-BE32-E72D297353CC}">
              <c16:uniqueId val="{00000000-64D9-4C61-AEB0-CDB224DFC11E}"/>
            </c:ext>
          </c:extLst>
        </c:ser>
        <c:ser>
          <c:idx val="3"/>
          <c:order val="1"/>
          <c:tx>
            <c:strRef>
              <c:f>Datenbank!$H$508</c:f>
              <c:strCache>
                <c:ptCount val="1"/>
                <c:pt idx="0">
                  <c:v>Einsparung</c:v>
                </c:pt>
              </c:strCache>
            </c:strRef>
          </c:tx>
          <c:spPr>
            <a:solidFill>
              <a:srgbClr val="97C335"/>
            </a:solidFill>
            <a:ln>
              <a:noFill/>
            </a:ln>
            <a:effectLst/>
          </c:spPr>
          <c:invertIfNegative val="0"/>
          <c:dLbls>
            <c:dLbl>
              <c:idx val="0"/>
              <c:tx>
                <c:rich>
                  <a:bodyPr/>
                  <a:lstStyle/>
                  <a:p>
                    <a:fld id="{FBA3F59C-88AA-4FF7-8A09-7335E7386834}" type="SERIESNAME">
                      <a:rPr lang="en-US" b="1"/>
                      <a:pPr/>
                      <a:t>[DATENREIHENNAME]</a:t>
                    </a:fld>
                    <a:endParaRPr lang="de-DE"/>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4D9-4C61-AEB0-CDB224DFC1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Datenbank!$AN$101:$AO$101</c:f>
              <c:strCache>
                <c:ptCount val="2"/>
                <c:pt idx="0">
                  <c:v>Einnahmen</c:v>
                </c:pt>
                <c:pt idx="1">
                  <c:v>Ausgaben</c:v>
                </c:pt>
              </c:strCache>
            </c:strRef>
          </c:cat>
          <c:val>
            <c:numRef>
              <c:f>Datenbank!$I$508:$J$508</c:f>
              <c:numCache>
                <c:formatCode>General</c:formatCode>
                <c:ptCount val="2"/>
                <c:pt idx="0" formatCode="#,##0.00\ &quot;€&quot;">
                  <c:v>0</c:v>
                </c:pt>
              </c:numCache>
            </c:numRef>
          </c:val>
          <c:extLst>
            <c:ext xmlns:c16="http://schemas.microsoft.com/office/drawing/2014/chart" uri="{C3380CC4-5D6E-409C-BE32-E72D297353CC}">
              <c16:uniqueId val="{00000001-64D9-4C61-AEB0-CDB224DFC11E}"/>
            </c:ext>
          </c:extLst>
        </c:ser>
        <c:ser>
          <c:idx val="0"/>
          <c:order val="2"/>
          <c:tx>
            <c:strRef>
              <c:f>Datenbank!$H$509</c:f>
              <c:strCache>
                <c:ptCount val="1"/>
                <c:pt idx="0">
                  <c:v>Wertsteigerung</c:v>
                </c:pt>
              </c:strCache>
            </c:strRef>
          </c:tx>
          <c:spPr>
            <a:solidFill>
              <a:srgbClr val="AAD054"/>
            </a:solidFill>
            <a:ln>
              <a:noFill/>
            </a:ln>
            <a:effectLst/>
          </c:spPr>
          <c:invertIfNegative val="0"/>
          <c:dLbls>
            <c:dLbl>
              <c:idx val="0"/>
              <c:tx>
                <c:rich>
                  <a:bodyPr/>
                  <a:lstStyle/>
                  <a:p>
                    <a:fld id="{2A5201F0-3E4F-4F7A-8D14-89295D44EE3A}" type="SERIESNAME">
                      <a:rPr lang="en-US" b="1"/>
                      <a:pPr/>
                      <a:t>[DATENREIHENNAME]</a:t>
                    </a:fld>
                    <a:endParaRPr lang="de-DE"/>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64D9-4C61-AEB0-CDB224DFC1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3300"/>
                    </a:solidFill>
                    <a:latin typeface="BRALE" panose="00000500000000000000" pitchFamily="2"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Datenbank!$AN$101:$AO$101</c:f>
              <c:strCache>
                <c:ptCount val="2"/>
                <c:pt idx="0">
                  <c:v>Einnahmen</c:v>
                </c:pt>
                <c:pt idx="1">
                  <c:v>Ausgaben</c:v>
                </c:pt>
              </c:strCache>
            </c:strRef>
          </c:cat>
          <c:val>
            <c:numRef>
              <c:f>Datenbank!$I$509:$J$509</c:f>
              <c:numCache>
                <c:formatCode>General</c:formatCode>
                <c:ptCount val="2"/>
                <c:pt idx="0" formatCode="#,##0.00\ &quot;€&quot;">
                  <c:v>0</c:v>
                </c:pt>
              </c:numCache>
            </c:numRef>
          </c:val>
          <c:extLst>
            <c:ext xmlns:c16="http://schemas.microsoft.com/office/drawing/2014/chart" uri="{C3380CC4-5D6E-409C-BE32-E72D297353CC}">
              <c16:uniqueId val="{00000004-64D9-4C61-AEB0-CDB224DFC11E}"/>
            </c:ext>
          </c:extLst>
        </c:ser>
        <c:ser>
          <c:idx val="2"/>
          <c:order val="3"/>
          <c:tx>
            <c:strRef>
              <c:f>Datenbank!$AM$445</c:f>
              <c:strCache>
                <c:ptCount val="1"/>
              </c:strCache>
            </c:strRef>
          </c:tx>
          <c:spPr>
            <a:solidFill>
              <a:schemeClr val="accent3"/>
            </a:solidFill>
            <a:ln>
              <a:noFill/>
            </a:ln>
            <a:effectLst/>
          </c:spPr>
          <c:invertIfNegative val="0"/>
          <c:dLbls>
            <c:delete val="1"/>
          </c:dLbls>
          <c:val>
            <c:numRef>
              <c:f>Datenbank!$AN$445:$AO$445</c:f>
              <c:numCache>
                <c:formatCode>#,##0.00\ "€"</c:formatCode>
                <c:ptCount val="2"/>
                <c:pt idx="1">
                  <c:v>0</c:v>
                </c:pt>
              </c:numCache>
            </c:numRef>
          </c:val>
          <c:extLst>
            <c:ext xmlns:c16="http://schemas.microsoft.com/office/drawing/2014/chart" uri="{C3380CC4-5D6E-409C-BE32-E72D297353CC}">
              <c16:uniqueId val="{00000005-64D9-4C61-AEB0-CDB224DFC11E}"/>
            </c:ext>
          </c:extLst>
        </c:ser>
        <c:dLbls>
          <c:showLegendKey val="0"/>
          <c:showVal val="1"/>
          <c:showCatName val="0"/>
          <c:showSerName val="0"/>
          <c:showPercent val="0"/>
          <c:showBubbleSize val="0"/>
        </c:dLbls>
        <c:gapWidth val="50"/>
        <c:overlap val="100"/>
        <c:axId val="206000335"/>
        <c:axId val="206000815"/>
      </c:barChart>
      <c:catAx>
        <c:axId val="2060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815"/>
        <c:crosses val="autoZero"/>
        <c:auto val="1"/>
        <c:lblAlgn val="ctr"/>
        <c:lblOffset val="100"/>
        <c:noMultiLvlLbl val="0"/>
      </c:catAx>
      <c:valAx>
        <c:axId val="206000815"/>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32C00"/>
                </a:solidFill>
                <a:latin typeface="BRALE" panose="00000500000000000000" pitchFamily="2" charset="0"/>
                <a:ea typeface="+mn-ea"/>
                <a:cs typeface="+mn-cs"/>
              </a:defRPr>
            </a:pPr>
            <a:endParaRPr lang="de-DE"/>
          </a:p>
        </c:txPr>
        <c:crossAx val="206000335"/>
        <c:crosses val="autoZero"/>
        <c:crossBetween val="between"/>
        <c:majorUnit val="50000"/>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663300"/>
          </a:solidFill>
          <a:latin typeface="BRALE" panose="00000500000000000000" pitchFamily="2" charset="0"/>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image" Target="../media/image25.png"/><Relationship Id="rId2" Type="http://schemas.openxmlformats.org/officeDocument/2006/relationships/image" Target="../media/image21.pn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chart" Target="../charts/chart3.xml"/><Relationship Id="rId10" Type="http://schemas.openxmlformats.org/officeDocument/2006/relationships/image" Target="../media/image24.png"/><Relationship Id="rId4" Type="http://schemas.openxmlformats.org/officeDocument/2006/relationships/image" Target="../media/image22.png"/><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image" Target="../media/image28.png"/><Relationship Id="rId13" Type="http://schemas.openxmlformats.org/officeDocument/2006/relationships/chart" Target="../charts/chart18.xml"/><Relationship Id="rId3" Type="http://schemas.openxmlformats.org/officeDocument/2006/relationships/chart" Target="../charts/chart10.xml"/><Relationship Id="rId7" Type="http://schemas.openxmlformats.org/officeDocument/2006/relationships/chart" Target="../charts/chart13.xml"/><Relationship Id="rId12" Type="http://schemas.openxmlformats.org/officeDocument/2006/relationships/chart" Target="../charts/chart17.xml"/><Relationship Id="rId17" Type="http://schemas.openxmlformats.org/officeDocument/2006/relationships/chart" Target="../charts/chart22.xml"/><Relationship Id="rId2" Type="http://schemas.openxmlformats.org/officeDocument/2006/relationships/image" Target="../media/image26.png"/><Relationship Id="rId16" Type="http://schemas.openxmlformats.org/officeDocument/2006/relationships/chart" Target="../charts/chart21.xml"/><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image" Target="../media/image27.png"/><Relationship Id="rId9" Type="http://schemas.openxmlformats.org/officeDocument/2006/relationships/chart" Target="../charts/chart14.xml"/><Relationship Id="rId1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image" Target="../media/image30.png"/><Relationship Id="rId7" Type="http://schemas.openxmlformats.org/officeDocument/2006/relationships/chart" Target="../charts/chart28.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2</xdr:col>
      <xdr:colOff>2356257</xdr:colOff>
      <xdr:row>137</xdr:row>
      <xdr:rowOff>214096</xdr:rowOff>
    </xdr:from>
    <xdr:to>
      <xdr:col>3</xdr:col>
      <xdr:colOff>1448319</xdr:colOff>
      <xdr:row>144</xdr:row>
      <xdr:rowOff>3593</xdr:rowOff>
    </xdr:to>
    <xdr:grpSp>
      <xdr:nvGrpSpPr>
        <xdr:cNvPr id="31" name="r_PrimärenergiebedarfNach">
          <a:extLst>
            <a:ext uri="{FF2B5EF4-FFF2-40B4-BE49-F238E27FC236}">
              <a16:creationId xmlns:a16="http://schemas.microsoft.com/office/drawing/2014/main" id="{7B87968C-2A86-4FB3-B36E-0231E3F7CAD1}"/>
            </a:ext>
          </a:extLst>
        </xdr:cNvPr>
        <xdr:cNvGrpSpPr/>
      </xdr:nvGrpSpPr>
      <xdr:grpSpPr>
        <a:xfrm>
          <a:off x="6980781" y="38813750"/>
          <a:ext cx="4672895" cy="1222057"/>
          <a:chOff x="15938648" y="2314754"/>
          <a:chExt cx="7021849" cy="1783873"/>
        </a:xfrm>
      </xdr:grpSpPr>
      <xdr:graphicFrame macro="">
        <xdr:nvGraphicFramePr>
          <xdr:cNvPr id="32" name="Diagramm 9">
            <a:extLst>
              <a:ext uri="{FF2B5EF4-FFF2-40B4-BE49-F238E27FC236}">
                <a16:creationId xmlns:a16="http://schemas.microsoft.com/office/drawing/2014/main" id="{09361B36-A301-0B8E-02A1-E71B335F3412}"/>
              </a:ext>
            </a:extLst>
          </xdr:cNvPr>
          <xdr:cNvGraphicFramePr>
            <a:graphicFrameLocks/>
          </xdr:cNvGraphicFramePr>
        </xdr:nvGraphicFramePr>
        <xdr:xfrm>
          <a:off x="15938648" y="2314754"/>
          <a:ext cx="7021849" cy="706908"/>
        </xdr:xfrm>
        <a:graphic>
          <a:graphicData uri="http://schemas.openxmlformats.org/drawingml/2006/chart">
            <c:chart xmlns:c="http://schemas.openxmlformats.org/drawingml/2006/chart" xmlns:r="http://schemas.openxmlformats.org/officeDocument/2006/relationships" r:id="rId1"/>
          </a:graphicData>
        </a:graphic>
      </xdr:graphicFrame>
      <xdr:pic>
        <xdr:nvPicPr>
          <xdr:cNvPr id="33" name="Grafik 7">
            <a:extLst>
              <a:ext uri="{FF2B5EF4-FFF2-40B4-BE49-F238E27FC236}">
                <a16:creationId xmlns:a16="http://schemas.microsoft.com/office/drawing/2014/main" id="{2EE58012-9703-FBB4-DEA4-24339A3FD3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6003336" y="3149897"/>
            <a:ext cx="6641016" cy="948730"/>
          </a:xfrm>
          <a:prstGeom prst="rect">
            <a:avLst/>
          </a:prstGeom>
        </xdr:spPr>
      </xdr:pic>
    </xdr:grpSp>
    <xdr:clientData/>
  </xdr:twoCellAnchor>
  <xdr:twoCellAnchor>
    <xdr:from>
      <xdr:col>5</xdr:col>
      <xdr:colOff>187373</xdr:colOff>
      <xdr:row>53</xdr:row>
      <xdr:rowOff>94451</xdr:rowOff>
    </xdr:from>
    <xdr:to>
      <xdr:col>6</xdr:col>
      <xdr:colOff>1164413</xdr:colOff>
      <xdr:row>55</xdr:row>
      <xdr:rowOff>290275</xdr:rowOff>
    </xdr:to>
    <xdr:grpSp>
      <xdr:nvGrpSpPr>
        <xdr:cNvPr id="76" name="r">
          <a:extLst>
            <a:ext uri="{FF2B5EF4-FFF2-40B4-BE49-F238E27FC236}">
              <a16:creationId xmlns:a16="http://schemas.microsoft.com/office/drawing/2014/main" id="{4B6A4551-FD19-421B-8D42-9BC4AD82722A}"/>
            </a:ext>
          </a:extLst>
        </xdr:cNvPr>
        <xdr:cNvGrpSpPr/>
      </xdr:nvGrpSpPr>
      <xdr:grpSpPr>
        <a:xfrm>
          <a:off x="14978337" y="17079975"/>
          <a:ext cx="2225087" cy="786919"/>
          <a:chOff x="16003336" y="2575243"/>
          <a:chExt cx="7058368" cy="1890800"/>
        </a:xfrm>
      </xdr:grpSpPr>
      <xdr:graphicFrame macro="">
        <xdr:nvGraphicFramePr>
          <xdr:cNvPr id="77" name="Diagramm 9">
            <a:extLst>
              <a:ext uri="{FF2B5EF4-FFF2-40B4-BE49-F238E27FC236}">
                <a16:creationId xmlns:a16="http://schemas.microsoft.com/office/drawing/2014/main" id="{C344B993-DC5C-6DFC-0EDD-345C7A3A2158}"/>
              </a:ext>
            </a:extLst>
          </xdr:cNvPr>
          <xdr:cNvGraphicFramePr>
            <a:graphicFrameLocks/>
          </xdr:cNvGraphicFramePr>
        </xdr:nvGraphicFramePr>
        <xdr:xfrm>
          <a:off x="16037350" y="2575243"/>
          <a:ext cx="7024354" cy="889065"/>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78" name="Grafik 7">
            <a:extLst>
              <a:ext uri="{FF2B5EF4-FFF2-40B4-BE49-F238E27FC236}">
                <a16:creationId xmlns:a16="http://schemas.microsoft.com/office/drawing/2014/main" id="{4D0A4E67-BF19-6C1B-0C4D-6A58BE1CDB9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6003336" y="3517314"/>
            <a:ext cx="6641015" cy="948729"/>
          </a:xfrm>
          <a:prstGeom prst="rect">
            <a:avLst/>
          </a:prstGeom>
        </xdr:spPr>
      </xdr:pic>
    </xdr:grpSp>
    <xdr:clientData/>
  </xdr:twoCellAnchor>
  <xdr:twoCellAnchor>
    <xdr:from>
      <xdr:col>15</xdr:col>
      <xdr:colOff>105625</xdr:colOff>
      <xdr:row>42</xdr:row>
      <xdr:rowOff>1105</xdr:rowOff>
    </xdr:from>
    <xdr:to>
      <xdr:col>16</xdr:col>
      <xdr:colOff>1187712</xdr:colOff>
      <xdr:row>55</xdr:row>
      <xdr:rowOff>270429</xdr:rowOff>
    </xdr:to>
    <xdr:graphicFrame macro="">
      <xdr:nvGraphicFramePr>
        <xdr:cNvPr id="2" name="Diagramm 1">
          <a:extLst>
            <a:ext uri="{FF2B5EF4-FFF2-40B4-BE49-F238E27FC236}">
              <a16:creationId xmlns:a16="http://schemas.microsoft.com/office/drawing/2014/main" id="{6B6DAC1B-3DD5-4831-9553-960A7AA0B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78922</xdr:colOff>
      <xdr:row>58</xdr:row>
      <xdr:rowOff>58513</xdr:rowOff>
    </xdr:from>
    <xdr:to>
      <xdr:col>16</xdr:col>
      <xdr:colOff>1162052</xdr:colOff>
      <xdr:row>71</xdr:row>
      <xdr:rowOff>266701</xdr:rowOff>
    </xdr:to>
    <xdr:graphicFrame macro="">
      <xdr:nvGraphicFramePr>
        <xdr:cNvPr id="3" name="r_Kostenbilanz Sanierung">
          <a:extLst>
            <a:ext uri="{FF2B5EF4-FFF2-40B4-BE49-F238E27FC236}">
              <a16:creationId xmlns:a16="http://schemas.microsoft.com/office/drawing/2014/main" id="{594A9915-7496-44F6-A457-8F277DD49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53340</xdr:colOff>
      <xdr:row>74</xdr:row>
      <xdr:rowOff>62864</xdr:rowOff>
    </xdr:from>
    <xdr:to>
      <xdr:col>16</xdr:col>
      <xdr:colOff>1104900</xdr:colOff>
      <xdr:row>87</xdr:row>
      <xdr:rowOff>266699</xdr:rowOff>
    </xdr:to>
    <xdr:graphicFrame macro="">
      <xdr:nvGraphicFramePr>
        <xdr:cNvPr id="4" name="r_Kostenbilanz Sanierung">
          <a:extLst>
            <a:ext uri="{FF2B5EF4-FFF2-40B4-BE49-F238E27FC236}">
              <a16:creationId xmlns:a16="http://schemas.microsoft.com/office/drawing/2014/main" id="{EE92077B-538C-4FA2-B7E8-2B822315C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979714</xdr:colOff>
      <xdr:row>124</xdr:row>
      <xdr:rowOff>190500</xdr:rowOff>
    </xdr:from>
    <xdr:to>
      <xdr:col>16</xdr:col>
      <xdr:colOff>467828</xdr:colOff>
      <xdr:row>144</xdr:row>
      <xdr:rowOff>85533</xdr:rowOff>
    </xdr:to>
    <xdr:graphicFrame macro="">
      <xdr:nvGraphicFramePr>
        <xdr:cNvPr id="5" name="r_Kostenbilanz Sanierung">
          <a:extLst>
            <a:ext uri="{FF2B5EF4-FFF2-40B4-BE49-F238E27FC236}">
              <a16:creationId xmlns:a16="http://schemas.microsoft.com/office/drawing/2014/main" id="{C3436BFC-E2AE-49D0-86DF-557EF873C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199566</xdr:colOff>
      <xdr:row>69</xdr:row>
      <xdr:rowOff>188094</xdr:rowOff>
    </xdr:from>
    <xdr:to>
      <xdr:col>6</xdr:col>
      <xdr:colOff>1182496</xdr:colOff>
      <xdr:row>70</xdr:row>
      <xdr:rowOff>128885</xdr:rowOff>
    </xdr:to>
    <xdr:graphicFrame macro="">
      <xdr:nvGraphicFramePr>
        <xdr:cNvPr id="13" name="Diagramm 9">
          <a:extLst>
            <a:ext uri="{FF2B5EF4-FFF2-40B4-BE49-F238E27FC236}">
              <a16:creationId xmlns:a16="http://schemas.microsoft.com/office/drawing/2014/main" id="{8DC27996-CA0D-70A1-4EC1-C4621D59C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227983</xdr:colOff>
      <xdr:row>70</xdr:row>
      <xdr:rowOff>144447</xdr:rowOff>
    </xdr:from>
    <xdr:to>
      <xdr:col>6</xdr:col>
      <xdr:colOff>1034630</xdr:colOff>
      <xdr:row>71</xdr:row>
      <xdr:rowOff>267035</xdr:rowOff>
    </xdr:to>
    <xdr:pic>
      <xdr:nvPicPr>
        <xdr:cNvPr id="7" name="Grafik 7">
          <a:extLst>
            <a:ext uri="{FF2B5EF4-FFF2-40B4-BE49-F238E27FC236}">
              <a16:creationId xmlns:a16="http://schemas.microsoft.com/office/drawing/2014/main" id="{A78CF2E6-1DCE-0151-FF91-E2C456435E0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4302571" y="21984712"/>
          <a:ext cx="2543559" cy="425147"/>
        </a:xfrm>
        <a:prstGeom prst="rect">
          <a:avLst/>
        </a:prstGeom>
      </xdr:spPr>
    </xdr:pic>
    <xdr:clientData/>
  </xdr:twoCellAnchor>
  <xdr:twoCellAnchor>
    <xdr:from>
      <xdr:col>5</xdr:col>
      <xdr:colOff>254034</xdr:colOff>
      <xdr:row>85</xdr:row>
      <xdr:rowOff>180949</xdr:rowOff>
    </xdr:from>
    <xdr:to>
      <xdr:col>6</xdr:col>
      <xdr:colOff>1208516</xdr:colOff>
      <xdr:row>86</xdr:row>
      <xdr:rowOff>111090</xdr:rowOff>
    </xdr:to>
    <xdr:graphicFrame macro="">
      <xdr:nvGraphicFramePr>
        <xdr:cNvPr id="20" name="Diagramm 9">
          <a:extLst>
            <a:ext uri="{FF2B5EF4-FFF2-40B4-BE49-F238E27FC236}">
              <a16:creationId xmlns:a16="http://schemas.microsoft.com/office/drawing/2014/main" id="{AF21AFEA-3F8C-1679-A8EF-CFA63BA38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280380</xdr:colOff>
      <xdr:row>86</xdr:row>
      <xdr:rowOff>134847</xdr:rowOff>
    </xdr:from>
    <xdr:to>
      <xdr:col>6</xdr:col>
      <xdr:colOff>1061660</xdr:colOff>
      <xdr:row>87</xdr:row>
      <xdr:rowOff>270148</xdr:rowOff>
    </xdr:to>
    <xdr:pic>
      <xdr:nvPicPr>
        <xdr:cNvPr id="21" name="Grafik 7">
          <a:extLst>
            <a:ext uri="{FF2B5EF4-FFF2-40B4-BE49-F238E27FC236}">
              <a16:creationId xmlns:a16="http://schemas.microsoft.com/office/drawing/2014/main" id="{7AD5E72F-2BCE-016A-CA9D-D480264D141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14354968" y="26928112"/>
          <a:ext cx="2518192" cy="437860"/>
        </a:xfrm>
        <a:prstGeom prst="rect">
          <a:avLst/>
        </a:prstGeom>
      </xdr:spPr>
    </xdr:pic>
    <xdr:clientData/>
  </xdr:twoCellAnchor>
  <xdr:twoCellAnchor>
    <xdr:from>
      <xdr:col>5</xdr:col>
      <xdr:colOff>537028</xdr:colOff>
      <xdr:row>90</xdr:row>
      <xdr:rowOff>59871</xdr:rowOff>
    </xdr:from>
    <xdr:to>
      <xdr:col>6</xdr:col>
      <xdr:colOff>689428</xdr:colOff>
      <xdr:row>90</xdr:row>
      <xdr:rowOff>351971</xdr:rowOff>
    </xdr:to>
    <xdr:sp macro="" textlink="">
      <xdr:nvSpPr>
        <xdr:cNvPr id="9" name="Rechteck: abgerundete Ecken 8">
          <a:extLst>
            <a:ext uri="{FF2B5EF4-FFF2-40B4-BE49-F238E27FC236}">
              <a16:creationId xmlns:a16="http://schemas.microsoft.com/office/drawing/2014/main" id="{0173D0C2-0DFE-4FE9-AC14-7A976DB6DA1F}"/>
            </a:ext>
            <a:ext uri="{6ECC49D1-AA05-4338-93AA-15A1B29DFB0A}">
              <asl:scriptLink xmlns:asl="http://schemas.microsoft.com/office/drawing/2021/scriptlink" val="{&quot;shareId&quot;:&quot;ms-officescript%3A%2F%2Fonedrive_business_sharinglink%2Fu!aHR0cHM6Ly9icmFsZWVuZXJneWdtYmgtbXkuc2hhcmVwb2ludC5jb20vOnU6L2cvcGVyc29uYWwval9zY2hhcmZfYnJhbGUtZW5lcmd5X2RlL0VSUTZKTkY3dkk1Q3F4Y2VYTFpuRFk4Qkk1TkVQemZxR28tSFc5d25kX2daV2c&quot;}"/>
            </a:ext>
          </a:extLst>
        </xdr:cNvPr>
        <xdr:cNvSpPr/>
      </xdr:nvSpPr>
      <xdr:spPr>
        <a:xfrm>
          <a:off x="16466457" y="9847942"/>
          <a:ext cx="1676400" cy="29210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a:t>Varianten ausblenden</a:t>
          </a:r>
        </a:p>
      </xdr:txBody>
    </xdr:sp>
    <xdr:clientData/>
  </xdr:twoCellAnchor>
  <xdr:twoCellAnchor>
    <xdr:from>
      <xdr:col>6</xdr:col>
      <xdr:colOff>1006022</xdr:colOff>
      <xdr:row>90</xdr:row>
      <xdr:rowOff>36286</xdr:rowOff>
    </xdr:from>
    <xdr:to>
      <xdr:col>7</xdr:col>
      <xdr:colOff>1324428</xdr:colOff>
      <xdr:row>90</xdr:row>
      <xdr:rowOff>344714</xdr:rowOff>
    </xdr:to>
    <xdr:sp macro="" textlink="">
      <xdr:nvSpPr>
        <xdr:cNvPr id="10" name="Rechteck: abgerundete Ecken 9">
          <a:extLst>
            <a:ext uri="{FF2B5EF4-FFF2-40B4-BE49-F238E27FC236}">
              <a16:creationId xmlns:a16="http://schemas.microsoft.com/office/drawing/2014/main" id="{CF69C2A8-95A7-4CE2-8164-BCFF78BCA1BB}"/>
            </a:ext>
            <a:ext uri="{6ECC49D1-AA05-4338-93AA-15A1B29DFB0A}">
              <asl:scriptLink xmlns:asl="http://schemas.microsoft.com/office/drawing/2021/scriptlink" val="{&quot;shareId&quot;:&quot;ms-officescript%3A%2F%2Fonedrive_business_sharinglink%2Fu!aHR0cHM6Ly9icmFsZWVuZXJneWdtYmgtbXkuc2hhcmVwb2ludC5jb20vOnU6L2cvcGVyc29uYWwval9zY2hhcmZfYnJhbGUtZW5lcmd5X2RlL0VWdXRmc0lvaThsT3RHWFRVYUVVTm1NQmVnT2wyaHA3YnR1RmZMRXE3RU1RUUE&quot;}"/>
            </a:ext>
          </a:extLst>
        </xdr:cNvPr>
        <xdr:cNvSpPr/>
      </xdr:nvSpPr>
      <xdr:spPr>
        <a:xfrm>
          <a:off x="18459451" y="23739929"/>
          <a:ext cx="1524906" cy="308428"/>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a:t>Varianten Einblenden</a:t>
          </a:r>
        </a:p>
      </xdr:txBody>
    </xdr:sp>
    <xdr:clientData/>
  </xdr:twoCellAnchor>
  <xdr:twoCellAnchor>
    <xdr:from>
      <xdr:col>10</xdr:col>
      <xdr:colOff>54429</xdr:colOff>
      <xdr:row>34</xdr:row>
      <xdr:rowOff>77833</xdr:rowOff>
    </xdr:from>
    <xdr:to>
      <xdr:col>16</xdr:col>
      <xdr:colOff>1292678</xdr:colOff>
      <xdr:row>34</xdr:row>
      <xdr:rowOff>2723334</xdr:rowOff>
    </xdr:to>
    <xdr:sp macro="" textlink="">
      <xdr:nvSpPr>
        <xdr:cNvPr id="11" name="Textfeld 5">
          <a:extLst>
            <a:ext uri="{FF2B5EF4-FFF2-40B4-BE49-F238E27FC236}">
              <a16:creationId xmlns:a16="http://schemas.microsoft.com/office/drawing/2014/main" id="{6F7BAE89-76A9-E545-C6DB-B9798F939FBC}"/>
            </a:ext>
          </a:extLst>
        </xdr:cNvPr>
        <xdr:cNvSpPr txBox="1"/>
      </xdr:nvSpPr>
      <xdr:spPr>
        <a:xfrm>
          <a:off x="22057179" y="8595904"/>
          <a:ext cx="10477499" cy="2645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e-DE" sz="1400">
            <a:latin typeface="BRALE" panose="00000500000000000000" pitchFamily="2" charset="0"/>
          </a:endParaRPr>
        </a:p>
      </xdr:txBody>
    </xdr:sp>
    <xdr:clientData/>
  </xdr:twoCellAnchor>
  <xdr:twoCellAnchor>
    <xdr:from>
      <xdr:col>6</xdr:col>
      <xdr:colOff>97155</xdr:colOff>
      <xdr:row>34</xdr:row>
      <xdr:rowOff>95251</xdr:rowOff>
    </xdr:from>
    <xdr:to>
      <xdr:col>9</xdr:col>
      <xdr:colOff>1673679</xdr:colOff>
      <xdr:row>34</xdr:row>
      <xdr:rowOff>2740752</xdr:rowOff>
    </xdr:to>
    <xdr:sp macro="" textlink="">
      <xdr:nvSpPr>
        <xdr:cNvPr id="87" name="Textfeld 5">
          <a:extLst>
            <a:ext uri="{FF2B5EF4-FFF2-40B4-BE49-F238E27FC236}">
              <a16:creationId xmlns:a16="http://schemas.microsoft.com/office/drawing/2014/main" id="{E04B2148-C6F7-4A1E-B5E3-F112A90FD400}"/>
            </a:ext>
          </a:extLst>
        </xdr:cNvPr>
        <xdr:cNvSpPr txBox="1"/>
      </xdr:nvSpPr>
      <xdr:spPr>
        <a:xfrm>
          <a:off x="15922262" y="8164287"/>
          <a:ext cx="6066881" cy="2645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e-DE" sz="1400">
            <a:latin typeface="BRALE" panose="00000500000000000000" pitchFamily="2" charset="0"/>
          </a:endParaRPr>
        </a:p>
      </xdr:txBody>
    </xdr:sp>
    <xdr:clientData/>
  </xdr:twoCellAnchor>
  <xdr:twoCellAnchor>
    <xdr:from>
      <xdr:col>3</xdr:col>
      <xdr:colOff>40822</xdr:colOff>
      <xdr:row>34</xdr:row>
      <xdr:rowOff>77834</xdr:rowOff>
    </xdr:from>
    <xdr:to>
      <xdr:col>6</xdr:col>
      <xdr:colOff>4355</xdr:colOff>
      <xdr:row>34</xdr:row>
      <xdr:rowOff>2732860</xdr:rowOff>
    </xdr:to>
    <xdr:sp macro="" textlink="">
      <xdr:nvSpPr>
        <xdr:cNvPr id="8" name="Textfeld 5">
          <a:extLst>
            <a:ext uri="{FF2B5EF4-FFF2-40B4-BE49-F238E27FC236}">
              <a16:creationId xmlns:a16="http://schemas.microsoft.com/office/drawing/2014/main" id="{2A30976F-6832-433D-9538-25F474E4DD03}"/>
            </a:ext>
          </a:extLst>
        </xdr:cNvPr>
        <xdr:cNvSpPr txBox="1"/>
      </xdr:nvSpPr>
      <xdr:spPr>
        <a:xfrm>
          <a:off x="10246179" y="8595905"/>
          <a:ext cx="5800997" cy="2655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e-DE" sz="1400">
            <a:latin typeface="BRALE" panose="00000500000000000000" pitchFamily="2" charset="0"/>
          </a:endParaRPr>
        </a:p>
      </xdr:txBody>
    </xdr:sp>
    <xdr:clientData/>
  </xdr:twoCellAnchor>
  <xdr:twoCellAnchor>
    <xdr:from>
      <xdr:col>2</xdr:col>
      <xdr:colOff>91439</xdr:colOff>
      <xdr:row>34</xdr:row>
      <xdr:rowOff>77834</xdr:rowOff>
    </xdr:from>
    <xdr:to>
      <xdr:col>2</xdr:col>
      <xdr:colOff>5470070</xdr:colOff>
      <xdr:row>34</xdr:row>
      <xdr:rowOff>2751081</xdr:rowOff>
    </xdr:to>
    <xdr:sp macro="" textlink="">
      <xdr:nvSpPr>
        <xdr:cNvPr id="6" name="Textfeld 5">
          <a:extLst>
            <a:ext uri="{FF2B5EF4-FFF2-40B4-BE49-F238E27FC236}">
              <a16:creationId xmlns:a16="http://schemas.microsoft.com/office/drawing/2014/main" id="{634048EF-67A3-45E9-91E1-DA0F7430E06B}"/>
            </a:ext>
          </a:extLst>
        </xdr:cNvPr>
        <xdr:cNvSpPr txBox="1"/>
      </xdr:nvSpPr>
      <xdr:spPr>
        <a:xfrm>
          <a:off x="4717868" y="8595905"/>
          <a:ext cx="5378631" cy="2673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e-DE" sz="1000">
            <a:latin typeface="BRALE" panose="00000500000000000000"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422585</xdr:colOff>
      <xdr:row>30</xdr:row>
      <xdr:rowOff>40821</xdr:rowOff>
    </xdr:from>
    <xdr:to>
      <xdr:col>7</xdr:col>
      <xdr:colOff>381000</xdr:colOff>
      <xdr:row>35</xdr:row>
      <xdr:rowOff>120062</xdr:rowOff>
    </xdr:to>
    <xdr:grpSp>
      <xdr:nvGrpSpPr>
        <xdr:cNvPr id="397" name="r_Endenergiebedarf">
          <a:extLst>
            <a:ext uri="{FF2B5EF4-FFF2-40B4-BE49-F238E27FC236}">
              <a16:creationId xmlns:a16="http://schemas.microsoft.com/office/drawing/2014/main" id="{3E7B7D95-C632-19E2-C59B-637C486CD74B}"/>
            </a:ext>
          </a:extLst>
        </xdr:cNvPr>
        <xdr:cNvGrpSpPr/>
      </xdr:nvGrpSpPr>
      <xdr:grpSpPr>
        <a:xfrm>
          <a:off x="3429764" y="10640785"/>
          <a:ext cx="9184057" cy="1809253"/>
          <a:chOff x="15933789" y="2495518"/>
          <a:chExt cx="7129868" cy="1538494"/>
        </a:xfrm>
      </xdr:grpSpPr>
      <xdr:graphicFrame macro="">
        <xdr:nvGraphicFramePr>
          <xdr:cNvPr id="398" name="Diagramm 9">
            <a:extLst>
              <a:ext uri="{FF2B5EF4-FFF2-40B4-BE49-F238E27FC236}">
                <a16:creationId xmlns:a16="http://schemas.microsoft.com/office/drawing/2014/main" id="{AA9A829B-AB82-4A40-A278-48C41175B44B}"/>
              </a:ext>
            </a:extLst>
          </xdr:cNvPr>
          <xdr:cNvGraphicFramePr>
            <a:graphicFrameLocks/>
          </xdr:cNvGraphicFramePr>
        </xdr:nvGraphicFramePr>
        <xdr:xfrm>
          <a:off x="15933789" y="2495518"/>
          <a:ext cx="7129868" cy="549088"/>
        </xdr:xfrm>
        <a:graphic>
          <a:graphicData uri="http://schemas.openxmlformats.org/drawingml/2006/chart">
            <c:chart xmlns:c="http://schemas.openxmlformats.org/drawingml/2006/chart" xmlns:r="http://schemas.openxmlformats.org/officeDocument/2006/relationships" r:id="rId1"/>
          </a:graphicData>
        </a:graphic>
      </xdr:graphicFrame>
      <xdr:pic>
        <xdr:nvPicPr>
          <xdr:cNvPr id="399" name="Grafik 7">
            <a:extLst>
              <a:ext uri="{FF2B5EF4-FFF2-40B4-BE49-F238E27FC236}">
                <a16:creationId xmlns:a16="http://schemas.microsoft.com/office/drawing/2014/main" id="{D147EA4A-CF54-47C5-8320-E60EEDDAEBF6}"/>
              </a:ext>
            </a:extLst>
          </xdr:cNvPr>
          <xdr:cNvPicPr>
            <a:picLocks noChangeAspect="1"/>
          </xdr:cNvPicPr>
        </xdr:nvPicPr>
        <xdr:blipFill>
          <a:blip xmlns:r="http://schemas.openxmlformats.org/officeDocument/2006/relationships" r:embed="rId2"/>
          <a:stretch>
            <a:fillRect/>
          </a:stretch>
        </xdr:blipFill>
        <xdr:spPr>
          <a:xfrm>
            <a:off x="16014606" y="3094224"/>
            <a:ext cx="6526745" cy="939788"/>
          </a:xfrm>
          <a:prstGeom prst="rect">
            <a:avLst/>
          </a:prstGeom>
        </xdr:spPr>
      </xdr:pic>
    </xdr:grpSp>
    <xdr:clientData/>
  </xdr:twoCellAnchor>
  <xdr:twoCellAnchor>
    <xdr:from>
      <xdr:col>42</xdr:col>
      <xdr:colOff>1447800</xdr:colOff>
      <xdr:row>75</xdr:row>
      <xdr:rowOff>219075</xdr:rowOff>
    </xdr:from>
    <xdr:to>
      <xdr:col>50</xdr:col>
      <xdr:colOff>790775</xdr:colOff>
      <xdr:row>82</xdr:row>
      <xdr:rowOff>121260</xdr:rowOff>
    </xdr:to>
    <xdr:grpSp>
      <xdr:nvGrpSpPr>
        <xdr:cNvPr id="8" name="r_Endenergiebedarfdanach#">
          <a:extLst>
            <a:ext uri="{FF2B5EF4-FFF2-40B4-BE49-F238E27FC236}">
              <a16:creationId xmlns:a16="http://schemas.microsoft.com/office/drawing/2014/main" id="{50232F1D-8740-47C0-9737-471B092696FB}"/>
            </a:ext>
          </a:extLst>
        </xdr:cNvPr>
        <xdr:cNvGrpSpPr/>
      </xdr:nvGrpSpPr>
      <xdr:grpSpPr>
        <a:xfrm>
          <a:off x="76001336" y="25948277"/>
          <a:ext cx="9913820" cy="2191995"/>
          <a:chOff x="15934764" y="2498913"/>
          <a:chExt cx="7126941" cy="1550821"/>
        </a:xfrm>
      </xdr:grpSpPr>
      <xdr:graphicFrame macro="">
        <xdr:nvGraphicFramePr>
          <xdr:cNvPr id="9" name="Diagramm 9">
            <a:extLst>
              <a:ext uri="{FF2B5EF4-FFF2-40B4-BE49-F238E27FC236}">
                <a16:creationId xmlns:a16="http://schemas.microsoft.com/office/drawing/2014/main" id="{68C6D084-6081-E989-EC36-3A41EC531F18}"/>
              </a:ext>
            </a:extLst>
          </xdr:cNvPr>
          <xdr:cNvGraphicFramePr>
            <a:graphicFrameLocks/>
          </xdr:cNvGraphicFramePr>
        </xdr:nvGraphicFramePr>
        <xdr:xfrm>
          <a:off x="15934764" y="2498913"/>
          <a:ext cx="7126941" cy="549088"/>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12" name="Grafik 7">
            <a:extLst>
              <a:ext uri="{FF2B5EF4-FFF2-40B4-BE49-F238E27FC236}">
                <a16:creationId xmlns:a16="http://schemas.microsoft.com/office/drawing/2014/main" id="{74176C2B-D59C-3E4C-0622-A4A3B897412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6003335" y="3101004"/>
            <a:ext cx="6641015" cy="948730"/>
          </a:xfrm>
          <a:prstGeom prst="rect">
            <a:avLst/>
          </a:prstGeom>
        </xdr:spPr>
      </xdr:pic>
    </xdr:grpSp>
    <xdr:clientData/>
  </xdr:twoCellAnchor>
  <xdr:twoCellAnchor>
    <xdr:from>
      <xdr:col>2</xdr:col>
      <xdr:colOff>1166506</xdr:colOff>
      <xdr:row>43</xdr:row>
      <xdr:rowOff>190500</xdr:rowOff>
    </xdr:from>
    <xdr:to>
      <xdr:col>10</xdr:col>
      <xdr:colOff>452437</xdr:colOff>
      <xdr:row>59</xdr:row>
      <xdr:rowOff>231321</xdr:rowOff>
    </xdr:to>
    <xdr:graphicFrame macro="">
      <xdr:nvGraphicFramePr>
        <xdr:cNvPr id="413" name="r_Kostensteigerung">
          <a:extLst>
            <a:ext uri="{FF2B5EF4-FFF2-40B4-BE49-F238E27FC236}">
              <a16:creationId xmlns:a16="http://schemas.microsoft.com/office/drawing/2014/main" id="{F3BD7540-0123-48A7-B7E5-5A9D4E1B0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60</xdr:col>
      <xdr:colOff>1065154</xdr:colOff>
      <xdr:row>61</xdr:row>
      <xdr:rowOff>86534</xdr:rowOff>
    </xdr:from>
    <xdr:to>
      <xdr:col>62</xdr:col>
      <xdr:colOff>1145010</xdr:colOff>
      <xdr:row>98</xdr:row>
      <xdr:rowOff>214448</xdr:rowOff>
    </xdr:to>
    <xdr:graphicFrame macro="">
      <xdr:nvGraphicFramePr>
        <xdr:cNvPr id="21" name="Diagramm 57">
          <a:extLst>
            <a:ext uri="{FF2B5EF4-FFF2-40B4-BE49-F238E27FC236}">
              <a16:creationId xmlns:a16="http://schemas.microsoft.com/office/drawing/2014/main" id="{4DA5F337-4A53-4C74-8C8D-7123EDBF7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3267075</xdr:colOff>
      <xdr:row>57</xdr:row>
      <xdr:rowOff>0</xdr:rowOff>
    </xdr:from>
    <xdr:to>
      <xdr:col>36</xdr:col>
      <xdr:colOff>2495550</xdr:colOff>
      <xdr:row>63</xdr:row>
      <xdr:rowOff>66675</xdr:rowOff>
    </xdr:to>
    <xdr:grpSp>
      <xdr:nvGrpSpPr>
        <xdr:cNvPr id="403" name="r_EndenergiebedarfdanachVAR1">
          <a:extLst>
            <a:ext uri="{FF2B5EF4-FFF2-40B4-BE49-F238E27FC236}">
              <a16:creationId xmlns:a16="http://schemas.microsoft.com/office/drawing/2014/main" id="{1F979BDA-1331-4FAE-AF49-5CA7CCE4EE6D}"/>
            </a:ext>
          </a:extLst>
        </xdr:cNvPr>
        <xdr:cNvGrpSpPr/>
      </xdr:nvGrpSpPr>
      <xdr:grpSpPr>
        <a:xfrm>
          <a:off x="52876813" y="19852821"/>
          <a:ext cx="9295856" cy="2024199"/>
          <a:chOff x="15934764" y="2498913"/>
          <a:chExt cx="7126941" cy="1550821"/>
        </a:xfrm>
      </xdr:grpSpPr>
      <xdr:graphicFrame macro="">
        <xdr:nvGraphicFramePr>
          <xdr:cNvPr id="404" name="Diagramm 9">
            <a:extLst>
              <a:ext uri="{FF2B5EF4-FFF2-40B4-BE49-F238E27FC236}">
                <a16:creationId xmlns:a16="http://schemas.microsoft.com/office/drawing/2014/main" id="{9F03CFF2-E471-8627-07E6-202C00D4FC5C}"/>
              </a:ext>
            </a:extLst>
          </xdr:cNvPr>
          <xdr:cNvGraphicFramePr>
            <a:graphicFrameLocks/>
          </xdr:cNvGraphicFramePr>
        </xdr:nvGraphicFramePr>
        <xdr:xfrm>
          <a:off x="15934764" y="2498913"/>
          <a:ext cx="7126941" cy="549088"/>
        </xdr:xfrm>
        <a:graphic>
          <a:graphicData uri="http://schemas.openxmlformats.org/drawingml/2006/chart">
            <c:chart xmlns:c="http://schemas.openxmlformats.org/drawingml/2006/chart" xmlns:r="http://schemas.openxmlformats.org/officeDocument/2006/relationships" r:id="rId7"/>
          </a:graphicData>
        </a:graphic>
      </xdr:graphicFrame>
      <xdr:pic>
        <xdr:nvPicPr>
          <xdr:cNvPr id="405" name="Grafik 7">
            <a:extLst>
              <a:ext uri="{FF2B5EF4-FFF2-40B4-BE49-F238E27FC236}">
                <a16:creationId xmlns:a16="http://schemas.microsoft.com/office/drawing/2014/main" id="{14D3C643-C42D-2F2B-7030-C60C5E512DA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16003335" y="3101004"/>
            <a:ext cx="6641015" cy="948730"/>
          </a:xfrm>
          <a:prstGeom prst="rect">
            <a:avLst/>
          </a:prstGeom>
        </xdr:spPr>
      </xdr:pic>
    </xdr:grpSp>
    <xdr:clientData/>
  </xdr:twoCellAnchor>
  <xdr:twoCellAnchor>
    <xdr:from>
      <xdr:col>31</xdr:col>
      <xdr:colOff>3025217</xdr:colOff>
      <xdr:row>80</xdr:row>
      <xdr:rowOff>89647</xdr:rowOff>
    </xdr:from>
    <xdr:to>
      <xdr:col>36</xdr:col>
      <xdr:colOff>2286000</xdr:colOff>
      <xdr:row>86</xdr:row>
      <xdr:rowOff>123265</xdr:rowOff>
    </xdr:to>
    <xdr:grpSp>
      <xdr:nvGrpSpPr>
        <xdr:cNvPr id="400" name="r_EndenergiebedarfdanachVAR2">
          <a:extLst>
            <a:ext uri="{FF2B5EF4-FFF2-40B4-BE49-F238E27FC236}">
              <a16:creationId xmlns:a16="http://schemas.microsoft.com/office/drawing/2014/main" id="{374B93F1-967E-4813-8913-D34C25908158}"/>
            </a:ext>
          </a:extLst>
        </xdr:cNvPr>
        <xdr:cNvGrpSpPr/>
      </xdr:nvGrpSpPr>
      <xdr:grpSpPr>
        <a:xfrm>
          <a:off x="52640670" y="27457421"/>
          <a:ext cx="9326259" cy="1991142"/>
          <a:chOff x="15934764" y="2498913"/>
          <a:chExt cx="7126941" cy="1550821"/>
        </a:xfrm>
      </xdr:grpSpPr>
      <xdr:graphicFrame macro="">
        <xdr:nvGraphicFramePr>
          <xdr:cNvPr id="401" name="Diagramm 9">
            <a:extLst>
              <a:ext uri="{FF2B5EF4-FFF2-40B4-BE49-F238E27FC236}">
                <a16:creationId xmlns:a16="http://schemas.microsoft.com/office/drawing/2014/main" id="{53E8F9AD-D868-7433-6242-01C710FE62DF}"/>
              </a:ext>
            </a:extLst>
          </xdr:cNvPr>
          <xdr:cNvGraphicFramePr>
            <a:graphicFrameLocks/>
          </xdr:cNvGraphicFramePr>
        </xdr:nvGraphicFramePr>
        <xdr:xfrm>
          <a:off x="15934764" y="2498913"/>
          <a:ext cx="7126941" cy="549088"/>
        </xdr:xfrm>
        <a:graphic>
          <a:graphicData uri="http://schemas.openxmlformats.org/drawingml/2006/chart">
            <c:chart xmlns:c="http://schemas.openxmlformats.org/drawingml/2006/chart" xmlns:r="http://schemas.openxmlformats.org/officeDocument/2006/relationships" r:id="rId9"/>
          </a:graphicData>
        </a:graphic>
      </xdr:graphicFrame>
      <xdr:pic>
        <xdr:nvPicPr>
          <xdr:cNvPr id="402" name="Grafik 7">
            <a:extLst>
              <a:ext uri="{FF2B5EF4-FFF2-40B4-BE49-F238E27FC236}">
                <a16:creationId xmlns:a16="http://schemas.microsoft.com/office/drawing/2014/main" id="{67F71E75-5238-EA79-0D3A-BF3AC05FB5E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6003335" y="3101004"/>
            <a:ext cx="6641015" cy="948730"/>
          </a:xfrm>
          <a:prstGeom prst="rect">
            <a:avLst/>
          </a:prstGeom>
        </xdr:spPr>
      </xdr:pic>
    </xdr:grpSp>
    <xdr:clientData/>
  </xdr:twoCellAnchor>
  <xdr:twoCellAnchor>
    <xdr:from>
      <xdr:col>31</xdr:col>
      <xdr:colOff>2886153</xdr:colOff>
      <xdr:row>99</xdr:row>
      <xdr:rowOff>267821</xdr:rowOff>
    </xdr:from>
    <xdr:to>
      <xdr:col>36</xdr:col>
      <xdr:colOff>2159654</xdr:colOff>
      <xdr:row>105</xdr:row>
      <xdr:rowOff>267820</xdr:rowOff>
    </xdr:to>
    <xdr:grpSp>
      <xdr:nvGrpSpPr>
        <xdr:cNvPr id="3" name="r_EndenergiebedarfdanachVAR3">
          <a:extLst>
            <a:ext uri="{FF2B5EF4-FFF2-40B4-BE49-F238E27FC236}">
              <a16:creationId xmlns:a16="http://schemas.microsoft.com/office/drawing/2014/main" id="{E053B144-84C5-4E82-B1EB-75AE3CEF4578}"/>
            </a:ext>
          </a:extLst>
        </xdr:cNvPr>
        <xdr:cNvGrpSpPr/>
      </xdr:nvGrpSpPr>
      <xdr:grpSpPr>
        <a:xfrm>
          <a:off x="52495891" y="33931892"/>
          <a:ext cx="9340882" cy="1959428"/>
          <a:chOff x="15934764" y="2498914"/>
          <a:chExt cx="7126941" cy="1550820"/>
        </a:xfrm>
      </xdr:grpSpPr>
      <xdr:graphicFrame macro="">
        <xdr:nvGraphicFramePr>
          <xdr:cNvPr id="4" name="Diagramm 9">
            <a:extLst>
              <a:ext uri="{FF2B5EF4-FFF2-40B4-BE49-F238E27FC236}">
                <a16:creationId xmlns:a16="http://schemas.microsoft.com/office/drawing/2014/main" id="{35D94C8A-AB7C-FFC0-1CB8-5610985BFF88}"/>
              </a:ext>
            </a:extLst>
          </xdr:cNvPr>
          <xdr:cNvGraphicFramePr>
            <a:graphicFrameLocks/>
          </xdr:cNvGraphicFramePr>
        </xdr:nvGraphicFramePr>
        <xdr:xfrm>
          <a:off x="15934764" y="2498914"/>
          <a:ext cx="7126941" cy="549088"/>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5" name="Grafik 7">
            <a:extLst>
              <a:ext uri="{FF2B5EF4-FFF2-40B4-BE49-F238E27FC236}">
                <a16:creationId xmlns:a16="http://schemas.microsoft.com/office/drawing/2014/main" id="{47B8C33D-A681-508B-FA8F-4B5C685EDE1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6003335" y="3101004"/>
            <a:ext cx="6641015" cy="948730"/>
          </a:xfrm>
          <a:prstGeom prst="rect">
            <a:avLst/>
          </a:prstGeom>
        </xdr:spPr>
      </xdr:pic>
    </xdr:grpSp>
    <xdr:clientData/>
  </xdr:twoCellAnchor>
  <xdr:twoCellAnchor>
    <xdr:from>
      <xdr:col>70</xdr:col>
      <xdr:colOff>3167061</xdr:colOff>
      <xdr:row>54</xdr:row>
      <xdr:rowOff>155860</xdr:rowOff>
    </xdr:from>
    <xdr:to>
      <xdr:col>79</xdr:col>
      <xdr:colOff>19049</xdr:colOff>
      <xdr:row>70</xdr:row>
      <xdr:rowOff>76200</xdr:rowOff>
    </xdr:to>
    <xdr:graphicFrame macro="">
      <xdr:nvGraphicFramePr>
        <xdr:cNvPr id="56" name="r_Vor und Nach Sanierung">
          <a:extLst>
            <a:ext uri="{FF2B5EF4-FFF2-40B4-BE49-F238E27FC236}">
              <a16:creationId xmlns:a16="http://schemas.microsoft.com/office/drawing/2014/main" id="{6BA0AB75-6168-4853-A8FD-76E84DF8E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twoCellAnchor>
  <xdr:twoCellAnchor>
    <xdr:from>
      <xdr:col>70</xdr:col>
      <xdr:colOff>4762</xdr:colOff>
      <xdr:row>89</xdr:row>
      <xdr:rowOff>95250</xdr:rowOff>
    </xdr:from>
    <xdr:to>
      <xdr:col>79</xdr:col>
      <xdr:colOff>95250</xdr:colOff>
      <xdr:row>106</xdr:row>
      <xdr:rowOff>12107</xdr:rowOff>
    </xdr:to>
    <xdr:graphicFrame macro="">
      <xdr:nvGraphicFramePr>
        <xdr:cNvPr id="58" name="r_Vor und Nach Sanierung">
          <a:extLst>
            <a:ext uri="{FF2B5EF4-FFF2-40B4-BE49-F238E27FC236}">
              <a16:creationId xmlns:a16="http://schemas.microsoft.com/office/drawing/2014/main" id="{243C5D99-BA17-4F53-AF6E-14233AC1F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twoCellAnchor>
  <xdr:twoCellAnchor>
    <xdr:from>
      <xdr:col>69</xdr:col>
      <xdr:colOff>1746223</xdr:colOff>
      <xdr:row>109</xdr:row>
      <xdr:rowOff>13607</xdr:rowOff>
    </xdr:from>
    <xdr:to>
      <xdr:col>75</xdr:col>
      <xdr:colOff>612322</xdr:colOff>
      <xdr:row>121</xdr:row>
      <xdr:rowOff>167821</xdr:rowOff>
    </xdr:to>
    <xdr:graphicFrame macro="">
      <xdr:nvGraphicFramePr>
        <xdr:cNvPr id="60" name="r_Vor und Nach Sanierung">
          <a:extLst>
            <a:ext uri="{FF2B5EF4-FFF2-40B4-BE49-F238E27FC236}">
              <a16:creationId xmlns:a16="http://schemas.microsoft.com/office/drawing/2014/main" id="{F045D4A9-D34E-4659-A02C-C1FA4498F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twoCellAnchor>
  <xdr:twoCellAnchor>
    <xdr:from>
      <xdr:col>28</xdr:col>
      <xdr:colOff>737457</xdr:colOff>
      <xdr:row>34</xdr:row>
      <xdr:rowOff>28451</xdr:rowOff>
    </xdr:from>
    <xdr:to>
      <xdr:col>30</xdr:col>
      <xdr:colOff>700497</xdr:colOff>
      <xdr:row>43</xdr:row>
      <xdr:rowOff>79180</xdr:rowOff>
    </xdr:to>
    <xdr:graphicFrame macro="">
      <xdr:nvGraphicFramePr>
        <xdr:cNvPr id="40" name="Diagramm 14">
          <a:extLst>
            <a:ext uri="{FF2B5EF4-FFF2-40B4-BE49-F238E27FC236}">
              <a16:creationId xmlns:a16="http://schemas.microsoft.com/office/drawing/2014/main" id="{5AD28857-8F0A-43F4-863E-D78EA1E26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32</xdr:col>
      <xdr:colOff>422464</xdr:colOff>
      <xdr:row>34</xdr:row>
      <xdr:rowOff>26971</xdr:rowOff>
    </xdr:from>
    <xdr:to>
      <xdr:col>34</xdr:col>
      <xdr:colOff>367393</xdr:colOff>
      <xdr:row>43</xdr:row>
      <xdr:rowOff>1</xdr:rowOff>
    </xdr:to>
    <xdr:graphicFrame macro="">
      <xdr:nvGraphicFramePr>
        <xdr:cNvPr id="55" name="r_Kostenbilanz Sanierung">
          <a:extLst>
            <a:ext uri="{FF2B5EF4-FFF2-40B4-BE49-F238E27FC236}">
              <a16:creationId xmlns:a16="http://schemas.microsoft.com/office/drawing/2014/main" id="{FF823125-A5BC-448F-90CC-2A158A193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37</xdr:col>
      <xdr:colOff>1224940</xdr:colOff>
      <xdr:row>34</xdr:row>
      <xdr:rowOff>152056</xdr:rowOff>
    </xdr:from>
    <xdr:to>
      <xdr:col>38</xdr:col>
      <xdr:colOff>1605644</xdr:colOff>
      <xdr:row>42</xdr:row>
      <xdr:rowOff>176894</xdr:rowOff>
    </xdr:to>
    <xdr:graphicFrame macro="">
      <xdr:nvGraphicFramePr>
        <xdr:cNvPr id="386" name="r_Kostenbilanz Sanierung">
          <a:extLst>
            <a:ext uri="{FF2B5EF4-FFF2-40B4-BE49-F238E27FC236}">
              <a16:creationId xmlns:a16="http://schemas.microsoft.com/office/drawing/2014/main" id="{131F3822-6D77-43E0-A3D3-A87DA7E39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42</xdr:col>
      <xdr:colOff>577511</xdr:colOff>
      <xdr:row>34</xdr:row>
      <xdr:rowOff>186072</xdr:rowOff>
    </xdr:from>
    <xdr:to>
      <xdr:col>43</xdr:col>
      <xdr:colOff>1687285</xdr:colOff>
      <xdr:row>43</xdr:row>
      <xdr:rowOff>190500</xdr:rowOff>
    </xdr:to>
    <xdr:graphicFrame macro="">
      <xdr:nvGraphicFramePr>
        <xdr:cNvPr id="63" name="r_Kostenbilanz Sanierung">
          <a:extLst>
            <a:ext uri="{FF2B5EF4-FFF2-40B4-BE49-F238E27FC236}">
              <a16:creationId xmlns:a16="http://schemas.microsoft.com/office/drawing/2014/main" id="{7E0C3658-805D-4669-BE64-65375611D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43</xdr:col>
      <xdr:colOff>24654</xdr:colOff>
      <xdr:row>103</xdr:row>
      <xdr:rowOff>165847</xdr:rowOff>
    </xdr:from>
    <xdr:to>
      <xdr:col>51</xdr:col>
      <xdr:colOff>365072</xdr:colOff>
      <xdr:row>124</xdr:row>
      <xdr:rowOff>77013</xdr:rowOff>
    </xdr:to>
    <xdr:graphicFrame macro="">
      <xdr:nvGraphicFramePr>
        <xdr:cNvPr id="12" name="Diagramm 1">
          <a:extLst>
            <a:ext uri="{FF2B5EF4-FFF2-40B4-BE49-F238E27FC236}">
              <a16:creationId xmlns:a16="http://schemas.microsoft.com/office/drawing/2014/main" id="{DDC68CCF-5023-436A-8CBD-15377409A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71</xdr:col>
      <xdr:colOff>469150</xdr:colOff>
      <xdr:row>13</xdr:row>
      <xdr:rowOff>158721</xdr:rowOff>
    </xdr:from>
    <xdr:to>
      <xdr:col>77</xdr:col>
      <xdr:colOff>297700</xdr:colOff>
      <xdr:row>28</xdr:row>
      <xdr:rowOff>191105</xdr:rowOff>
    </xdr:to>
    <xdr:graphicFrame macro="">
      <xdr:nvGraphicFramePr>
        <xdr:cNvPr id="2" name="Diagramm 1">
          <a:extLst>
            <a:ext uri="{FF2B5EF4-FFF2-40B4-BE49-F238E27FC236}">
              <a16:creationId xmlns:a16="http://schemas.microsoft.com/office/drawing/2014/main" id="{58F46D35-7241-4AED-BBDD-5E76D8D8C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82</xdr:col>
      <xdr:colOff>653415</xdr:colOff>
      <xdr:row>53</xdr:row>
      <xdr:rowOff>136205</xdr:rowOff>
    </xdr:from>
    <xdr:to>
      <xdr:col>89</xdr:col>
      <xdr:colOff>744313</xdr:colOff>
      <xdr:row>70</xdr:row>
      <xdr:rowOff>78718</xdr:rowOff>
    </xdr:to>
    <xdr:pic>
      <xdr:nvPicPr>
        <xdr:cNvPr id="3" name="Grafik 2">
          <a:extLst>
            <a:ext uri="{FF2B5EF4-FFF2-40B4-BE49-F238E27FC236}">
              <a16:creationId xmlns:a16="http://schemas.microsoft.com/office/drawing/2014/main" id="{51BCA1B5-5337-488B-834A-147ACBD9CB46}"/>
            </a:ext>
          </a:extLst>
        </xdr:cNvPr>
        <xdr:cNvPicPr>
          <a:picLocks noChangeAspect="1"/>
        </xdr:cNvPicPr>
      </xdr:nvPicPr>
      <xdr:blipFill>
        <a:blip xmlns:r="http://schemas.openxmlformats.org/officeDocument/2006/relationships" r:embed="rId3"/>
        <a:stretch>
          <a:fillRect/>
        </a:stretch>
      </xdr:blipFill>
      <xdr:spPr>
        <a:xfrm>
          <a:off x="4922520" y="8457245"/>
          <a:ext cx="6065520" cy="3581335"/>
        </a:xfrm>
        <a:prstGeom prst="rect">
          <a:avLst/>
        </a:prstGeom>
      </xdr:spPr>
    </xdr:pic>
    <xdr:clientData/>
  </xdr:twoCellAnchor>
  <xdr:twoCellAnchor>
    <xdr:from>
      <xdr:col>45</xdr:col>
      <xdr:colOff>0</xdr:colOff>
      <xdr:row>212</xdr:row>
      <xdr:rowOff>0</xdr:rowOff>
    </xdr:from>
    <xdr:to>
      <xdr:col>52</xdr:col>
      <xdr:colOff>366239</xdr:colOff>
      <xdr:row>227</xdr:row>
      <xdr:rowOff>87164</xdr:rowOff>
    </xdr:to>
    <xdr:graphicFrame macro="">
      <xdr:nvGraphicFramePr>
        <xdr:cNvPr id="10" name="r_Kostenbilanz Sanierung">
          <a:extLst>
            <a:ext uri="{FF2B5EF4-FFF2-40B4-BE49-F238E27FC236}">
              <a16:creationId xmlns:a16="http://schemas.microsoft.com/office/drawing/2014/main" id="{D4181BC4-3B63-4A85-9377-A34BBD2B2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0</xdr:colOff>
      <xdr:row>329</xdr:row>
      <xdr:rowOff>0</xdr:rowOff>
    </xdr:from>
    <xdr:to>
      <xdr:col>52</xdr:col>
      <xdr:colOff>366239</xdr:colOff>
      <xdr:row>344</xdr:row>
      <xdr:rowOff>87164</xdr:rowOff>
    </xdr:to>
    <xdr:graphicFrame macro="">
      <xdr:nvGraphicFramePr>
        <xdr:cNvPr id="13" name="r_Kostenbilanz Sanierung">
          <a:extLst>
            <a:ext uri="{FF2B5EF4-FFF2-40B4-BE49-F238E27FC236}">
              <a16:creationId xmlns:a16="http://schemas.microsoft.com/office/drawing/2014/main" id="{C0FFC688-BD47-438F-934B-8CF79734B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0</xdr:colOff>
      <xdr:row>444</xdr:row>
      <xdr:rowOff>0</xdr:rowOff>
    </xdr:from>
    <xdr:to>
      <xdr:col>52</xdr:col>
      <xdr:colOff>366239</xdr:colOff>
      <xdr:row>459</xdr:row>
      <xdr:rowOff>87164</xdr:rowOff>
    </xdr:to>
    <xdr:graphicFrame macro="">
      <xdr:nvGraphicFramePr>
        <xdr:cNvPr id="4" name="r_Kostenbilanz Sanierung">
          <a:extLst>
            <a:ext uri="{FF2B5EF4-FFF2-40B4-BE49-F238E27FC236}">
              <a16:creationId xmlns:a16="http://schemas.microsoft.com/office/drawing/2014/main" id="{8A2545EB-FFC3-417B-A100-7F9C0CB42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1172934</xdr:colOff>
      <xdr:row>502</xdr:row>
      <xdr:rowOff>38100</xdr:rowOff>
    </xdr:from>
    <xdr:to>
      <xdr:col>14</xdr:col>
      <xdr:colOff>27213</xdr:colOff>
      <xdr:row>527</xdr:row>
      <xdr:rowOff>95249</xdr:rowOff>
    </xdr:to>
    <xdr:graphicFrame macro="">
      <xdr:nvGraphicFramePr>
        <xdr:cNvPr id="6" name="r_Kostenbilanz Sanierung">
          <a:extLst>
            <a:ext uri="{FF2B5EF4-FFF2-40B4-BE49-F238E27FC236}">
              <a16:creationId xmlns:a16="http://schemas.microsoft.com/office/drawing/2014/main" id="{B9F8D4B5-F14C-428B-834F-5F06112AD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4">
  <rv s="0">
    <v>0</v>
    <v>5</v>
    <v>Ein Bild, das Schrift, Logo, Grafiken, Symbol enthält.
Automatisch generierte Beschreibung</v>
  </rv>
  <rv s="1">
    <v>1</v>
    <v>5</v>
  </rv>
  <rv s="1">
    <v>2</v>
    <v>5</v>
  </rv>
  <rv s="1">
    <v>3</v>
    <v>5</v>
  </rv>
  <rv s="1">
    <v>4</v>
    <v>5</v>
  </rv>
  <rv s="1">
    <v>5</v>
    <v>5</v>
  </rv>
  <rv s="1">
    <v>6</v>
    <v>5</v>
  </rv>
  <rv s="1">
    <v>7</v>
    <v>5</v>
  </rv>
  <rv s="1">
    <v>8</v>
    <v>5</v>
  </rv>
  <rv s="1">
    <v>9</v>
    <v>5</v>
  </rv>
  <rv s="1">
    <v>10</v>
    <v>5</v>
  </rv>
  <rv s="1">
    <v>11</v>
    <v>5</v>
  </rv>
  <rv s="1">
    <v>12</v>
    <v>5</v>
  </rv>
  <rv s="1">
    <v>13</v>
    <v>5</v>
  </rv>
</rvData>
</file>

<file path=xl/richData/rdrichvaluestructure.xml><?xml version="1.0" encoding="utf-8"?>
<rvStructures xmlns="http://schemas.microsoft.com/office/spreadsheetml/2017/richdata" count="2">
  <s t="_localImage">
    <k n="_rvRel:LocalImageIdentifier" t="i"/>
    <k n="CalcOrigin" t="i"/>
    <k n="Text" t="s"/>
  </s>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61756B4-C9D3-41DC-B9E8-CDC35D38D513}" name="Dachpositionen" displayName="Dachpositionen" ref="B4:G18" totalsRowShown="0" headerRowDxfId="690" dataDxfId="688" headerRowBorderDxfId="689" tableBorderDxfId="687">
  <autoFilter ref="B4:G18" xr:uid="{461756B4-C9D3-41DC-B9E8-CDC35D38D513}"/>
  <tableColumns count="6">
    <tableColumn id="2" xr3:uid="{7C492726-5207-40A0-8C2F-67F32B1B8D7A}" name="Position Dach" dataDxfId="686"/>
    <tableColumn id="5" xr3:uid="{43C9B641-7CDC-4C18-98D1-88419A65C40E}" name="Dacheindeckung:" dataDxfId="685"/>
    <tableColumn id="1" xr3:uid="{C9CC1D7D-937E-45F3-8CB8-EE8FC2789B08}" name="Dämmung Dachschrägen:" dataDxfId="684"/>
    <tableColumn id="4" xr3:uid="{DA5B9049-82BB-4E4D-BA6C-77CFDBE52863}" name="Dämmung obere Geschossdecke:" dataDxfId="683"/>
    <tableColumn id="6" xr3:uid="{10C478F5-22E5-4686-BBA7-49DCD556F166}" name="Trockenbau innen:" dataDxfId="682"/>
    <tableColumn id="7" xr3:uid="{7136415D-CD42-4AEF-A40B-62B0E03BC47D}" name="Dachstuhl Neu komplett:" dataDxfId="68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9D5185C-E6F1-4D08-9F43-E71E31EBFA8D}" name="Fassadenpositionen" displayName="Fassadenpositionen" ref="B24:D31" totalsRowShown="0" headerRowDxfId="680" dataDxfId="678" headerRowBorderDxfId="679" tableBorderDxfId="677" totalsRowBorderDxfId="676">
  <autoFilter ref="B24:D31" xr:uid="{D9D5185C-E6F1-4D08-9F43-E71E31EBFA8D}"/>
  <tableColumns count="3">
    <tableColumn id="1" xr3:uid="{F894D65F-44DC-4CF1-AB67-3BA5A75CE9F3}" name="Position Fassade" dataDxfId="675"/>
    <tableColumn id="2" xr3:uid="{BA82D322-CD0D-41A2-BF65-F8AA1A009C47}" name="WDVS:" dataDxfId="674"/>
    <tableColumn id="3" xr3:uid="{9C31FC44-FF9D-40CF-AA01-5D43F6478C7F}" name="Einblasdämmung:" dataDxfId="67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AD4D51A-8BDF-43B0-BDCD-ED9B7FFE032D}" name="Tabelle2527" displayName="Tabelle2527" ref="B37:D45" totalsRowShown="0" headerRowDxfId="672" dataDxfId="670" headerRowBorderDxfId="671" tableBorderDxfId="669" totalsRowBorderDxfId="668">
  <autoFilter ref="B37:D45" xr:uid="{0AD4D51A-8BDF-43B0-BDCD-ED9B7FFE032D}"/>
  <tableColumns count="3">
    <tableColumn id="1" xr3:uid="{BAACE41A-5D8C-4A64-9FD5-58B071532ABE}" name="Position Fenster" dataDxfId="667"/>
    <tableColumn id="2" xr3:uid="{D1BC8B7C-2B90-4A65-8DC0-15E0AB43A1FC}" name="Fensteraustausch:" dataDxfId="666"/>
    <tableColumn id="3" xr3:uid="{D2C5EE35-DE75-41D3-9F2C-0E2C09036A08}" name="Türaustausch:" dataDxfId="6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8229F0C-9898-4B1B-8618-FA21EDCF695E}" name="Heizungspositionen" displayName="Heizungspositionen" ref="B109:F123" totalsRowShown="0" headerRowDxfId="664" headerRowBorderDxfId="663" tableBorderDxfId="662" totalsRowBorderDxfId="661">
  <autoFilter ref="B109:F123" xr:uid="{48229F0C-9898-4B1B-8618-FA21EDCF695E}"/>
  <tableColumns count="5">
    <tableColumn id="1" xr3:uid="{CAAD931D-CA4F-44E3-80FF-F1391EB62A5A}" name="Position Heizung" dataDxfId="660"/>
    <tableColumn id="3" xr3:uid="{8BEB0AAB-D70E-41D9-8E4E-ED44F840DE4B}" name="Wärmepumpe:" dataDxfId="659"/>
    <tableColumn id="4" xr3:uid="{DCCC5DD0-394C-4483-9E99-C615D3171BEC}" name="Ausbau Bestandsheizung:" dataDxfId="658"/>
    <tableColumn id="5" xr3:uid="{289415B3-A937-4888-BF11-27E24E757318}" name="Neuer Trinkwasserspeicher:" dataDxfId="657"/>
    <tableColumn id="6" xr3:uid="{105183E4-78DB-4CF4-BAF6-9919FBA152E6}" name="Pufferspeicher/hydr. Weiche:" dataDxfId="65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DC677B9-58EC-4BCB-8163-291C1FDB7B3B}" name="Tabelle2529" displayName="Tabelle2529" ref="B51:E67" totalsRowShown="0" headerRowDxfId="655" headerRowBorderDxfId="654" tableBorderDxfId="653" totalsRowBorderDxfId="652">
  <autoFilter ref="B51:E67" xr:uid="{CDC677B9-58EC-4BCB-8163-291C1FDB7B3B}"/>
  <tableColumns count="4">
    <tableColumn id="1" xr3:uid="{E1DC4293-39D1-400C-858F-68D926E98732}" name="Position Keller" dataDxfId="651"/>
    <tableColumn id="2" xr3:uid="{4DD48105-1942-4C98-BE6F-D1DCDA1C58EA}" name="Kellerdeckendämmung:" dataDxfId="650"/>
    <tableColumn id="3" xr3:uid="{20DBD1C1-7D7D-4636-8DAA-0704C3D034C5}" name="Dämmung des Fußbodens:" dataDxfId="649"/>
    <tableColumn id="4" xr3:uid="{09424751-1BF5-4D13-A5BB-806589FADDA8}" name="Einblasdämmung:" dataDxfId="64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3B9D67D-B1D3-4C67-9E6D-62B9AE3FE387}" name="MiWo" displayName="MiWo" ref="B167:B222" totalsRowShown="0" headerRowDxfId="647" dataDxfId="646">
  <autoFilter ref="B167:B222" xr:uid="{F3B9D67D-B1D3-4C67-9E6D-62B9AE3FE387}"/>
  <tableColumns count="1">
    <tableColumn id="1" xr3:uid="{C2EBE793-66C9-4A84-9425-DED33D639A64}" name="Dach" dataDxfId="64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C374309-B762-4743-8806-6533AAE62F7A}" name="Wärmeübertragungspositionen" displayName="Wärmeübertragungspositionen" ref="B128:E135" totalsRowShown="0" headerRowDxfId="644" dataDxfId="643">
  <autoFilter ref="B128:E135" xr:uid="{9C374309-B762-4743-8806-6533AAE62F7A}"/>
  <tableColumns count="4">
    <tableColumn id="1" xr3:uid="{260964FD-D600-4CF6-94B3-C4020B830847}" name="Position Wärmeabgabe" dataDxfId="642"/>
    <tableColumn id="2" xr3:uid="{7D2FB1F9-5B4D-4E4E-828C-9192BAFED31D}" name="Wärmepumpenheizkörper:" dataDxfId="641"/>
    <tableColumn id="3" xr3:uid="{1081FB76-D903-408A-9E71-7556D610713E}" name="Flächenheizung:" dataDxfId="640"/>
    <tableColumn id="4" xr3:uid="{CE757428-5F06-4FBE-B8A9-F375B93F596F}" name="neue Standardheizkörper:" dataDxfId="63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CCCF4BB-86DC-4F30-B27D-0980D09CDC42}" name="PVGröße" displayName="PVGröße" ref="J167:M217" totalsRowShown="0" headerRowDxfId="638" dataDxfId="637">
  <autoFilter ref="J167:M217" xr:uid="{ECCCF4BB-86DC-4F30-B27D-0980D09CDC42}"/>
  <tableColumns count="4">
    <tableColumn id="1" xr3:uid="{FEB5D8B7-C824-40D4-BB59-7A9BBC791132}" name="PV Module" dataDxfId="636"/>
    <tableColumn id="2" xr3:uid="{1E6AD05A-DFF9-4384-A26D-623A1301EB24}" name="Spalte1" dataDxfId="635">
      <calculatedColumnFormula>ROUND(PVGröße[[#This Row],[PV Module]]*Allgemein!$I$121/1000,2)</calculatedColumnFormula>
    </tableColumn>
    <tableColumn id="3" xr3:uid="{2A5DBCFF-84FE-4F27-9F85-B9D182A4C8ED}" name="kWp" dataDxfId="634">
      <calculatedColumnFormula>_xlfn.TEXTJOIN(,,PVGröße[[#This Row],[Spalte1]]," kWp")</calculatedColumnFormula>
    </tableColumn>
    <tableColumn id="4" xr3:uid="{A9194283-D8E2-4921-A93A-B1E8CC45568C}" name="Preis" dataDxfId="63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1333C6E-084D-42B4-8E47-5D7AEBB77FEC}" name="Modulgröße" displayName="Modulgröße" ref="P181:P209" totalsRowShown="0" headerRowDxfId="632" dataDxfId="631">
  <autoFilter ref="P181:P209" xr:uid="{F1333C6E-084D-42B4-8E47-5D7AEBB77FEC}"/>
  <tableColumns count="1">
    <tableColumn id="1" xr3:uid="{13780F82-B28B-4586-826D-279A1AE0D014}" name="PV" dataDxfId="63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0B159B8-449A-4033-BBE5-24C89155ADE9}" name="Tabelle35" displayName="Tabelle35" ref="O167:P176" totalsRowShown="0" headerRowDxfId="629" dataDxfId="628">
  <autoFilter ref="O167:P176" xr:uid="{D0B159B8-449A-4033-BBE5-24C89155ADE9}"/>
  <tableColumns count="2">
    <tableColumn id="1" xr3:uid="{86D76EC2-D325-432A-B60A-1EEF862D5115}" name="Speicher" dataDxfId="627"/>
    <tableColumn id="2" xr3:uid="{8248DFCD-03B9-4E37-AA5B-244818792EB2}" name="Preis" dataDxfId="62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91736E5-6B33-44AF-BA35-95005DE8462B}" name="Fensterart" displayName="Fensterart" ref="R167:R170" totalsRowShown="0" headerRowDxfId="625" dataDxfId="624">
  <autoFilter ref="R167:R170" xr:uid="{C91736E5-6B33-44AF-BA35-95005DE8462B}"/>
  <tableColumns count="1">
    <tableColumn id="1" xr3:uid="{6F9EB91A-7C16-4A50-91D6-A06B6188F4D7}" name="Fensterart" dataDxfId="62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7953F3F-F9E6-4265-A413-2F8738BA34C3}" name="Türart" displayName="Türart" ref="V167:V169" totalsRowShown="0" headerRowDxfId="622" dataDxfId="621">
  <autoFilter ref="V167:V169" xr:uid="{A7953F3F-F9E6-4265-A413-2F8738BA34C3}"/>
  <tableColumns count="1">
    <tableColumn id="1" xr3:uid="{93DFE520-7AAB-4652-8C62-44192B96600E}" name="Türart" dataDxfId="62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D3F5178-1DE1-4625-A0A0-832CF8F01417}" name="Trinkwasserspeicher" displayName="Trinkwasserspeicher" ref="X167:X170" totalsRowShown="0" headerRowDxfId="619" dataDxfId="618">
  <autoFilter ref="X167:X170" xr:uid="{AD3F5178-1DE1-4625-A0A0-832CF8F01417}"/>
  <tableColumns count="1">
    <tableColumn id="1" xr3:uid="{0652970F-C450-4B72-A3AA-1A1CDED6CB50}" name="Trinkwasserspeicher" dataDxfId="61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0E5D14C-213D-4E23-82A9-3A21EA351D67}" name="Pufferspeicher" displayName="Pufferspeicher" ref="AA167:AA170" totalsRowShown="0" headerRowDxfId="616" dataDxfId="615">
  <autoFilter ref="AA167:AA170" xr:uid="{60E5D14C-213D-4E23-82A9-3A21EA351D67}"/>
  <tableColumns count="1">
    <tableColumn id="1" xr3:uid="{E5E209B5-EE05-4C00-95CB-66FBD08574B0}" name="Pufferspeicher" dataDxfId="61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CCE5DAA-CFC9-4AF8-AA19-52B7223BC4B5}" name="Heizungsauswahl" displayName="Heizungsauswahl" ref="AC167:AH179" totalsRowShown="0" headerRowDxfId="613" dataDxfId="612">
  <autoFilter ref="AC167:AH179" xr:uid="{5CCE5DAA-CFC9-4AF8-AA19-52B7223BC4B5}"/>
  <tableColumns count="6">
    <tableColumn id="2" xr3:uid="{3F2418A1-8C2F-4B42-99EA-3528603DF3E0}" name="Hersteller" dataDxfId="611"/>
    <tableColumn id="1" xr3:uid="{E8C1B4CD-94BA-49F3-B534-36E3863D8AA6}" name="Viessman" dataDxfId="610"/>
    <tableColumn id="3" xr3:uid="{336D40F2-A6C4-4DA9-AB04-F2B750D2731D}" name="Vaillant" dataDxfId="609"/>
    <tableColumn id="4" xr3:uid="{E452218D-F91A-49A3-BDEF-EE1E899EB2AD}" name="DAIKIN" dataDxfId="608"/>
    <tableColumn id="5" xr3:uid="{D077CF05-EAEC-4448-8BA1-D95B00771231}" name="Samsung" dataDxfId="607"/>
    <tableColumn id="6" xr3:uid="{22F7F56D-490A-4503-8B0A-CE07314DDD80}" name="LG" dataDxfId="60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303BDE8-E42E-467F-87C5-FF7E893528FE}" name="MiWo42" displayName="MiWo42" ref="D167:E222" totalsRowShown="0" headerRowDxfId="605" dataDxfId="604">
  <autoFilter ref="D167:E222" xr:uid="{5303BDE8-E42E-467F-87C5-FF7E893528FE}"/>
  <tableColumns count="2">
    <tableColumn id="1" xr3:uid="{2E2942ED-C5CE-44A3-80EF-22D7A607EEAE}" name="Keller und FB" dataDxfId="603"/>
    <tableColumn id="2" xr3:uid="{AC77C285-7D29-4CEB-A3B1-D0F7FD4EC4F3}" name="Preis" dataDxfId="60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32CBA3D-B30C-4FFD-BAB9-03AE3AC86127}" name="Tabelle43" displayName="Tabelle43" ref="G167:H185" totalsRowShown="0" headerRowDxfId="601" dataDxfId="599" headerRowBorderDxfId="600" tableBorderDxfId="598" totalsRowBorderDxfId="597">
  <autoFilter ref="G167:H185" xr:uid="{532CBA3D-B30C-4FFD-BAB9-03AE3AC86127}"/>
  <tableColumns count="2">
    <tableColumn id="1" xr3:uid="{5CA773CC-AE80-4351-A560-C951AF727BB3}" name="Fassade" dataDxfId="596"/>
    <tableColumn id="2" xr3:uid="{F0B834D4-4503-4ED3-A5D6-522C28E378FA}" name="Preis" dataDxfId="59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6F99E83A-F16C-48A4-9A3D-962959D5FE8A}" name="Tabelle3345" displayName="Tabelle3345" ref="I109:K116" totalsRowShown="0" headerRowDxfId="594" dataDxfId="593">
  <autoFilter ref="I109:K116" xr:uid="{6F99E83A-F16C-48A4-9A3D-962959D5FE8A}"/>
  <tableColumns count="3">
    <tableColumn id="1" xr3:uid="{6CE0FE83-D249-4FC9-8E75-C9425F40C908}" name="Pro Position" dataDxfId="592"/>
    <tableColumn id="2" xr3:uid="{1F3CE520-2D51-43B4-975E-AAFBEE587994}" name="Einheit" dataDxfId="591"/>
    <tableColumn id="3" xr3:uid="{9FEC8BE1-D5AC-4296-A6BC-428BBEFF9588}" name="Preis Brutto" dataDxfId="590"/>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0EDFB56-4033-4743-A911-A013706D9DAA}" name="Fensterart46" displayName="Fensterart46" ref="T167:T172" totalsRowShown="0" headerRowDxfId="589" dataDxfId="588">
  <autoFilter ref="T167:T172" xr:uid="{50EDFB56-4033-4743-A911-A013706D9DAA}"/>
  <tableColumns count="1">
    <tableColumn id="1" xr3:uid="{83AAFD86-FFA1-4625-A916-ACDC8C4F3888}" name="Dachflächenfenster" dataDxfId="587"/>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03623FE-A676-450C-9600-C05EB50A3A15}" name="Tabelle23" displayName="Tabelle23" ref="AJ167:AJ174" totalsRowShown="0" headerRowDxfId="586" dataDxfId="585">
  <autoFilter ref="AJ167:AJ174" xr:uid="{703623FE-A676-450C-9600-C05EB50A3A15}"/>
  <tableColumns count="1">
    <tableColumn id="1" xr3:uid="{2EEF8471-03DE-4898-9E67-C1638938598B}" name="Umsetzungspositionen Elektro" dataDxfId="584"/>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56EF896-5D7D-4495-918E-441E50B323D0}" name="Tabelle252943" displayName="Tabelle252943" ref="B73:F89" totalsRowShown="0" headerRowDxfId="583" headerRowBorderDxfId="582" tableBorderDxfId="581" totalsRowBorderDxfId="580">
  <autoFilter ref="B73:F89" xr:uid="{E56EF896-5D7D-4495-918E-441E50B323D0}"/>
  <tableColumns count="5">
    <tableColumn id="1" xr3:uid="{D8FBDFEC-45DA-4B33-A421-15F0E770807D}" name="Position Keller" dataDxfId="579"/>
    <tableColumn id="5" xr3:uid="{F1561C5E-F336-4570-B4B8-CB94921369AF}" name="Kellerinnendämmung:" dataDxfId="578"/>
    <tableColumn id="6" xr3:uid="{C3A27089-397C-4D62-8858-D615591C9247}" name="Kelleraußendämmung:" dataDxfId="577"/>
    <tableColumn id="7" xr3:uid="{4AAE2B59-2337-4AF7-BD84-7BC48792FBA7}" name="Ausschachten:" dataDxfId="576"/>
    <tableColumn id="8" xr3:uid="{1BFCC9AC-D50B-417F-ACB3-7B4BAC0F9C40}" name="Horizontalsperre" dataDxfId="575"/>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4A3D2AE-3F06-41F1-8DE0-AFA5787E4967}" name="Tabelle36" displayName="Tabelle36" ref="B24:T75" totalsRowCount="1" headerRowDxfId="574" dataDxfId="573" totalsRowDxfId="572">
  <autoFilter ref="B24:T74" xr:uid="{44A3D2AE-3F06-41F1-8DE0-AFA5787E4967}"/>
  <tableColumns count="19">
    <tableColumn id="1" xr3:uid="{F298DF9B-35D6-474F-A817-3E6530C19F1A}" name="Typ" totalsRowLabel="Ergebnis" dataDxfId="571" totalsRowDxfId="570"/>
    <tableColumn id="2" xr3:uid="{59EB722C-F3A5-4064-95D3-8903DF5C35AA}" name="Benennung" dataDxfId="569" totalsRowDxfId="568"/>
    <tableColumn id="3" xr3:uid="{5F2F29AB-2597-4C28-9B3C-38C6A46648EF}" name="Außenwand" dataDxfId="567" totalsRowDxfId="566"/>
    <tableColumn id="4" xr3:uid="{528C4E6A-7F6A-4B7F-B489-FD6A9CA0BA40}" name="Beschreibung Außenwand" dataDxfId="565" totalsRowDxfId="564">
      <calculatedColumnFormula>IF(D25="","",_xlfn.XLOOKUP(D25,Fassade!$F$10:$F$515,Fassade!$G$10:$G$515,"",0,1))</calculatedColumnFormula>
    </tableColumn>
    <tableColumn id="5" xr3:uid="{F2547557-0545-4268-A86C-C7314D3B80BA}" name="Geschoss" dataDxfId="563" totalsRowDxfId="562"/>
    <tableColumn id="6" xr3:uid="{08FFAD61-CC46-46EE-9B6D-0DAE7EDFE5F8}" name="Ausrichtung" dataDxfId="561" totalsRowDxfId="560"/>
    <tableColumn id="7" xr3:uid="{396919FA-ACBB-498A-BF89-6E925D7D0D0F}" name="Breite [m]" dataDxfId="559" totalsRowDxfId="558"/>
    <tableColumn id="8" xr3:uid="{34077314-DFDC-4A12-ADE8-6ED63A583C5D}" name="Höhe [m]" dataDxfId="557" totalsRowDxfId="556"/>
    <tableColumn id="9" xr3:uid="{7EA56E09-7DC8-4E8A-B576-C1E417404C68}" name="Anzahl" totalsRowFunction="sum" dataDxfId="555" totalsRowDxfId="554"/>
    <tableColumn id="10" xr3:uid="{64AEE5C2-2BDA-4822-91AD-5686491E19D0}" name="Umfang [m]" totalsRowFunction="sum" dataDxfId="553" totalsRowDxfId="552"/>
    <tableColumn id="11" xr3:uid="{3B1612BF-8D5E-444B-8918-17171DBBC796}" name="Fläche-E [m²]" dataDxfId="551" totalsRowDxfId="550"/>
    <tableColumn id="12" xr3:uid="{0816DF7E-7EE9-46DD-8B4F-9D44A410AA26}" name="Fläche-G [m²]" totalsRowFunction="sum" dataDxfId="549" totalsRowDxfId="548"/>
    <tableColumn id="13" xr3:uid="{CB325992-D791-45CA-970D-73D2EFF62446}" name="Austausch gewünscht?" dataDxfId="547" totalsRowDxfId="546"/>
    <tableColumn id="14" xr3:uid="{2D5916BE-3096-43AB-8B78-9CA5EDA3398A}" name="Austauschfläche Fenster [m²]" totalsRowFunction="sum" dataDxfId="545" totalsRowDxfId="544"/>
    <tableColumn id="15" xr3:uid="{366D8E92-1701-434B-9EB6-C21A6D378D05}" name="Rolladen neu?" dataDxfId="543" totalsRowDxfId="542"/>
    <tableColumn id="16" xr3:uid="{7035076D-771D-46F4-8AFE-C71E9DCC6FEC}" name="Bemerkung" dataDxfId="541" totalsRowDxfId="540"/>
    <tableColumn id="17" xr3:uid="{2E8F0958-5FEA-4E8E-8E09-A228395B0606}" name="Austausch iSFP?" totalsRowFunction="custom" dataDxfId="539" totalsRowDxfId="538">
      <calculatedColumnFormula>IF(AND(_xlfn.TEXTBEFORE(Tabelle36[[#This Row],[Benennung]],"_")="Fenster",$M$12="Nein"),"Nein",IF(AND(_xlfn.TEXTBEFORE(Tabelle36[[#This Row],[Benennung]],"_")="Tür",$R$12="Nein"),"Nein",IF(Tabelle36[[#This Row],[Austausch gewünscht?]]="Ja","Ja",IF(Tabelle36[[#This Row],[Austausch gewünscht?]]="Nein","Nein",""))))</calculatedColumnFormula>
      <totalsRowFormula>COUNTIF(Tabelle36[Austausch iSFP?],"Ja")</totalsRowFormula>
    </tableColumn>
    <tableColumn id="18" xr3:uid="{46EE38F5-D55F-4C2C-834F-72F64B6433FB}" name="Austausch V1?2" totalsRowFunction="custom" dataDxfId="537" totalsRowDxfId="536">
      <calculatedColumnFormula>IF(AND(_xlfn.TEXTBEFORE(Tabelle36[[#This Row],[Benennung]],"_")="Fenster",$N$12="Nein"),"Nein",IF(AND(_xlfn.TEXTBEFORE(Tabelle36[[#This Row],[Benennung]],"_")="Tür",$S$12="Nein"),"Nein",IF(Tabelle36[[#This Row],[Austausch gewünscht?]]="Ja","Ja",IF(Tabelle36[[#This Row],[Austausch gewünscht?]]="Nein","Nein",""))))</calculatedColumnFormula>
      <totalsRowFormula>COUNTIF(Tabelle36[Austausch V1?2],"Ja")</totalsRowFormula>
    </tableColumn>
    <tableColumn id="19" xr3:uid="{C10A9B08-C67C-4F34-9DE1-84AF174742C9}" name="Austausch V2?2" totalsRowFunction="custom" dataDxfId="535" totalsRowDxfId="534">
      <calculatedColumnFormula>IF(AND(_xlfn.TEXTBEFORE(Tabelle36[[#This Row],[Benennung]],"_")="Fenster",$O$12="Nein"),"Nein",IF(AND(_xlfn.TEXTBEFORE(Tabelle36[[#This Row],[Benennung]],"_")="Tür",$T$12="Nein"),"Nein",IF(Tabelle36[[#This Row],[Austausch gewünscht?]]="Ja","Ja",IF(Tabelle36[[#This Row],[Austausch gewünscht?]]="Nein","Nein",""))))</calculatedColumnFormula>
      <totalsRowFormula>COUNTIF(Tabelle36[Austausch V2?2],"Ja")</totalsRowFormula>
    </tableColumn>
  </tableColumns>
  <tableStyleInfo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FC05A43-5C0B-4FAA-A177-D4D320BE1940}" name="Tabelle1" displayName="Tabelle1" ref="C11:V36" totalsRowShown="0" headerRowDxfId="533" dataDxfId="532">
  <autoFilter ref="C11:V36" xr:uid="{4FC05A43-5C0B-4FAA-A177-D4D320BE19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AFD61C91-4AF9-4B9E-A2FD-DA0A24518821}" name="Geschoss" dataDxfId="531"/>
    <tableColumn id="3" xr3:uid="{39AA768B-A21E-4E99-825D-19DC786261E4}" name="Raum" dataDxfId="530"/>
    <tableColumn id="2" xr3:uid="{BAAB7BF4-7218-4650-B4A0-2EE271813F6C}" name="Raumfläche [m²]" dataDxfId="529"/>
    <tableColumn id="21" xr3:uid="{62B7FF0C-3458-4676-A7F4-F546F2C83CFD}" name="Abzugsfläche [m²]" dataDxfId="528"/>
    <tableColumn id="8" xr3:uid="{49338E55-E814-4BF6-8960-E6125648553B}" name="Auslegungstemperatur [°C]" dataDxfId="527"/>
    <tableColumn id="11" xr3:uid="{BFF770CA-2083-4D46-8E0E-7BBE4A4F4F0D}" name="Nummer" dataDxfId="526"/>
    <tableColumn id="5" xr3:uid="{64444FD7-1265-45AC-8EB6-0DBB3DF7BFA7}" name="Heizkörper/Heizfläche" dataDxfId="525"/>
    <tableColumn id="13" xr3:uid="{B15907D9-184B-4E0F-8314-F0B07EDC7238}" name="Typ" dataDxfId="524"/>
    <tableColumn id="4" xr3:uid="{864F7B0E-F53A-4040-8195-71E6AFCB3EB2}" name="Heizkörper in Nische?" dataDxfId="523"/>
    <tableColumn id="18" xr3:uid="{2F75EEB7-E2E9-458E-AE03-55CF9058D106}" name="Abstand über HK [mm] (wenn Nische)" dataDxfId="522"/>
    <tableColumn id="12" xr3:uid="{C2B418E0-7065-4BB8-9F2F-9C5CC16A60BE}" name="Breite [mm]" dataDxfId="521"/>
    <tableColumn id="6" xr3:uid="{CA70781A-FAA0-422D-AAA7-4D4582149F6F}" name="Höhe [mm]" dataDxfId="520"/>
    <tableColumn id="17" xr3:uid="{47CEFEE8-AB8C-4992-BD20-A623A7286CD1}" name="Bauhöhe [mm]" dataDxfId="519"/>
    <tableColumn id="15" xr3:uid="{EB1D17A1-8040-446C-A4E7-B1BD0AF73736}" name="Nabenabstand [mm]" dataDxfId="518"/>
    <tableColumn id="16" xr3:uid="{305C2776-9F4B-496B-8D47-94897F4D168B}" name="Bautiefe [mm]" dataDxfId="517"/>
    <tableColumn id="14" xr3:uid="{4BC966F8-E08A-4C83-8DF0-C9A80EB4EF71}" name="Gliederanzahl" dataDxfId="516"/>
    <tableColumn id="7" xr3:uid="{19EEA6BA-49A0-4E67-AE38-6C533AC70B10}" name="Verlegeabstand der Heizrohre T [m]" dataDxfId="515"/>
    <tableColumn id="9" xr3:uid="{3030DE31-CDC7-48A5-8926-7B01C41CB1BA}" name="Überdeckung su [m]" dataDxfId="514"/>
    <tableColumn id="10" xr3:uid="{7708A5FC-93A3-4170-97D0-D276C492FA92}" name="Heizrohrdurchmesser D [m]" dataDxfId="513"/>
    <tableColumn id="19" xr3:uid="{45BD2CDF-8826-419A-98CE-CBDC26287B9F}" name="Fußbodenbelag" dataDxfId="512"/>
  </tableColumns>
  <tableStyleInfo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0B27C6-B843-4F4A-BF9A-940631774D07}" name="EH" displayName="EH" ref="K2:K9" totalsRowShown="0" headerRowDxfId="511" dataDxfId="510" tableBorderDxfId="509">
  <autoFilter ref="K2:K9" xr:uid="{BC0B27C6-B843-4F4A-BF9A-940631774D07}"/>
  <tableColumns count="1">
    <tableColumn id="1" xr3:uid="{2A47829E-6AEB-4909-B6E7-9F6B69F56C92}" name="EH-Haus" dataDxfId="508"/>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897F9D-C66F-44F8-BD9D-292AA5F0FD26}" name="Heizung" displayName="Heizung" ref="M2:Q20" totalsRowShown="0" headerRowDxfId="507" dataDxfId="506">
  <autoFilter ref="M2:Q20" xr:uid="{47897F9D-C66F-44F8-BD9D-292AA5F0FD26}"/>
  <tableColumns count="5">
    <tableColumn id="1" xr3:uid="{36CF16A1-17EA-4558-9E0C-B855AB708B3F}" name="Heizmedium" dataDxfId="505"/>
    <tableColumn id="2" xr3:uid="{33868310-6AC9-47F5-80A6-C13987A7E767}" name="Einheit" dataDxfId="504"/>
    <tableColumn id="3" xr3:uid="{CCFEE6AB-DBC4-45C8-82DC-D526BD6EA7EC}" name="Heizwert [kWh/Einheit]" dataDxfId="503"/>
    <tableColumn id="4" xr3:uid="{D3FF7E98-66D8-4D69-8ABD-09E5D9616E92}" name="CO2 Emmisionen [g/kWh]" dataDxfId="502"/>
    <tableColumn id="5" xr3:uid="{3DD92D44-7D8A-4875-BC7E-345F0AA4CFBD}" name="Preissteigerung" dataDxfId="5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356143-6334-4675-A287-DD92589CC43E}" name="Tabelle4" displayName="Tabelle4" ref="BH4:BN1214" totalsRowShown="0" headerRowDxfId="500" dataDxfId="499">
  <autoFilter ref="BH4:BN1214" xr:uid="{8B356143-6334-4675-A287-DD92589CC43E}"/>
  <tableColumns count="7">
    <tableColumn id="1" xr3:uid="{6DB9CB59-9663-4CBD-86B2-303249E56236}" name="Typ" dataDxfId="498"/>
    <tableColumn id="2" xr3:uid="{E24ABC3C-0839-46BE-8FB1-1E1BA29D26A9}" name="Breite [mm]" dataDxfId="497"/>
    <tableColumn id="3" xr3:uid="{8249086C-1584-4D64-9078-B712906127AD}" name="Höhe [mm]" dataDxfId="496"/>
    <tableColumn id="5" xr3:uid="{6F89BAAD-35D3-45AE-B8EA-EE832053F3A1}" name="Bauhöhe Radiator [mm]" dataDxfId="495"/>
    <tableColumn id="6" xr3:uid="{BECD29F8-09FC-4082-897A-3223D1D69881}" name="Nabenabstand Radiator [mm]" dataDxfId="494"/>
    <tableColumn id="7" xr3:uid="{59AA2808-CC50-437D-84E7-D96AD9AE1EE4}" name="Bautiefe Radiator [mm]" dataDxfId="493"/>
    <tableColumn id="4" xr3:uid="{BFD2D951-62CA-4220-A55D-8142AC2BBA9B}" name="Wärmeleistung (Radiatoren je Glied) [W]" dataDxfId="492"/>
  </tableColumns>
  <tableStyleInfo name="TableStyleLight2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3DA7B8-A6AD-41DD-ACB9-B13ED75798F9}" name="Tabelle8" displayName="Tabelle8" ref="BR12:BS33" totalsRowShown="0" headerRowDxfId="491" dataDxfId="490">
  <autoFilter ref="BR12:BS33" xr:uid="{D83DA7B8-A6AD-41DD-ACB9-B13ED75798F9}"/>
  <tableColumns count="2">
    <tableColumn id="1" xr3:uid="{2320F1A6-F431-40A5-84D5-06CF727181FC}" name="Höhe über HK" dataDxfId="489"/>
    <tableColumn id="2" xr3:uid="{A48694D1-4463-48F1-8637-8621EEAD9FE6}" name="Abminderungsfaktor" dataDxfId="48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13878D-24DE-4A80-8728-2812CE98EC94}" name="Tabelle2" displayName="Tabelle2" ref="CC46:CD64" totalsRowShown="0" headerRowDxfId="487" dataDxfId="486">
  <autoFilter ref="CC46:CD64" xr:uid="{7713878D-24DE-4A80-8728-2812CE98EC94}"/>
  <tableColumns count="2">
    <tableColumn id="1" xr3:uid="{7545CB05-1752-4572-89E4-29466EC7D180}" name="Typ" dataDxfId="485"/>
    <tableColumn id="2" xr3:uid="{66E45426-907F-4533-A5A3-5D311884B4B3}" name="Heizkörperexponent" dataDxfId="484"/>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28CF1A5-3434-4D23-9488-5EE7EA23EC4E}" name="Tabelle5" displayName="Tabelle5" ref="CC10:CE41" totalsRowShown="0" headerRowDxfId="483" dataDxfId="482">
  <autoFilter ref="CC10:CE41" xr:uid="{C28CF1A5-3434-4D23-9488-5EE7EA23EC4E}"/>
  <sortState xmlns:xlrd2="http://schemas.microsoft.com/office/spreadsheetml/2017/richdata2" ref="CC11:CE41">
    <sortCondition descending="1" ref="CC3:CC34"/>
  </sortState>
  <tableColumns count="3">
    <tableColumn id="1" xr3:uid="{1AD4218E-4A2E-4EBC-A0B5-8E880DDEC84D}" name="Auswählbare Vor-und Rücklauftemperaturen" dataDxfId="481"/>
    <tableColumn id="2" xr3:uid="{60E9EB81-482A-4830-90E3-6500B31B3BD5}" name="Vorlauf" dataDxfId="480"/>
    <tableColumn id="3" xr3:uid="{6366FD98-5CC1-438E-8256-4D5815D88DA5}" name="Rücklauf" dataDxfId="47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F20D99-7CA3-49A9-8E20-152A86C88B95}" name="Tabelle6" displayName="Tabelle6" ref="CH10:CK13" totalsRowShown="0" headerRowDxfId="478" dataDxfId="477">
  <autoFilter ref="CH10:CK13" xr:uid="{3EF20D99-7CA3-49A9-8E20-152A86C88B95}"/>
  <tableColumns count="4">
    <tableColumn id="1" xr3:uid="{12DFD360-2950-43FA-AFDC-3A924C2104EC}" name="Systemtemperatur bei Norm-Wärmeleistungsbestimmung" dataDxfId="476"/>
    <tableColumn id="2" xr3:uid="{15C0E4CC-92D6-4FE5-BAEA-08ED9289DCFA}" name="Vorlauf" dataDxfId="475"/>
    <tableColumn id="3" xr3:uid="{97F0E7BD-9EDC-41ED-B9EC-986D5828829E}" name="Rücklauf" dataDxfId="474"/>
    <tableColumn id="4" xr3:uid="{F8E9B47F-90B8-4ADD-B5F8-83544C41F39F}" name="Norm Innentemperatur" dataDxfId="473"/>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0F6A0A-2357-4371-A6C0-6C874C79D2C1}" name="Tabelle7" displayName="Tabelle7" ref="CC69:CC93" totalsRowShown="0" headerRowDxfId="472" dataDxfId="471">
  <autoFilter ref="CC69:CC93" xr:uid="{300F6A0A-2357-4371-A6C0-6C874C79D2C1}"/>
  <tableColumns count="1">
    <tableColumn id="1" xr3:uid="{785A482C-D070-4F14-814E-DB5B76CA631D}" name="Typ" dataDxfId="470"/>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E59A39B-D847-4A90-AC73-1D779EEB65D2}" name="Tabelle10" displayName="Tabelle10" ref="CH18:CH20" totalsRowShown="0" headerRowDxfId="469" dataDxfId="468">
  <autoFilter ref="CH18:CH20" xr:uid="{CE59A39B-D847-4A90-AC73-1D779EEB65D2}"/>
  <tableColumns count="1">
    <tableColumn id="1" xr3:uid="{34E7C1F4-52C3-4CC8-8B21-806C9D6B864F}" name="Boolean" dataDxfId="467"/>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3EB9E68-5B94-4D09-831B-FC9E2BA32119}" name="Tabelle12" displayName="Tabelle12" ref="CQ12:CQ26" totalsRowShown="0" headerRowDxfId="466" dataDxfId="464" headerRowBorderDxfId="465" tableBorderDxfId="463">
  <autoFilter ref="CQ12:CQ26" xr:uid="{73EB9E68-5B94-4D09-831B-FC9E2BA32119}"/>
  <tableColumns count="1">
    <tableColumn id="1" xr3:uid="{0C276D7D-ABFA-4D7E-9E40-FBE44038C20A}" name="Abstand der Heizrohre T [m]" dataDxfId="462"/>
  </tableColumns>
  <tableStyleInfo name="TableStyleLight2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7D4D542-ECF4-49E5-9318-CDFF8EED4328}" name="Tabelle13" displayName="Tabelle13" ref="CX12:CZ29" totalsRowShown="0" headerRowDxfId="461" dataDxfId="460">
  <autoFilter ref="CX12:CZ29" xr:uid="{77D4D542-ECF4-49E5-9318-CDFF8EED4328}"/>
  <tableColumns count="3">
    <tableColumn id="1" xr3:uid="{65499533-80B8-469C-91E3-7128C966D820}" name="Bodenbelagsmaterial" dataDxfId="459"/>
    <tableColumn id="2" xr3:uid="{A0B69CAE-D0A8-4A59-B6C7-4653AE65660A}" name="Dicke [mm]" dataDxfId="458"/>
    <tableColumn id="3" xr3:uid="{702FAE76-0294-4F10-A601-4D32233B2A42}" name="Wärmedurchlasswiderstand Rλ,B in [m²K/W]" dataDxfId="457"/>
  </tableColumns>
  <tableStyleInfo name="TableStyleLight2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4D6C7E7-B8A7-45D2-9C1D-DDD81B227E5E}" name="Tabelle15" displayName="Tabelle15" ref="CS12:CS26" totalsRowShown="0" headerRowDxfId="456" dataDxfId="455">
  <autoFilter ref="CS12:CS26" xr:uid="{04D6C7E7-B8A7-45D2-9C1D-DDD81B227E5E}"/>
  <tableColumns count="1">
    <tableColumn id="1" xr3:uid="{CEFFA796-8080-4D08-9F76-9C4BFA86FEAA}" name="Rohrdurchmesser D [m]" dataDxfId="454"/>
  </tableColumns>
  <tableStyleInfo name="TableStyleLight2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00256F1-6253-44E1-AA98-7EFACFD161E7}" name="Tabelle16" displayName="Tabelle16" ref="CU12:CU33" totalsRowShown="0" headerRowDxfId="453" dataDxfId="452">
  <autoFilter ref="CU12:CU33" xr:uid="{C00256F1-6253-44E1-AA98-7EFACFD161E7}"/>
  <tableColumns count="1">
    <tableColumn id="1" xr3:uid="{81DC860F-01FB-41F1-89F4-EBED240A01E4}" name="Rohrüberdeckung su [m]" dataDxfId="451"/>
  </tableColumns>
  <tableStyleInfo name="TableStyleLight2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D3262E-C974-41D1-85DC-567D4872E4C3}" name="Tabelle17" displayName="Tabelle17" ref="DF14:DG18" totalsRowShown="0" headerRowDxfId="450" dataDxfId="449">
  <autoFilter ref="DF14:DG18" xr:uid="{46D3262E-C974-41D1-85DC-567D4872E4C3}"/>
  <tableColumns count="2">
    <tableColumn id="1" xr3:uid="{957F8774-9096-4192-A847-729C05CDDF77}" name="Wärmedurchlasswiderstand Rλ,B in [m²K/W]" dataDxfId="448"/>
    <tableColumn id="2" xr3:uid="{8D5122E6-2700-4F28-8409-DD3617334C85}" name="aT" dataDxfId="447"/>
  </tableColumns>
  <tableStyleInfo name="TableStyleLight2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7E1831B-3E0E-4DD1-BBC2-A288B8EB247F}" name="Tabelle18" displayName="Tabelle18" ref="DF22:DH54" totalsRowShown="0" headerRowDxfId="446" dataDxfId="445">
  <autoFilter ref="DF22:DH54" xr:uid="{07E1831B-3E0E-4DD1-BBC2-A288B8EB247F}"/>
  <tableColumns count="3">
    <tableColumn id="1" xr3:uid="{77D9835A-7553-401D-B275-D9FEA8B0FC17}" name="T" dataDxfId="444"/>
    <tableColumn id="2" xr3:uid="{00350414-9720-473D-9918-8995F7F58C86}" name="Rλ,B in [m²K/W]" dataDxfId="443"/>
    <tableColumn id="3" xr3:uid="{100B2341-74DE-4D50-8251-5C43A3636761}" name="au" dataDxfId="442"/>
  </tableColumns>
  <tableStyleInfo name="TableStyleLight2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9038671-9692-4438-8985-9459AC12E791}" name="Tabelle19" displayName="Tabelle19" ref="DF58:DH90" totalsRowShown="0" headerRowDxfId="441" dataDxfId="439" headerRowBorderDxfId="440" tableBorderDxfId="438">
  <autoFilter ref="DF58:DH90" xr:uid="{79038671-9692-4438-8985-9459AC12E791}"/>
  <tableColumns count="3">
    <tableColumn id="1" xr3:uid="{46D7F767-8213-4F4E-9C98-C2A8F6432203}" name="T" dataDxfId="437"/>
    <tableColumn id="2" xr3:uid="{39021C76-7C34-4729-97AC-56B8B4B0D700}" name="Rλ,B in [m²K/W]" dataDxfId="436"/>
    <tableColumn id="3" xr3:uid="{FE04AD3C-7801-4C47-9F26-0263D5F9EB29}" name="aD" dataDxfId="435"/>
  </tableColumns>
  <tableStyleInfo name="TableStyleLight2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F6D8B8-EB35-4FEF-B8F0-96AB6FE0E257}" name="Tabelle3" displayName="Tabelle3" ref="DQ7:EH57" totalsRowShown="0" headerRowDxfId="434" dataDxfId="433">
  <autoFilter ref="DQ7:EH57" xr:uid="{66F6D8B8-EB35-4FEF-B8F0-96AB6FE0E257}"/>
  <tableColumns count="18">
    <tableColumn id="1" xr3:uid="{9FA62B2A-9605-42A0-9541-64F7EA99123E}" name="Geschoss" dataDxfId="432">
      <calculatedColumnFormula>Heizflächen!C12</calculatedColumnFormula>
    </tableColumn>
    <tableColumn id="3" xr3:uid="{35C03C1B-EEF3-421E-B9A2-CCBE8125CCBD}" name="Raum" dataDxfId="431">
      <calculatedColumnFormula>Heizflächen!D12</calculatedColumnFormula>
    </tableColumn>
    <tableColumn id="2" xr3:uid="{D1936FA0-0760-460D-ACF3-B0063CA544CD}" name="Heizkörpernummer" dataDxfId="430">
      <calculatedColumnFormula>Heizflächen!H12</calculatedColumnFormula>
    </tableColumn>
    <tableColumn id="4" xr3:uid="{47131C2B-2DB8-4B16-B2D0-86B51BDDF838}" name="Auslegungsinnentemperatur [°C]" dataDxfId="429">
      <calculatedColumnFormula>Heizflächen!G12</calculatedColumnFormula>
    </tableColumn>
    <tableColumn id="5" xr3:uid="{FFF0F3EC-FFA8-4E62-99E2-204E2159B2AF}" name="gewünschte Vorlauftemperatur" dataDxfId="428">
      <calculatedColumnFormula>_xlfn.XLOOKUP(Heizflächen!$U$64,Tabelle5[Auswählbare Vor-und Rücklauftemperaturen],Tabelle5[Vorlauf],0,0,1)</calculatedColumnFormula>
    </tableColumn>
    <tableColumn id="6" xr3:uid="{1F22C641-F911-4E77-9CD4-06208C7FF224}" name="gewünschte Rücklauftemperatur" dataDxfId="427">
      <calculatedColumnFormula>_xlfn.XLOOKUP(Heizflächen!$U$64,Tabelle5[Auswählbare Vor-und Rücklauftemperaturen],Tabelle5[Rücklauf],0,0,1)</calculatedColumnFormula>
    </tableColumn>
    <tableColumn id="8" xr3:uid="{335A9EA7-0D07-4B61-ABF9-2BBDF78AF2B5}" name="gewünschte Übertemperatur Δθm1" dataDxfId="426">
      <calculatedColumnFormula>((Tabelle3[[#This Row],[gewünschte Vorlauftemperatur]]-Tabelle3[[#This Row],[gewünschte Rücklauftemperatur]])/LN((Tabelle3[[#This Row],[gewünschte Vorlauftemperatur]]-Tabelle3[[#This Row],[Auslegungsinnentemperatur '[°C']]])/(Tabelle3[[#This Row],[gewünschte Rücklauftemperatur]]-Tabelle3[[#This Row],[Auslegungsinnentemperatur '[°C']]])))</calculatedColumnFormula>
    </tableColumn>
    <tableColumn id="9" xr3:uid="{F43B8DE1-2556-4F81-90C8-59C4D225FF1D}" name="Norm Vorlauftemperatur" dataDxfId="425">
      <calculatedColumnFormula>_xlfn.XLOOKUP($DZ$3,Tabelle6[Systemtemperatur bei Norm-Wärmeleistungsbestimmung],Tabelle6[Vorlauf],0,0,1)</calculatedColumnFormula>
    </tableColumn>
    <tableColumn id="10" xr3:uid="{06D95457-9003-4050-A921-8E6186276DC8}" name="Norm Rücklauftemperatur" dataDxfId="424">
      <calculatedColumnFormula>_xlfn.XLOOKUP($DZ$3,Tabelle6[Systemtemperatur bei Norm-Wärmeleistungsbestimmung],Tabelle6[Rücklauf],0,0,1)</calculatedColumnFormula>
    </tableColumn>
    <tableColumn id="11" xr3:uid="{C16D17AD-BD17-4CCD-8615-AEAF70B3B0D1}" name="Norm Innentemperatur" dataDxfId="423">
      <calculatedColumnFormula>_xlfn.XLOOKUP($DZ$3,Tabelle6[Systemtemperatur bei Norm-Wärmeleistungsbestimmung],Tabelle6[Norm Innentemperatur],0,0,1)</calculatedColumnFormula>
    </tableColumn>
    <tableColumn id="12" xr3:uid="{AE00A450-41DA-49B4-9C80-57601CEF9D79}" name="Norm-Übertemperatur Δθm2" dataDxfId="422">
      <calculatedColumnFormula>((Tabelle3[[#This Row],[Norm Vorlauftemperatur]]-Tabelle3[[#This Row],[Norm Rücklauftemperatur]])/LN((Tabelle3[[#This Row],[Norm Vorlauftemperatur]]-Tabelle3[[#This Row],[Norm Innentemperatur]])/(Tabelle3[[#This Row],[Norm Rücklauftemperatur]]-Tabelle3[[#This Row],[Norm Innentemperatur]])))</calculatedColumnFormula>
    </tableColumn>
    <tableColumn id="13" xr3:uid="{39CA1CF6-E565-4ACB-B330-1DCFF4AF0588}" name="Heizkörperexponent n" dataDxfId="421">
      <calculatedColumnFormula>_xlfn.XLOOKUP(Heizflächen!I12,Tabelle2[Typ],Tabelle2[Heizkörperexponent],0,1,1)</calculatedColumnFormula>
    </tableColumn>
    <tableColumn id="21" xr3:uid="{D69DA7E7-7AB8-4B13-834C-456C398B229C}" name="Heizkörper in Nische?" dataDxfId="420">
      <calculatedColumnFormula>Heizflächen!K12</calculatedColumnFormula>
    </tableColumn>
    <tableColumn id="15" xr3:uid="{339C88ED-FB89-473D-8651-D039D653128F}" name="Abminderungsfaktor" dataDxfId="419">
      <calculatedColumnFormula>IF(Tabelle3[[#This Row],[Heizkörper in Nische?]]="Nein",1,_xlfn.XLOOKUP(Heizflächen!L12, Tabelle8[Höhe über HK],Tabelle8[Abminderungsfaktor],1,0,1))</calculatedColumnFormula>
    </tableColumn>
    <tableColumn id="16" xr3:uid="{1AE28D17-8800-45E4-BED9-BF603730DADB}" name="f = (Δθm1/Δθm2)^n" dataDxfId="418">
      <calculatedColumnFormula>(DW8/EA8)^Tabelle3[[#This Row],[Heizkörperexponent n]]</calculatedColumnFormula>
    </tableColumn>
    <tableColumn id="17" xr3:uid="{945A5999-5B89-431C-967F-C39D36B3208C}" name="Norm Heizleistung QNorm" dataDxfId="417">
      <calculatedColumnFormula array="1">_xlfn.XLOOKUP(Heizflächen!J12&amp;Heizflächen!M12&amp;Heizflächen!N12&amp;Heizflächen!O12&amp;Heizflächen!P12&amp;Heizflächen!Q12,Tabelle4[Typ]&amp;Tabelle4[Breite '[mm']]&amp;Tabelle4[Höhe '[mm']]&amp;Tabelle4[Bauhöhe Radiator '[mm']]&amp;Tabelle4[Nabenabstand Radiator '[mm']]&amp;Tabelle4[Bautiefe Radiator '[mm']],Tabelle4[Wärmeleistung (Radiatoren je Glied) '[W']],,-1,1)</calculatedColumnFormula>
    </tableColumn>
    <tableColumn id="19" xr3:uid="{B887C8DB-8923-4675-96E8-78217AFEFD53}" name="Gliederanzahl" dataDxfId="416">
      <calculatedColumnFormula>Heizflächen!R12</calculatedColumnFormula>
    </tableColumn>
    <tableColumn id="18" xr3:uid="{701C7CD3-0526-42FE-AA81-CD60D5A62A44}" name="Heizleistung des Heizkörpers QBetrieb" dataDxfId="415">
      <calculatedColumnFormula>IF(AND(Tabelle3[[#This Row],[Gliederanzahl]]&gt;0,Heizflächen!J12="Radiator"),Tabelle3[[#This Row],[Norm Heizleistung QNorm]]*Tabelle3[[#This Row],[f = (Δθm1/Δθm2)^n]]*Tabelle3[[#This Row],[Abminderungsfaktor]]*Tabelle3[[#This Row],[Gliederanzahl]],Tabelle3[[#This Row],[Abminderungsfaktor]]*Tabelle3[[#This Row],[f = (Δθm1/Δθm2)^n]]*Tabelle3[[#This Row],[Norm Heizleistung QNorm]])</calculatedColumnFormula>
    </tableColumn>
  </tableColumns>
  <tableStyleInfo name="TableStyleLight2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5821B73-022A-498D-A2D3-BBFAA921F925}" name="Tabelle14" displayName="Tabelle14" ref="EM7:FC57" totalsRowShown="0" headerRowDxfId="414" dataDxfId="413">
  <autoFilter ref="EM7:FC57" xr:uid="{D5821B73-022A-498D-A2D3-BBFAA921F925}"/>
  <tableColumns count="17">
    <tableColumn id="16" xr3:uid="{B19D8155-AA5B-49D7-8506-9B41BC902CA2}" name="Geschoss" dataDxfId="412">
      <calculatedColumnFormula>Heizflächen!C12</calculatedColumnFormula>
    </tableColumn>
    <tableColumn id="17" xr3:uid="{4080A23B-F2D0-4D74-BA35-63CF58D2BAFB}" name="Raum" dataDxfId="411">
      <calculatedColumnFormula>Heizflächen!D12</calculatedColumnFormula>
    </tableColumn>
    <tableColumn id="1" xr3:uid="{5DA95C20-3109-4C0A-AE96-74A75E6D0E39}" name="mT" dataDxfId="410">
      <calculatedColumnFormula>1-(Heizflächen!S12/0.075)</calculatedColumnFormula>
    </tableColumn>
    <tableColumn id="2" xr3:uid="{9BCE9250-ACBF-4689-87C7-72148148203D}" name="mu" dataDxfId="409">
      <calculatedColumnFormula>100*(0.045-Heizflächen!T12)</calculatedColumnFormula>
    </tableColumn>
    <tableColumn id="3" xr3:uid="{AEC4767D-710C-4C82-BE13-486C882976C3}" name="mD" dataDxfId="408">
      <calculatedColumnFormula>250*(Heizflächen!U12-0.02)</calculatedColumnFormula>
    </tableColumn>
    <tableColumn id="4" xr3:uid="{D044225E-FF3D-4C5E-B120-35B4682E3447}" name="aT" dataDxfId="407">
      <calculatedColumnFormula>_xlfn.XLOOKUP(Tabelle14[[#This Row],[Wärmedurchlasswiderstand Bodenbelag]],Tabelle17[Wärmedurchlasswiderstand Rλ,B in '[m²K/W']],Tabelle17[aT],0,-1,1)</calculatedColumnFormula>
    </tableColumn>
    <tableColumn id="5" xr3:uid="{8013A0BE-1E25-4047-88EF-1C037EAD4B21}" name="au" dataDxfId="406">
      <calculatedColumnFormula array="1">_xlfn.XLOOKUP(Heizflächen!S12&amp;Tabelle14[[#This Row],[Wärmedurchlasswiderstand Bodenbelag]],Tabelle18[T]&amp;Tabelle18[Rλ,B in '[m²K/W']],Tabelle18[au],0,-1,1)</calculatedColumnFormula>
    </tableColumn>
    <tableColumn id="6" xr3:uid="{4EDF8F0D-0518-4D26-9EDE-8AB466ECC1A0}" name="aD" dataDxfId="405">
      <calculatedColumnFormula array="1">_xlfn.XLOOKUP(Heizflächen!S12&amp;Tabelle14[[#This Row],[Wärmedurchlasswiderstand Bodenbelag]],Tabelle19[T]&amp;Tabelle19[Rλ,B in '[m²K/W']],Tabelle19[aD],0,-1,1)</calculatedColumnFormula>
    </tableColumn>
    <tableColumn id="7" xr3:uid="{ED6B8C9E-C661-4E84-A798-9B49D12C8C60}" name="gewünschte Vorlauftemperatur" dataDxfId="404">
      <calculatedColumnFormula>_xlfn.XLOOKUP(Heizflächen!$U$64,Tabelle5[Auswählbare Vor-und Rücklauftemperaturen],Tabelle5[Vorlauf],0,0,1)</calculatedColumnFormula>
    </tableColumn>
    <tableColumn id="8" xr3:uid="{FC04148C-73CD-4D5D-A7E4-B3B1F186EC73}" name="gewünschte Rücklauftemperatur" dataDxfId="403">
      <calculatedColumnFormula>_xlfn.XLOOKUP(Heizflächen!$U$64,Tabelle5[Auswählbare Vor-und Rücklauftemperaturen],Tabelle5[Rücklauf],0,0,1)</calculatedColumnFormula>
    </tableColumn>
    <tableColumn id="9" xr3:uid="{439CECF1-9425-4603-B072-FB6AAC474107}" name="gewünschte Übertemperatur Δθm" dataDxfId="402">
      <calculatedColumnFormula>((Tabelle14[[#This Row],[gewünschte Vorlauftemperatur]]-Tabelle14[[#This Row],[gewünschte Rücklauftemperatur]])/LN((Tabelle14[[#This Row],[gewünschte Vorlauftemperatur]]-Heizflächen!G12)/(Tabelle14[[#This Row],[gewünschte Rücklauftemperatur]]-Heizflächen!G12)))</calculatedColumnFormula>
    </tableColumn>
    <tableColumn id="10" xr3:uid="{EE92479A-BE8E-4709-865B-FB815FF94DDE}" name="Wärmedurchlasswiderstand Bodenbelag" dataDxfId="401">
      <calculatedColumnFormula>_xlfn.XLOOKUP(Heizflächen!V12,Tabelle13[Bodenbelagsmaterial],Tabelle13[Wärmedurchlasswiderstand Rλ,B in '[m²K/W']],0,0,1)</calculatedColumnFormula>
    </tableColumn>
    <tableColumn id="11" xr3:uid="{0B987212-B1A0-4007-8140-AAC8F71E8E2D}" name="aB" dataDxfId="400">
      <calculatedColumnFormula>((1/10.8)+(0.045/1))/((1/10.8)+(0.045/1.4)+Tabelle14[[#This Row],[Wärmedurchlasswiderstand Bodenbelag]])</calculatedColumnFormula>
    </tableColumn>
    <tableColumn id="12" xr3:uid="{55723358-459D-47F2-AC85-A5B3B0525F52}" name="B [W/(m²K)]" dataDxfId="399"/>
    <tableColumn id="13" xr3:uid="{9A8702F2-A7B2-4F4B-9A66-4AABA78185AF}" name="q [W/m²]" dataDxfId="398">
      <calculatedColumnFormula>Tabelle14[[#This Row],[B '[W/(m²K)']]]*Tabelle14[[#This Row],[aB]]*(Tabelle14[[#This Row],[aT]]^Tabelle14[[#This Row],[mT]])*(Tabelle14[[#This Row],[au]]^Tabelle14[[#This Row],[mu]])*(Tabelle14[[#This Row],[aD]]^Tabelle14[[#This Row],[mD]])*Tabelle14[[#This Row],[gewünschte Übertemperatur Δθm]]</calculatedColumnFormula>
    </tableColumn>
    <tableColumn id="14" xr3:uid="{46069A71-3938-48C9-A310-5DA796C7D23E}" name="Q [W]" dataDxfId="397">
      <calculatedColumnFormula>IFERROR(Tabelle14[[#This Row],[q '[W/m²']]]*(Heizflächen!E12-Heizflächen!F12),0)</calculatedColumnFormula>
    </tableColumn>
    <tableColumn id="15" xr3:uid="{D2CD6E79-98BB-4A5A-A58B-2BAF21F3B395}" name="Heizkörpernummer" dataDxfId="396">
      <calculatedColumnFormula>Heizflächen!H12</calculatedColumnFormula>
    </tableColumn>
  </tableColumns>
  <tableStyleInfo name="TableStyleLight2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7EB187F-DAC7-41A0-BE14-7D989F1BC8D5}" name="EH_21" displayName="EH_21" ref="I2:I9" totalsRowShown="0" headerRowDxfId="395" dataDxfId="394" tableBorderDxfId="393">
  <autoFilter ref="I2:I9" xr:uid="{27EB187F-DAC7-41A0-BE14-7D989F1BC8D5}"/>
  <tableColumns count="1">
    <tableColumn id="1" xr3:uid="{3550202E-4B62-4697-A0FC-EB7BCBBB9D34}" name="WP" dataDxfId="392"/>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B0AEC4C-B4F7-4205-B920-29DCD8C23F6C}" name="EH_2122" displayName="EH_2122" ref="G2:G9" totalsRowShown="0" headerRowDxfId="391" dataDxfId="390" tableBorderDxfId="389">
  <autoFilter ref="G2:G9" xr:uid="{EB0AEC4C-B4F7-4205-B920-29DCD8C23F6C}"/>
  <tableColumns count="1">
    <tableColumn id="1" xr3:uid="{EE0492AC-659B-413C-8B7E-B196519619DE}" name="EE-Klasse" dataDxfId="388"/>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147F7F6-9EDE-47E2-8FB9-97A43427DAC6}" name="Tabelle22" displayName="Tabelle22" ref="AO6:AQ15" totalsRowShown="0" headerRowDxfId="387" dataDxfId="386">
  <autoFilter ref="AO6:AQ15" xr:uid="{B147F7F6-9EDE-47E2-8FB9-97A43427DAC6}"/>
  <tableColumns count="3">
    <tableColumn id="1" xr3:uid="{A17D6288-EAB2-448D-B7A2-AF47C504E3B2}" name="Energieeffizienzklasse" dataDxfId="385"/>
    <tableColumn id="2" xr3:uid="{8A24C6C9-A0CA-49AD-8195-52FF9D5EFBFF}" name="untere Grenze" dataDxfId="384"/>
    <tableColumn id="3" xr3:uid="{FC4ABCB3-5ED3-4564-AEFA-B9844AD0F44B}" name="obere Grenze" dataDxfId="383"/>
  </tableColumns>
  <tableStyleInfo name="TableStyleLight2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1FCE3DB-6EB6-425A-9E31-61D2F2B0593D}" name="Tabelle33" displayName="Tabelle33" ref="B3:B7" totalsRowShown="0" headerRowDxfId="382" dataDxfId="381">
  <autoFilter ref="B3:B7" xr:uid="{81FCE3DB-6EB6-425A-9E31-61D2F2B0593D}"/>
  <tableColumns count="1">
    <tableColumn id="1" xr3:uid="{449DFB9E-029A-491F-8839-7CA047397E8C}" name="Sanierungslotse" dataDxfId="380"/>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637EEB1-2858-409B-95E8-2B9AAEBA55DD}" name="Tabelle46" displayName="Tabelle46" ref="FX12:FY17" totalsRowShown="0" dataDxfId="379">
  <autoFilter ref="FX12:FY17" xr:uid="{6637EEB1-2858-409B-95E8-2B9AAEBA55DD}"/>
  <tableColumns count="2">
    <tableColumn id="1" xr3:uid="{FF356F79-FC45-47A3-AFC5-D4A7A8B068CE}" name="Bauteil" dataDxfId="378"/>
    <tableColumn id="2" xr3:uid="{034FDC14-5236-436C-BFD2-1E70A7DD043B}" name="GEG" dataDxfId="377"/>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C95889D-3A99-4715-A829-3BA0E69D181E}" name="Tabelle4648" displayName="Tabelle4648" ref="GA12:GB17" totalsRowShown="0" dataDxfId="376">
  <autoFilter ref="GA12:GB17" xr:uid="{1C95889D-3A99-4715-A829-3BA0E69D181E}"/>
  <tableColumns count="2">
    <tableColumn id="1" xr3:uid="{89A9CFA5-AA13-44D7-A914-E8015F6A3E44}" name="Bauteil" dataDxfId="375"/>
    <tableColumn id="2" xr3:uid="{3398AA23-839D-4ADA-9B67-28F4CFA828F6}" name="GEG" dataDxfId="37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FC45D3-9EDF-47CD-AA45-2F187BA5DEE9}" name="Tabelle464850" displayName="Tabelle464850" ref="GD12:GE17" totalsRowShown="0" dataDxfId="373">
  <autoFilter ref="GD12:GE17" xr:uid="{F2FC45D3-9EDF-47CD-AA45-2F187BA5DEE9}"/>
  <tableColumns count="2">
    <tableColumn id="1" xr3:uid="{E3889956-017D-43EE-BE9F-1A349E9FD1B5}" name="Bauteil" dataDxfId="372"/>
    <tableColumn id="2" xr3:uid="{4380096E-9F42-428B-B35B-25E1154CC669}" name="GEG" dataDxfId="371"/>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9FF54327-F0B3-47B0-9AEC-5E2519FD22DF}" name="Tabelle46485052" displayName="Tabelle46485052" ref="GG12:GH17" totalsRowShown="0" dataDxfId="370">
  <autoFilter ref="GG12:GH17" xr:uid="{9FF54327-F0B3-47B0-9AEC-5E2519FD22DF}"/>
  <tableColumns count="2">
    <tableColumn id="1" xr3:uid="{3A6FB8FD-CF90-4F31-A7F4-90BD1A5C17B2}" name="Bauteil" dataDxfId="369"/>
    <tableColumn id="2" xr3:uid="{C9A01776-E29E-4E2E-9840-BE8873E4F65A}" name="GEG" dataDxfId="368"/>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4BAB6F5F-CE50-4CE0-860B-4B962FB46B3F}" name="Tabelle4648505251" displayName="Tabelle4648505251" ref="GM12:GN17" totalsRowShown="0" dataDxfId="367">
  <autoFilter ref="GM12:GN17" xr:uid="{4BAB6F5F-CE50-4CE0-860B-4B962FB46B3F}"/>
  <tableColumns count="2">
    <tableColumn id="1" xr3:uid="{A9213749-2A8B-42FA-864D-57FEE91522CC}" name="Bauteil" dataDxfId="366"/>
    <tableColumn id="2" xr3:uid="{F9F2D10B-28FC-4AF9-94E2-2FF5B10933E5}" name="GEG" dataDxfId="365"/>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4AF84A5-6329-4EA3-9925-84B7093BB8DD}" name="Tabelle4648505254" displayName="Tabelle4648505254" ref="GJ12:GK17" totalsRowShown="0" dataDxfId="364">
  <autoFilter ref="GJ12:GK17" xr:uid="{04AF84A5-6329-4EA3-9925-84B7093BB8DD}"/>
  <tableColumns count="2">
    <tableColumn id="1" xr3:uid="{C3673CAF-A22D-45A4-B7C7-AC23FE503ADC}" name="Bauteil" dataDxfId="363"/>
    <tableColumn id="2" xr3:uid="{05633EC9-DF47-4F0C-A312-A528BF713166}" name="GEG" dataDxfId="362"/>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B99E1DB-AA2A-4AAF-8F21-80C7EF52FD6D}" name="Tabelle3349" displayName="Tabelle3349" ref="B10:B16" totalsRowShown="0" headerRowDxfId="361" dataDxfId="360">
  <autoFilter ref="B10:B16" xr:uid="{DB99E1DB-AA2A-4AAF-8F21-80C7EF52FD6D}"/>
  <tableColumns count="1">
    <tableColumn id="1" xr3:uid="{9BAA1FB0-2113-4296-82F5-26786FBC6ED5}" name="Energieberater" dataDxfId="35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212E14D-467C-4CEC-9BC7-CCBC28F65783}">
  <we:reference id="wa104380955" version="3.16.2.1" store="de-DE" storeType="OMEX"/>
  <we:alternateReferences>
    <we:reference id="WA104380955" version="3.16.2.1" store="WA10438095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drawing" Target="../drawings/drawing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printerSettings" Target="../printerSettings/printerSettings9.bin"/><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31" Type="http://schemas.openxmlformats.org/officeDocument/2006/relationships/table" Target="../tables/table52.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38F02-42B8-403F-B908-08DFEE9E5A9C}">
  <dimension ref="A1:AG170"/>
  <sheetViews>
    <sheetView showGridLines="0" tabSelected="1" topLeftCell="A36" zoomScale="70" zoomScaleNormal="70" zoomScaleSheetLayoutView="85" zoomScalePageLayoutView="85" workbookViewId="0">
      <selection activeCell="G66" sqref="G66"/>
    </sheetView>
  </sheetViews>
  <sheetFormatPr baseColWidth="10" defaultColWidth="11.5546875" defaultRowHeight="16.8"/>
  <cols>
    <col min="1" max="1" width="8" style="10" customWidth="1"/>
    <col min="2" max="2" width="59.33203125" style="10" customWidth="1"/>
    <col min="3" max="3" width="81.33203125" style="10" customWidth="1"/>
    <col min="4" max="4" width="34.33203125" style="10" customWidth="1"/>
    <col min="5" max="5" width="32.44140625" style="10" customWidth="1"/>
    <col min="6" max="6" width="18.33203125" style="10" customWidth="1"/>
    <col min="7" max="7" width="23.44140625" style="10" customWidth="1"/>
    <col min="8" max="8" width="20.6640625" style="10" customWidth="1"/>
    <col min="9" max="10" width="21.44140625" style="10" customWidth="1"/>
    <col min="11" max="11" width="21.33203125" style="10" customWidth="1"/>
    <col min="12" max="12" width="24.5546875" style="10" customWidth="1"/>
    <col min="13" max="13" width="24" style="10" customWidth="1"/>
    <col min="14" max="14" width="22.6640625" style="10" customWidth="1"/>
    <col min="15" max="15" width="19.44140625" style="10" customWidth="1"/>
    <col min="16" max="16" width="22.6640625" style="10" customWidth="1"/>
    <col min="17" max="17" width="20.44140625" style="10" customWidth="1"/>
    <col min="18" max="18" width="21.33203125" style="10" customWidth="1"/>
    <col min="19" max="19" width="20.6640625" style="10" customWidth="1"/>
    <col min="20" max="16384" width="11.5546875" style="10"/>
  </cols>
  <sheetData>
    <row r="1" spans="1:24" ht="24.75" customHeight="1" thickBot="1">
      <c r="B1" s="217"/>
      <c r="K1" s="217"/>
    </row>
    <row r="2" spans="1:24" ht="25.95" customHeight="1" thickTop="1">
      <c r="A2" s="219"/>
      <c r="B2" s="127" t="s">
        <v>0</v>
      </c>
      <c r="C2" s="1370"/>
      <c r="D2" s="1381" t="s">
        <v>1</v>
      </c>
      <c r="E2" s="1382"/>
      <c r="F2" s="1558" t="e">
        <f>_xlfn.TEXTJOIN(" - ",TRUE,C2,RIGHT(C4,LEN(C4)-FIND(", ",C4)-1))</f>
        <v>#VALUE!</v>
      </c>
      <c r="G2" s="1559"/>
      <c r="H2" s="1559"/>
      <c r="I2" s="1559"/>
      <c r="J2" s="1559"/>
      <c r="K2" s="1560"/>
      <c r="L2" s="1556" t="s">
        <v>3</v>
      </c>
      <c r="M2" s="1556"/>
      <c r="N2" s="1556"/>
      <c r="O2" s="1550" t="e" vm="1">
        <v>#VALUE!</v>
      </c>
      <c r="P2" s="1550"/>
      <c r="Q2" s="1551"/>
      <c r="R2" s="220"/>
    </row>
    <row r="3" spans="1:24" ht="18.75" customHeight="1">
      <c r="A3" s="219"/>
      <c r="B3" s="127" t="s">
        <v>4</v>
      </c>
      <c r="C3" s="209"/>
      <c r="D3" s="123"/>
      <c r="E3" s="255"/>
      <c r="F3" s="1561"/>
      <c r="G3" s="1562"/>
      <c r="H3" s="1562"/>
      <c r="I3" s="1562"/>
      <c r="J3" s="1562"/>
      <c r="K3" s="1563"/>
      <c r="L3" s="1557"/>
      <c r="M3" s="1557"/>
      <c r="N3" s="1557"/>
      <c r="O3" s="1552"/>
      <c r="P3" s="1552"/>
      <c r="Q3" s="1553"/>
      <c r="R3" s="220"/>
    </row>
    <row r="4" spans="1:24" ht="16.5" customHeight="1">
      <c r="A4" s="219"/>
      <c r="B4" s="127" t="s">
        <v>5</v>
      </c>
      <c r="C4" s="209"/>
      <c r="D4" s="1380" t="s">
        <v>6</v>
      </c>
      <c r="E4" s="1379"/>
      <c r="F4" s="322"/>
      <c r="G4" s="322"/>
      <c r="H4" s="322"/>
      <c r="I4" s="322"/>
      <c r="J4" s="322"/>
      <c r="K4" s="323"/>
      <c r="L4" s="1557"/>
      <c r="M4" s="1557"/>
      <c r="N4" s="1557"/>
      <c r="O4" s="1552"/>
      <c r="P4" s="1552"/>
      <c r="Q4" s="1553"/>
      <c r="R4" s="220"/>
    </row>
    <row r="5" spans="1:24" ht="21" customHeight="1">
      <c r="A5" s="219"/>
      <c r="B5" s="127" t="s">
        <v>8</v>
      </c>
      <c r="C5" s="209"/>
      <c r="D5" s="123"/>
      <c r="E5" s="123"/>
      <c r="F5" s="1564" t="s">
        <v>9</v>
      </c>
      <c r="G5" s="1565"/>
      <c r="H5" s="1377"/>
      <c r="I5" s="1566" t="s">
        <v>10</v>
      </c>
      <c r="J5" s="1566"/>
      <c r="K5" s="1567"/>
      <c r="L5" s="1557"/>
      <c r="M5" s="1557"/>
      <c r="N5" s="1557"/>
      <c r="O5" s="1552"/>
      <c r="P5" s="1552"/>
      <c r="Q5" s="1553"/>
      <c r="R5" s="220"/>
    </row>
    <row r="6" spans="1:24" ht="21" customHeight="1">
      <c r="A6" s="219"/>
      <c r="B6" s="127" t="s">
        <v>11</v>
      </c>
      <c r="C6" s="209"/>
      <c r="D6" s="1548" t="str">
        <f>IF(AND(C5&lt;&gt;"",C6&lt;&gt;""), HYPERLINK("https://www.google.com/maps/search/"&amp;_xlfn.TEXTBEFORE(C6," ")&amp;"+"&amp;_xlfn.TEXTAFTER(C6," ")&amp;"+"&amp;C5, "Projekt in Maps anzeigen"), "")</f>
        <v/>
      </c>
      <c r="E6" s="1549"/>
      <c r="F6" s="127"/>
      <c r="G6" s="123"/>
      <c r="H6" s="322"/>
      <c r="I6" s="208"/>
      <c r="J6" s="121"/>
      <c r="K6" s="1378"/>
      <c r="L6" s="1557"/>
      <c r="M6" s="1557"/>
      <c r="N6" s="1557"/>
      <c r="O6" s="1552"/>
      <c r="P6" s="1552"/>
      <c r="Q6" s="1553"/>
      <c r="R6" s="220"/>
    </row>
    <row r="7" spans="1:24" ht="18.600000000000001" customHeight="1">
      <c r="A7" s="219"/>
      <c r="B7" s="127" t="s">
        <v>12</v>
      </c>
      <c r="C7" s="209"/>
      <c r="D7" s="123"/>
      <c r="E7" s="255"/>
      <c r="F7" s="1565" t="s">
        <v>13</v>
      </c>
      <c r="G7" s="1565"/>
      <c r="H7" s="1377"/>
      <c r="I7" s="1568">
        <f>J104</f>
        <v>0</v>
      </c>
      <c r="J7" s="1568"/>
      <c r="K7" s="1569"/>
      <c r="L7" s="1557"/>
      <c r="M7" s="1557"/>
      <c r="N7" s="1557"/>
      <c r="O7" s="1552"/>
      <c r="P7" s="1552"/>
      <c r="Q7" s="1553"/>
      <c r="R7" s="220"/>
    </row>
    <row r="8" spans="1:24" ht="24" customHeight="1" thickBot="1">
      <c r="A8" s="219"/>
      <c r="B8" s="127" t="s">
        <v>14</v>
      </c>
      <c r="C8" s="199"/>
      <c r="D8" s="1385" t="s">
        <v>15</v>
      </c>
      <c r="E8" s="1384"/>
      <c r="F8" s="204"/>
      <c r="G8" s="266"/>
      <c r="H8" s="266"/>
      <c r="I8" s="205"/>
      <c r="J8" s="205"/>
      <c r="K8" s="213"/>
      <c r="L8" s="1557"/>
      <c r="M8" s="1557"/>
      <c r="N8" s="1557"/>
      <c r="O8" s="1554"/>
      <c r="P8" s="1554"/>
      <c r="Q8" s="1555"/>
      <c r="R8" s="220"/>
    </row>
    <row r="9" spans="1:24" ht="17.399999999999999" thickTop="1">
      <c r="A9" s="219"/>
      <c r="B9" s="1133" t="s">
        <v>16</v>
      </c>
      <c r="C9" s="1133" t="s">
        <v>17</v>
      </c>
      <c r="D9" s="1133" t="s">
        <v>18</v>
      </c>
      <c r="E9" s="175"/>
      <c r="F9" s="181"/>
      <c r="G9" s="181"/>
      <c r="H9" s="181"/>
      <c r="I9" s="181"/>
      <c r="J9" s="181"/>
      <c r="K9" s="181"/>
      <c r="L9" s="181"/>
      <c r="M9" s="181"/>
      <c r="N9" s="175"/>
      <c r="O9" s="249"/>
      <c r="Q9" s="219"/>
      <c r="R9" s="238"/>
      <c r="S9" s="238"/>
      <c r="T9" s="238"/>
      <c r="U9" s="238"/>
      <c r="V9" s="238"/>
      <c r="W9" s="238"/>
      <c r="X9" s="238"/>
    </row>
    <row r="10" spans="1:24" ht="27.75" customHeight="1">
      <c r="A10" s="219"/>
      <c r="B10" s="325"/>
      <c r="C10" s="326"/>
      <c r="D10" s="327"/>
      <c r="E10" s="1285" t="s">
        <v>19</v>
      </c>
      <c r="F10" s="1153" t="s">
        <v>20</v>
      </c>
      <c r="G10" s="1154" t="s">
        <v>21</v>
      </c>
      <c r="H10" s="1155" t="s">
        <v>22</v>
      </c>
      <c r="I10" s="1156"/>
      <c r="J10" s="1157"/>
      <c r="K10" s="1157"/>
      <c r="L10" s="303"/>
      <c r="M10" s="1157"/>
      <c r="N10" s="1157"/>
      <c r="O10" s="1157"/>
      <c r="P10" s="1157"/>
      <c r="Q10" s="1158"/>
      <c r="R10" s="238"/>
      <c r="S10" s="238"/>
    </row>
    <row r="11" spans="1:24" ht="31.5" customHeight="1">
      <c r="A11" s="219"/>
      <c r="B11" s="267" t="s">
        <v>23</v>
      </c>
      <c r="C11" s="19"/>
      <c r="D11" s="19"/>
      <c r="F11" s="249"/>
      <c r="N11" s="249"/>
      <c r="O11" s="249"/>
      <c r="P11" s="249"/>
      <c r="Q11" s="250"/>
      <c r="R11" s="238"/>
      <c r="S11" s="238"/>
    </row>
    <row r="12" spans="1:24">
      <c r="A12" s="219"/>
      <c r="B12" s="286" t="s">
        <v>24</v>
      </c>
      <c r="C12" s="223"/>
      <c r="D12" s="223"/>
      <c r="E12" s="287"/>
      <c r="F12" s="286" t="s">
        <v>25</v>
      </c>
      <c r="G12" s="328"/>
      <c r="H12" s="328"/>
      <c r="I12" s="329"/>
      <c r="J12" s="286" t="s">
        <v>26</v>
      </c>
      <c r="K12" s="286"/>
      <c r="L12" s="328"/>
      <c r="M12" s="328"/>
      <c r="N12" s="328"/>
      <c r="O12" s="328"/>
      <c r="P12" s="328"/>
      <c r="Q12" s="330"/>
      <c r="R12" s="238"/>
      <c r="S12" s="238"/>
    </row>
    <row r="13" spans="1:24" ht="21.75" customHeight="1">
      <c r="A13" s="219"/>
      <c r="B13" s="127" t="s">
        <v>27</v>
      </c>
      <c r="C13" s="18"/>
      <c r="D13" s="127" t="s">
        <v>28</v>
      </c>
      <c r="E13" s="187"/>
      <c r="F13" s="18" t="s">
        <v>29</v>
      </c>
      <c r="G13" s="18" t="s">
        <v>30</v>
      </c>
      <c r="H13" s="18" t="s">
        <v>31</v>
      </c>
      <c r="I13" s="305" t="s">
        <v>32</v>
      </c>
      <c r="J13" s="376" t="s">
        <v>33</v>
      </c>
      <c r="K13" s="376"/>
      <c r="L13" s="18"/>
      <c r="M13" s="17"/>
      <c r="N13" s="17"/>
      <c r="O13" s="127"/>
      <c r="P13" s="127"/>
      <c r="Q13" s="331"/>
      <c r="R13" s="238"/>
      <c r="S13" s="238"/>
    </row>
    <row r="14" spans="1:24" ht="16.5" customHeight="1">
      <c r="A14" s="219"/>
      <c r="B14" s="127" t="s">
        <v>34</v>
      </c>
      <c r="C14" s="18"/>
      <c r="D14" s="127" t="s">
        <v>35</v>
      </c>
      <c r="E14" s="187"/>
      <c r="F14" s="18"/>
      <c r="G14" s="232"/>
      <c r="H14" s="232"/>
      <c r="I14" s="232"/>
      <c r="J14" s="1037" t="s">
        <v>36</v>
      </c>
      <c r="K14" s="127"/>
      <c r="L14" s="244"/>
      <c r="M14" s="17" t="s">
        <v>37</v>
      </c>
      <c r="N14" s="127"/>
      <c r="O14" s="333"/>
      <c r="P14" s="333"/>
      <c r="Q14" s="334"/>
      <c r="R14" s="238"/>
      <c r="S14" s="238"/>
    </row>
    <row r="15" spans="1:24" ht="17.25" customHeight="1">
      <c r="A15" s="219"/>
      <c r="B15" s="127" t="s">
        <v>38</v>
      </c>
      <c r="C15" s="18"/>
      <c r="D15" s="127" t="s">
        <v>39</v>
      </c>
      <c r="E15" s="187"/>
      <c r="F15" s="18"/>
      <c r="G15" s="232"/>
      <c r="H15" s="232"/>
      <c r="I15" s="332"/>
      <c r="J15" s="344" t="s">
        <v>40</v>
      </c>
      <c r="K15" s="344"/>
      <c r="L15" s="127"/>
      <c r="M15" s="17"/>
      <c r="N15" s="17"/>
      <c r="O15" s="127"/>
      <c r="P15" s="127"/>
      <c r="Q15" s="331"/>
      <c r="R15" s="238"/>
      <c r="S15" s="238"/>
    </row>
    <row r="16" spans="1:24" ht="20.25" customHeight="1">
      <c r="A16" s="219"/>
      <c r="B16" s="127" t="s">
        <v>41</v>
      </c>
      <c r="C16" s="18"/>
      <c r="D16" s="1466" t="s">
        <v>42</v>
      </c>
      <c r="E16" s="1467"/>
      <c r="F16" s="18"/>
      <c r="G16" s="232"/>
      <c r="H16" s="232"/>
      <c r="I16" s="332"/>
      <c r="J16" s="127" t="s">
        <v>43</v>
      </c>
      <c r="K16" s="127"/>
      <c r="L16" s="18"/>
      <c r="M16" s="17" t="s">
        <v>44</v>
      </c>
      <c r="N16" s="127"/>
      <c r="O16" s="18"/>
      <c r="P16" s="18"/>
      <c r="Q16" s="233"/>
      <c r="R16" s="238"/>
      <c r="S16" s="238"/>
    </row>
    <row r="17" spans="1:24">
      <c r="A17" s="219"/>
      <c r="B17" s="127" t="s">
        <v>45</v>
      </c>
      <c r="C17" s="18"/>
      <c r="D17" s="1466"/>
      <c r="E17" s="1467"/>
      <c r="F17" s="18"/>
      <c r="G17" s="232"/>
      <c r="H17" s="232"/>
      <c r="I17" s="332"/>
      <c r="J17" s="127" t="str">
        <f>_xlfn.TEXTJOIN(,,"Vebrauch Heizung [",O16,"/Jahr]:")</f>
        <v>Vebrauch Heizung [/Jahr]:</v>
      </c>
      <c r="K17" s="127"/>
      <c r="L17" s="244"/>
      <c r="M17" s="17" t="str">
        <f>_xlfn.TEXTJOIN(,,"Kosten Heizung [€/",O16,"]:")</f>
        <v>Kosten Heizung [€/]:</v>
      </c>
      <c r="N17" s="127"/>
      <c r="O17" s="333"/>
      <c r="P17" s="333"/>
      <c r="Q17" s="334"/>
      <c r="R17" s="238"/>
      <c r="S17" s="238"/>
      <c r="T17" s="230"/>
      <c r="U17" s="230"/>
      <c r="V17" s="230"/>
      <c r="W17" s="238"/>
      <c r="X17" s="238"/>
    </row>
    <row r="18" spans="1:24">
      <c r="A18" s="219"/>
      <c r="B18" s="234" t="s">
        <v>46</v>
      </c>
      <c r="C18" s="18"/>
      <c r="D18" s="1466"/>
      <c r="E18" s="1467"/>
      <c r="F18" s="18"/>
      <c r="G18" s="232"/>
      <c r="H18" s="232"/>
      <c r="I18" s="332"/>
      <c r="J18" s="123"/>
      <c r="K18" s="123"/>
      <c r="L18" s="123"/>
      <c r="M18" s="17"/>
      <c r="N18" s="127"/>
      <c r="O18" s="333"/>
      <c r="P18" s="333"/>
      <c r="Q18" s="334"/>
      <c r="R18" s="238"/>
      <c r="S18" s="238"/>
      <c r="T18" s="230"/>
      <c r="U18" s="230"/>
      <c r="V18" s="230"/>
      <c r="W18" s="238"/>
      <c r="X18" s="238"/>
    </row>
    <row r="19" spans="1:24">
      <c r="A19" s="219"/>
      <c r="B19" s="127" t="s">
        <v>47</v>
      </c>
      <c r="C19" s="657"/>
      <c r="D19" s="363" t="s">
        <v>48</v>
      </c>
      <c r="E19" s="299"/>
      <c r="F19" s="18"/>
      <c r="G19" s="232"/>
      <c r="H19" s="232"/>
      <c r="I19" s="332"/>
      <c r="J19" s="17" t="str">
        <f>_xlfn.TEXTJOIN(,,"Heizwert [kWh/",O16,"]:")</f>
        <v>Heizwert [kWh/]:</v>
      </c>
      <c r="K19" s="17"/>
      <c r="L19" s="658" cm="1">
        <f t="array" ref="L19">_xlfn.XLOOKUP(L16&amp;O16,Heizung[Heizmedium]&amp;Heizung[Einheit],Heizung[Heizwert '[kWh/Einheit']])</f>
        <v>0</v>
      </c>
      <c r="M19" s="17" t="s">
        <v>49</v>
      </c>
      <c r="N19" s="127"/>
      <c r="O19" s="657" cm="1">
        <f t="array" ref="O19">_xlfn.XLOOKUP(Allgemein!L16&amp;Allgemein!O16,Heizung[Heizmedium]&amp;Heizung[Einheit],Heizung[CO2 Emmisionen '[g/kWh']],"",0,1)</f>
        <v>0</v>
      </c>
      <c r="P19" s="333"/>
      <c r="Q19" s="334"/>
      <c r="R19" s="238"/>
      <c r="S19" s="238"/>
      <c r="T19" s="230"/>
      <c r="U19" s="230"/>
      <c r="V19" s="230"/>
      <c r="W19" s="238"/>
      <c r="X19" s="238"/>
    </row>
    <row r="20" spans="1:24">
      <c r="A20" s="219"/>
      <c r="B20" s="344" t="s">
        <v>50</v>
      </c>
      <c r="C20" s="18"/>
      <c r="D20" s="123" t="s">
        <v>51</v>
      </c>
      <c r="E20" s="299"/>
      <c r="F20" s="18"/>
      <c r="G20" s="232"/>
      <c r="H20" s="232"/>
      <c r="I20" s="332"/>
      <c r="J20" s="17" t="s">
        <v>52</v>
      </c>
      <c r="K20" s="17"/>
      <c r="L20" s="244"/>
      <c r="M20" s="17" t="s">
        <v>52</v>
      </c>
      <c r="N20" s="127"/>
      <c r="O20" s="333"/>
      <c r="P20" s="333"/>
      <c r="Q20" s="334"/>
      <c r="R20" s="238"/>
      <c r="S20" s="238"/>
      <c r="T20" s="230"/>
      <c r="U20" s="230"/>
      <c r="V20" s="230"/>
      <c r="W20" s="238"/>
      <c r="X20" s="238"/>
    </row>
    <row r="21" spans="1:24">
      <c r="A21" s="219"/>
      <c r="B21" s="127" t="s">
        <v>53</v>
      </c>
      <c r="C21" s="18"/>
      <c r="D21" s="454" t="s">
        <v>54</v>
      </c>
      <c r="E21" s="453"/>
      <c r="F21" s="18"/>
      <c r="G21" s="232"/>
      <c r="H21" s="232"/>
      <c r="I21" s="332"/>
      <c r="J21" s="17"/>
      <c r="K21" s="17"/>
      <c r="L21" s="244"/>
      <c r="M21" s="17"/>
      <c r="N21" s="127"/>
      <c r="O21" s="333"/>
      <c r="P21" s="333"/>
      <c r="Q21" s="334"/>
      <c r="R21" s="238"/>
      <c r="S21" s="238"/>
      <c r="T21" s="230"/>
      <c r="U21" s="230"/>
      <c r="V21" s="230"/>
      <c r="W21" s="238"/>
      <c r="X21" s="238"/>
    </row>
    <row r="22" spans="1:24">
      <c r="A22" s="219"/>
      <c r="B22" s="127" t="s">
        <v>55</v>
      </c>
      <c r="C22" s="18"/>
      <c r="D22" s="1466"/>
      <c r="E22" s="1467"/>
      <c r="F22" s="18"/>
      <c r="G22" s="232"/>
      <c r="H22" s="232"/>
      <c r="I22" s="332"/>
      <c r="J22" s="17"/>
      <c r="K22" s="17"/>
      <c r="L22" s="244"/>
      <c r="M22" s="17"/>
      <c r="N22" s="127"/>
      <c r="O22" s="333"/>
      <c r="P22" s="333"/>
      <c r="Q22" s="334"/>
      <c r="R22" s="238"/>
      <c r="S22" s="238"/>
      <c r="T22" s="230"/>
      <c r="U22" s="230"/>
      <c r="V22" s="230"/>
      <c r="W22" s="238"/>
      <c r="X22" s="238"/>
    </row>
    <row r="23" spans="1:24">
      <c r="A23" s="219"/>
      <c r="B23" s="123" t="s">
        <v>56</v>
      </c>
      <c r="C23" s="364"/>
      <c r="D23" s="1468"/>
      <c r="E23" s="1469"/>
      <c r="F23" s="259"/>
      <c r="G23" s="390"/>
      <c r="H23" s="390"/>
      <c r="I23" s="335"/>
      <c r="J23" s="110"/>
      <c r="K23" s="110"/>
      <c r="L23" s="110"/>
      <c r="M23" s="110"/>
      <c r="N23" s="512"/>
      <c r="O23" s="110"/>
      <c r="P23" s="110"/>
      <c r="Q23" s="242"/>
      <c r="R23" s="238"/>
      <c r="S23" s="238"/>
      <c r="T23" s="230"/>
      <c r="U23" s="230"/>
      <c r="V23" s="230"/>
      <c r="W23" s="238"/>
      <c r="X23" s="238"/>
    </row>
    <row r="24" spans="1:24" ht="36.75" customHeight="1">
      <c r="A24" s="219"/>
      <c r="B24" s="408" t="s">
        <v>57</v>
      </c>
      <c r="C24" s="389"/>
      <c r="D24" s="19"/>
      <c r="N24" s="249"/>
      <c r="O24" s="249"/>
      <c r="P24" s="249"/>
      <c r="Q24" s="250"/>
      <c r="R24" s="238"/>
      <c r="S24" s="238"/>
      <c r="T24" s="230"/>
      <c r="U24" s="230"/>
      <c r="V24" s="230"/>
      <c r="W24" s="238"/>
      <c r="X24" s="238"/>
    </row>
    <row r="25" spans="1:24">
      <c r="A25" s="219"/>
      <c r="B25" s="251" t="s">
        <v>58</v>
      </c>
      <c r="C25" s="225"/>
      <c r="D25" s="1367" t="s">
        <v>59</v>
      </c>
      <c r="E25" s="1366" t="s">
        <v>60</v>
      </c>
      <c r="F25" s="1365" t="s">
        <v>61</v>
      </c>
      <c r="G25" s="415" t="s">
        <v>62</v>
      </c>
      <c r="H25" s="1260"/>
      <c r="I25" s="665" t="s">
        <v>63</v>
      </c>
      <c r="J25" s="251" t="s">
        <v>64</v>
      </c>
      <c r="K25" s="251"/>
      <c r="L25" s="665" t="s">
        <v>65</v>
      </c>
      <c r="M25" s="251"/>
      <c r="N25" s="1291"/>
      <c r="O25" s="251" t="s">
        <v>66</v>
      </c>
      <c r="P25" s="251"/>
      <c r="Q25" s="251"/>
      <c r="R25" s="298"/>
    </row>
    <row r="26" spans="1:24" ht="18.75" customHeight="1">
      <c r="A26" s="219"/>
      <c r="B26" s="123" t="s">
        <v>67</v>
      </c>
      <c r="C26" s="187"/>
      <c r="D26" s="1356" t="s">
        <v>68</v>
      </c>
      <c r="E26" s="1357"/>
      <c r="F26" s="1360"/>
      <c r="G26" s="1361"/>
      <c r="H26" s="1361"/>
      <c r="I26" s="880">
        <f>_xlfn.XLOOKUP(J26,'Datenbank-Preise'!B140:B149,'Datenbank-Preise'!C140:C149,0,0,1)*Dach!E11</f>
        <v>0</v>
      </c>
      <c r="J26" s="1488" t="s">
        <v>68</v>
      </c>
      <c r="K26" s="1489"/>
      <c r="L26" s="1473"/>
      <c r="M26" s="1474"/>
      <c r="N26" s="1482"/>
      <c r="O26" s="1473"/>
      <c r="P26" s="1474"/>
      <c r="Q26" s="1475"/>
    </row>
    <row r="27" spans="1:24" ht="21" customHeight="1">
      <c r="A27" s="219"/>
      <c r="B27" s="123" t="s">
        <v>70</v>
      </c>
      <c r="C27" s="187"/>
      <c r="D27" s="1355" t="s">
        <v>68</v>
      </c>
      <c r="E27" s="1358"/>
      <c r="F27" s="1359"/>
      <c r="G27" s="1361"/>
      <c r="H27" s="1361"/>
      <c r="I27" s="881">
        <f>_xlfn.XLOOKUP(J27,'Datenbank-Preise'!E140:E148,'Datenbank-Preise'!F140:F148,0,0,1)*Fassade!$P$523</f>
        <v>0</v>
      </c>
      <c r="J27" s="1458" t="s">
        <v>68</v>
      </c>
      <c r="K27" s="1459"/>
      <c r="L27" s="1476"/>
      <c r="M27" s="1477"/>
      <c r="N27" s="1483"/>
      <c r="O27" s="1476"/>
      <c r="P27" s="1477"/>
      <c r="Q27" s="1478"/>
    </row>
    <row r="28" spans="1:24" ht="20.25" customHeight="1">
      <c r="A28" s="219"/>
      <c r="B28" s="123" t="s">
        <v>72</v>
      </c>
      <c r="C28" s="187"/>
      <c r="D28" s="1355" t="s">
        <v>68</v>
      </c>
      <c r="E28" s="1358"/>
      <c r="F28" s="1359"/>
      <c r="G28" s="1361"/>
      <c r="H28" s="1361"/>
      <c r="I28" s="881">
        <f>_xlfn.XLOOKUP(J28,'Datenbank-Preise'!H140:H148,'Datenbank-Preise'!I140:I148,0,0,1)*Fenster!J12+IF(AND(Fenster!J15&gt;=1,J28&lt;&gt;"-",J28&lt;&gt;""),Fenster!J15*'Datenbank-Preise'!O140,0)</f>
        <v>0</v>
      </c>
      <c r="J28" s="1458" t="s">
        <v>68</v>
      </c>
      <c r="K28" s="1459"/>
      <c r="L28" s="1476"/>
      <c r="M28" s="1477"/>
      <c r="N28" s="1483"/>
      <c r="O28" s="1476"/>
      <c r="P28" s="1477"/>
      <c r="Q28" s="1478"/>
    </row>
    <row r="29" spans="1:24" ht="20.25" customHeight="1">
      <c r="A29" s="219"/>
      <c r="B29" s="123" t="s">
        <v>73</v>
      </c>
      <c r="C29" s="187"/>
      <c r="D29" s="1355" t="s">
        <v>68</v>
      </c>
      <c r="E29" s="1358"/>
      <c r="F29" s="1359"/>
      <c r="G29" s="1361"/>
      <c r="H29" s="1361"/>
      <c r="I29" s="881">
        <v>0</v>
      </c>
      <c r="J29" s="1458" t="s">
        <v>68</v>
      </c>
      <c r="K29" s="1459"/>
      <c r="L29" s="1476"/>
      <c r="M29" s="1477"/>
      <c r="N29" s="1483"/>
      <c r="O29" s="1476"/>
      <c r="P29" s="1477"/>
      <c r="Q29" s="1478"/>
    </row>
    <row r="30" spans="1:24" ht="19.5" customHeight="1">
      <c r="A30" s="219"/>
      <c r="B30" s="123" t="s">
        <v>74</v>
      </c>
      <c r="C30" s="187"/>
      <c r="D30" s="1355" t="s">
        <v>68</v>
      </c>
      <c r="E30" s="1358"/>
      <c r="F30" s="1359"/>
      <c r="G30" s="1361"/>
      <c r="H30" s="1361"/>
      <c r="I30" s="932">
        <f>_xlfn.XLOOKUP(Allgemein!J30,'Datenbank-Preise'!Q140:Q142,'Datenbank-Preise'!R140:R142,0,0,1)*'Boden u. Keller'!E14+_xlfn.XLOOKUP(Allgemein!J30,'Datenbank-Preise'!Q140:Q142,'Datenbank-Preise'!S140:S142,0,0,1)*'Boden u. Keller'!E15</f>
        <v>0</v>
      </c>
      <c r="J30" s="1458" t="s">
        <v>68</v>
      </c>
      <c r="K30" s="1459"/>
      <c r="L30" s="1476"/>
      <c r="M30" s="1477"/>
      <c r="N30" s="1483"/>
      <c r="O30" s="1476"/>
      <c r="P30" s="1477"/>
      <c r="Q30" s="1478"/>
    </row>
    <row r="31" spans="1:24" ht="18.75" customHeight="1">
      <c r="A31" s="219"/>
      <c r="B31" s="123" t="s">
        <v>76</v>
      </c>
      <c r="C31" s="187"/>
      <c r="D31" s="1355" t="s">
        <v>68</v>
      </c>
      <c r="E31" s="1290"/>
      <c r="F31" s="255"/>
      <c r="G31" s="1353"/>
      <c r="H31" s="1353"/>
      <c r="I31" s="881">
        <f>_xlfn.XLOOKUP(J31,'Datenbank-Preise'!K140:K148,'Datenbank-Preise'!L140:L148,0,0,1)</f>
        <v>0</v>
      </c>
      <c r="J31" s="1458" t="s">
        <v>68</v>
      </c>
      <c r="K31" s="1459"/>
      <c r="L31" s="1476"/>
      <c r="M31" s="1477"/>
      <c r="N31" s="1483"/>
      <c r="O31" s="1476"/>
      <c r="P31" s="1477"/>
      <c r="Q31" s="1478"/>
    </row>
    <row r="32" spans="1:24" ht="17.25" customHeight="1">
      <c r="A32" s="219"/>
      <c r="B32" s="123" t="s">
        <v>78</v>
      </c>
      <c r="C32" s="187"/>
      <c r="D32" s="694"/>
      <c r="E32" s="1290"/>
      <c r="F32" s="255"/>
      <c r="G32" s="1353"/>
      <c r="H32" s="1353"/>
      <c r="I32" s="1471">
        <f>SUM(I26:I31)</f>
        <v>0</v>
      </c>
      <c r="J32" s="1460" t="s">
        <v>79</v>
      </c>
      <c r="K32" s="1461"/>
      <c r="L32" s="1476"/>
      <c r="M32" s="1477"/>
      <c r="N32" s="1483"/>
      <c r="O32" s="1476"/>
      <c r="P32" s="1477"/>
      <c r="Q32" s="1478"/>
    </row>
    <row r="33" spans="1:33" ht="17.25" customHeight="1">
      <c r="A33" s="219"/>
      <c r="B33" s="123" t="s">
        <v>80</v>
      </c>
      <c r="C33" s="259"/>
      <c r="D33" s="1289"/>
      <c r="E33" s="500"/>
      <c r="F33" s="110"/>
      <c r="G33" s="1368"/>
      <c r="H33" s="1369"/>
      <c r="I33" s="1472"/>
      <c r="J33" s="1462"/>
      <c r="K33" s="1463"/>
      <c r="L33" s="1479"/>
      <c r="M33" s="1480"/>
      <c r="N33" s="1484"/>
      <c r="O33" s="1479"/>
      <c r="P33" s="1480"/>
      <c r="Q33" s="1481"/>
      <c r="R33" s="1126"/>
    </row>
    <row r="34" spans="1:33" ht="19.5" customHeight="1">
      <c r="A34" s="219"/>
      <c r="B34" s="1282" t="s">
        <v>81</v>
      </c>
      <c r="C34" s="251" t="s">
        <v>82</v>
      </c>
      <c r="D34" s="665" t="s">
        <v>83</v>
      </c>
      <c r="E34" s="1260"/>
      <c r="F34" s="1260"/>
      <c r="G34" s="665" t="s">
        <v>84</v>
      </c>
      <c r="H34" s="1261"/>
      <c r="I34" s="1261"/>
      <c r="J34" s="1286"/>
      <c r="K34" s="1287" t="s">
        <v>85</v>
      </c>
      <c r="L34" s="1261"/>
      <c r="M34" s="1261"/>
      <c r="N34" s="1261"/>
      <c r="O34" s="1261"/>
      <c r="P34" s="1261"/>
      <c r="Q34" s="1288"/>
      <c r="R34" s="1126"/>
      <c r="S34" s="1126"/>
    </row>
    <row r="35" spans="1:33" ht="220.2" customHeight="1">
      <c r="A35" s="219"/>
      <c r="B35" s="1283"/>
      <c r="C35" s="1284"/>
      <c r="D35" s="1480"/>
      <c r="E35" s="1480"/>
      <c r="F35" s="1480"/>
      <c r="G35" s="1485"/>
      <c r="H35" s="1486"/>
      <c r="I35" s="1486"/>
      <c r="J35" s="1487"/>
      <c r="K35" s="1485"/>
      <c r="L35" s="1486"/>
      <c r="M35" s="1486"/>
      <c r="N35" s="1486"/>
      <c r="O35" s="1486"/>
      <c r="P35" s="1486"/>
      <c r="Q35" s="1504"/>
      <c r="R35" s="1126"/>
      <c r="S35" s="1126"/>
      <c r="AB35" s="368"/>
      <c r="AC35" s="220"/>
      <c r="AD35" s="220"/>
      <c r="AE35" s="220"/>
      <c r="AF35" s="220"/>
      <c r="AG35" s="220"/>
    </row>
    <row r="36" spans="1:33" ht="30" customHeight="1">
      <c r="A36" s="219"/>
      <c r="B36" s="408" t="s">
        <v>86</v>
      </c>
      <c r="D36" s="220"/>
      <c r="N36" s="249"/>
      <c r="O36" s="249"/>
      <c r="P36" s="249"/>
      <c r="Q36" s="336"/>
      <c r="AB36" s="1364"/>
      <c r="AC36" s="1364"/>
      <c r="AD36" s="1364"/>
      <c r="AE36" s="1364"/>
      <c r="AF36" s="1364"/>
      <c r="AG36" s="1364"/>
    </row>
    <row r="37" spans="1:33" ht="15.75" customHeight="1">
      <c r="A37" s="219"/>
      <c r="B37" s="1490" t="s">
        <v>87</v>
      </c>
      <c r="C37" s="1490"/>
      <c r="D37" s="438" t="s">
        <v>88</v>
      </c>
      <c r="E37" s="438" t="s">
        <v>88</v>
      </c>
      <c r="F37" s="438" t="s">
        <v>88</v>
      </c>
      <c r="G37" s="438" t="s">
        <v>88</v>
      </c>
      <c r="H37" s="437" t="s">
        <v>88</v>
      </c>
      <c r="I37" s="438" t="s">
        <v>88</v>
      </c>
      <c r="J37" s="437" t="s">
        <v>88</v>
      </c>
      <c r="K37" s="437" t="s">
        <v>88</v>
      </c>
      <c r="L37" s="437" t="s">
        <v>88</v>
      </c>
      <c r="M37" s="437" t="s">
        <v>88</v>
      </c>
      <c r="N37" s="438" t="s">
        <v>88</v>
      </c>
      <c r="O37" s="438" t="s">
        <v>88</v>
      </c>
      <c r="P37" s="438" t="s">
        <v>88</v>
      </c>
      <c r="Q37" s="439" t="s">
        <v>88</v>
      </c>
      <c r="AB37" s="1364"/>
      <c r="AC37" s="1364"/>
      <c r="AD37" s="1364"/>
      <c r="AE37" s="1364"/>
      <c r="AF37" s="1364"/>
      <c r="AG37" s="1364"/>
    </row>
    <row r="38" spans="1:33" s="220" customFormat="1" ht="25.2" customHeight="1">
      <c r="A38" s="392"/>
      <c r="B38" s="463" t="s">
        <v>89</v>
      </c>
      <c r="C38" s="623"/>
      <c r="D38" s="465" t="s">
        <v>90</v>
      </c>
      <c r="E38" s="1499" t="s">
        <v>91</v>
      </c>
      <c r="F38" s="1500"/>
      <c r="G38" s="623"/>
      <c r="H38" s="190" t="s">
        <v>90</v>
      </c>
      <c r="I38" s="1498" t="s">
        <v>92</v>
      </c>
      <c r="J38" s="1498"/>
      <c r="K38" s="461" t="e">
        <f>G40*C40</f>
        <v>#DIV/0!</v>
      </c>
      <c r="L38" s="465" t="s">
        <v>93</v>
      </c>
      <c r="M38" s="1503" t="s">
        <v>36</v>
      </c>
      <c r="N38" s="1503"/>
      <c r="O38" s="132">
        <f>L14</f>
        <v>0</v>
      </c>
      <c r="P38" s="17" t="s">
        <v>93</v>
      </c>
      <c r="Q38" s="466"/>
      <c r="AB38" s="1364"/>
      <c r="AC38" s="1364"/>
      <c r="AD38" s="1364"/>
      <c r="AE38" s="1364"/>
      <c r="AF38" s="1364"/>
      <c r="AG38" s="1364"/>
    </row>
    <row r="39" spans="1:33" s="220" customFormat="1" ht="25.5" customHeight="1">
      <c r="A39" s="392"/>
      <c r="B39" s="1253" t="s">
        <v>94</v>
      </c>
      <c r="C39" s="624"/>
      <c r="D39" s="190" t="s">
        <v>90</v>
      </c>
      <c r="E39" s="1498" t="s">
        <v>95</v>
      </c>
      <c r="F39" s="1498"/>
      <c r="G39" s="460" t="e">
        <f>L19*L17/C40</f>
        <v>#DIV/0!</v>
      </c>
      <c r="H39" s="190" t="s">
        <v>90</v>
      </c>
      <c r="I39" s="1498" t="s">
        <v>96</v>
      </c>
      <c r="J39" s="1498"/>
      <c r="K39" s="462" t="e">
        <f>O17/L19</f>
        <v>#DIV/0!</v>
      </c>
      <c r="L39" s="190" t="s">
        <v>97</v>
      </c>
      <c r="M39" s="1503" t="s">
        <v>37</v>
      </c>
      <c r="N39" s="1503"/>
      <c r="O39" s="464">
        <f>O14</f>
        <v>0</v>
      </c>
      <c r="P39" s="17" t="s">
        <v>97</v>
      </c>
      <c r="Q39" s="466"/>
      <c r="AB39" s="1364"/>
      <c r="AC39" s="1364"/>
      <c r="AD39" s="1364"/>
      <c r="AE39" s="1364"/>
      <c r="AF39" s="1364"/>
      <c r="AG39" s="1364"/>
    </row>
    <row r="40" spans="1:33" s="220" customFormat="1" ht="25.5" customHeight="1">
      <c r="A40" s="392"/>
      <c r="B40" s="570" t="s">
        <v>98</v>
      </c>
      <c r="C40" s="854"/>
      <c r="D40" s="569" t="s">
        <v>99</v>
      </c>
      <c r="E40" s="1501" t="s">
        <v>100</v>
      </c>
      <c r="F40" s="1501"/>
      <c r="G40" s="1427" t="e">
        <f>G39</f>
        <v>#DIV/0!</v>
      </c>
      <c r="H40" s="469" t="s">
        <v>90</v>
      </c>
      <c r="I40" s="1501" t="s">
        <v>101</v>
      </c>
      <c r="J40" s="1501"/>
      <c r="K40" s="467" t="e">
        <f>K38*K39</f>
        <v>#DIV/0!</v>
      </c>
      <c r="L40" s="469" t="s">
        <v>102</v>
      </c>
      <c r="M40" s="1501" t="s">
        <v>103</v>
      </c>
      <c r="N40" s="1501"/>
      <c r="O40" s="467">
        <f>L14*O14</f>
        <v>0</v>
      </c>
      <c r="P40" s="280" t="s">
        <v>102</v>
      </c>
      <c r="Q40" s="468"/>
      <c r="AB40" s="1364"/>
      <c r="AC40" s="1364"/>
      <c r="AD40" s="1364"/>
      <c r="AE40" s="1364"/>
      <c r="AF40" s="1364"/>
      <c r="AG40" s="1364"/>
    </row>
    <row r="41" spans="1:33" ht="27" customHeight="1">
      <c r="A41" s="219"/>
      <c r="B41" s="295" t="s">
        <v>104</v>
      </c>
      <c r="D41" s="220"/>
      <c r="F41" s="10" t="s">
        <v>105</v>
      </c>
      <c r="H41" s="248"/>
      <c r="K41" s="248"/>
      <c r="L41" s="248"/>
      <c r="M41" s="248"/>
      <c r="N41" s="249"/>
      <c r="O41" s="249"/>
      <c r="P41" s="249"/>
      <c r="Q41" s="336"/>
      <c r="AB41" s="1364"/>
      <c r="AC41" s="1364"/>
      <c r="AD41" s="1364"/>
      <c r="AE41" s="1364"/>
      <c r="AF41" s="1364"/>
      <c r="AG41" s="1364"/>
    </row>
    <row r="42" spans="1:33" ht="24" customHeight="1">
      <c r="A42" s="219"/>
      <c r="B42" s="618" t="s">
        <v>106</v>
      </c>
      <c r="C42" s="226"/>
      <c r="D42" s="337"/>
      <c r="E42" s="178"/>
      <c r="F42" s="178"/>
      <c r="G42" s="338"/>
      <c r="H42" s="1308"/>
      <c r="I42" s="271"/>
      <c r="J42" s="178"/>
      <c r="K42" s="592" t="s">
        <v>107</v>
      </c>
      <c r="L42" s="307"/>
      <c r="M42" s="307"/>
      <c r="N42" s="307"/>
      <c r="O42" s="307"/>
      <c r="P42" s="307"/>
      <c r="Q42" s="1310"/>
      <c r="R42" s="19"/>
      <c r="S42" s="19"/>
      <c r="Z42" s="368"/>
      <c r="AA42" s="368"/>
      <c r="AB42" s="1364"/>
      <c r="AC42" s="1364"/>
      <c r="AD42" s="1364"/>
      <c r="AE42" s="1364"/>
      <c r="AF42" s="1364"/>
      <c r="AG42" s="1364"/>
    </row>
    <row r="43" spans="1:33" ht="24" customHeight="1">
      <c r="A43" s="219"/>
      <c r="B43" s="510"/>
      <c r="C43" s="1491" t="s">
        <v>108</v>
      </c>
      <c r="D43" s="1492"/>
      <c r="E43" s="679" t="s">
        <v>109</v>
      </c>
      <c r="F43" s="1292" t="s">
        <v>110</v>
      </c>
      <c r="G43" s="513" t="s">
        <v>111</v>
      </c>
      <c r="H43" s="22" t="s">
        <v>112</v>
      </c>
      <c r="I43" s="22" t="s">
        <v>113</v>
      </c>
      <c r="J43" s="346" t="s">
        <v>114</v>
      </c>
      <c r="K43" s="347" t="s">
        <v>115</v>
      </c>
      <c r="L43" s="348" t="s">
        <v>116</v>
      </c>
      <c r="M43" s="348" t="s">
        <v>117</v>
      </c>
      <c r="N43" s="349" t="s">
        <v>118</v>
      </c>
      <c r="O43" s="350" t="s">
        <v>119</v>
      </c>
      <c r="P43" s="1309"/>
      <c r="Q43" s="409"/>
      <c r="X43" s="574"/>
      <c r="Y43" s="574"/>
      <c r="Z43" s="1502"/>
      <c r="AA43" s="1502"/>
      <c r="AB43" s="1502"/>
      <c r="AC43" s="574"/>
      <c r="AD43" s="574"/>
    </row>
    <row r="44" spans="1:33" ht="24" customHeight="1">
      <c r="A44" s="219"/>
      <c r="B44" s="340" t="s">
        <v>67</v>
      </c>
      <c r="C44" s="751" t="s">
        <v>68</v>
      </c>
      <c r="D44" s="752" t="s">
        <v>68</v>
      </c>
      <c r="E44" s="755"/>
      <c r="F44" s="1293"/>
      <c r="G44" s="1298">
        <f>IF(C44="-",0,'Datenbank-Preise'!$P$13)</f>
        <v>0</v>
      </c>
      <c r="H44" s="627">
        <v>0.2</v>
      </c>
      <c r="I44" s="628"/>
      <c r="J44" s="351">
        <f>H44*I44</f>
        <v>0</v>
      </c>
      <c r="K44" s="1445" t="s">
        <v>122</v>
      </c>
      <c r="L44" s="1439" t="s">
        <v>68</v>
      </c>
      <c r="M44" s="1447" t="s">
        <v>68</v>
      </c>
      <c r="N44" s="1443" t="s">
        <v>68</v>
      </c>
      <c r="O44" s="352"/>
      <c r="Q44" s="219"/>
      <c r="X44" s="575"/>
      <c r="Y44" s="576"/>
      <c r="Z44" s="1465"/>
      <c r="AA44" s="1465"/>
      <c r="AB44" s="1465"/>
      <c r="AC44" s="575"/>
      <c r="AD44" s="576"/>
    </row>
    <row r="45" spans="1:33" ht="24" customHeight="1">
      <c r="A45" s="219"/>
      <c r="B45" s="340" t="s">
        <v>70</v>
      </c>
      <c r="C45" s="751" t="s">
        <v>68</v>
      </c>
      <c r="D45" s="753" t="s">
        <v>68</v>
      </c>
      <c r="E45" s="755"/>
      <c r="F45" s="1294"/>
      <c r="G45" s="1299">
        <f>'Datenbank-Preise'!$O$27</f>
        <v>0</v>
      </c>
      <c r="H45" s="627">
        <v>0.2</v>
      </c>
      <c r="I45" s="628"/>
      <c r="J45" s="351">
        <f>H45*I45</f>
        <v>0</v>
      </c>
      <c r="K45" s="1446"/>
      <c r="L45" s="1440"/>
      <c r="M45" s="1448"/>
      <c r="N45" s="1444"/>
      <c r="O45" s="457">
        <f>L46+M46+N46</f>
        <v>0</v>
      </c>
      <c r="Q45" s="219"/>
      <c r="U45" s="1465"/>
      <c r="V45" s="1465"/>
      <c r="W45" s="1465"/>
      <c r="X45" s="575"/>
      <c r="Y45" s="576"/>
      <c r="Z45" s="1465"/>
      <c r="AA45" s="1465"/>
      <c r="AB45" s="1465"/>
      <c r="AC45" s="575"/>
      <c r="AD45" s="576"/>
    </row>
    <row r="46" spans="1:33" ht="24" customHeight="1">
      <c r="A46" s="219"/>
      <c r="B46" s="340" t="s">
        <v>72</v>
      </c>
      <c r="C46" s="751" t="s">
        <v>68</v>
      </c>
      <c r="D46" s="753"/>
      <c r="E46" s="755"/>
      <c r="F46" s="1294"/>
      <c r="G46" s="1300">
        <f>IF(C46="-",0,'Datenbank-Preise'!O40)</f>
        <v>0</v>
      </c>
      <c r="H46" s="627">
        <v>0.2</v>
      </c>
      <c r="I46" s="628"/>
      <c r="J46" s="351">
        <f>H46*I46</f>
        <v>0</v>
      </c>
      <c r="K46" s="17" t="s">
        <v>126</v>
      </c>
      <c r="L46" s="628">
        <v>0</v>
      </c>
      <c r="M46" s="628">
        <v>0</v>
      </c>
      <c r="N46" s="631">
        <v>0</v>
      </c>
      <c r="O46" s="355"/>
      <c r="Q46" s="219"/>
      <c r="U46" s="1465"/>
      <c r="V46" s="1465"/>
      <c r="W46" s="1465"/>
      <c r="X46" s="575"/>
      <c r="Y46" s="576"/>
      <c r="Z46" s="1465"/>
      <c r="AA46" s="1465"/>
      <c r="AB46" s="1465"/>
      <c r="AC46" s="575"/>
      <c r="AD46" s="576"/>
    </row>
    <row r="47" spans="1:33" ht="24" customHeight="1">
      <c r="A47" s="219"/>
      <c r="B47" s="340" t="s">
        <v>73</v>
      </c>
      <c r="C47" s="751" t="s">
        <v>68</v>
      </c>
      <c r="D47" s="753" t="s">
        <v>68</v>
      </c>
      <c r="E47" s="755"/>
      <c r="F47" s="1294"/>
      <c r="G47" s="1300">
        <f>'Datenbank-Preise'!M56</f>
        <v>0</v>
      </c>
      <c r="H47" s="627">
        <v>0.2</v>
      </c>
      <c r="I47" s="628"/>
      <c r="J47" s="351">
        <f>H47*I47</f>
        <v>0</v>
      </c>
      <c r="K47" s="354" t="s">
        <v>129</v>
      </c>
      <c r="L47" s="632">
        <v>0</v>
      </c>
      <c r="M47" s="632">
        <v>0</v>
      </c>
      <c r="N47" s="633">
        <v>0</v>
      </c>
      <c r="O47" s="357"/>
      <c r="Q47" s="219"/>
      <c r="U47" s="1465"/>
      <c r="V47" s="1465"/>
      <c r="W47" s="1465"/>
      <c r="X47" s="575"/>
      <c r="Y47" s="576"/>
      <c r="Z47" s="1465"/>
      <c r="AA47" s="1465"/>
      <c r="AB47" s="1465"/>
      <c r="AC47" s="575"/>
      <c r="AD47" s="576"/>
    </row>
    <row r="48" spans="1:33" ht="24" customHeight="1">
      <c r="A48" s="219"/>
      <c r="B48" s="340" t="s">
        <v>74</v>
      </c>
      <c r="C48" s="751" t="s">
        <v>68</v>
      </c>
      <c r="D48" s="754" t="s">
        <v>68</v>
      </c>
      <c r="E48" s="755"/>
      <c r="F48" s="1295"/>
      <c r="G48" s="1300">
        <f>'Datenbank-Preise'!N84</f>
        <v>0</v>
      </c>
      <c r="H48" s="627">
        <v>0.2</v>
      </c>
      <c r="I48" s="628"/>
      <c r="J48" s="351">
        <f>H48*I48</f>
        <v>0</v>
      </c>
      <c r="K48" s="356" t="s">
        <v>131</v>
      </c>
      <c r="L48" s="634">
        <v>0</v>
      </c>
      <c r="M48" s="634">
        <v>0</v>
      </c>
      <c r="N48" s="635">
        <v>0</v>
      </c>
      <c r="O48" s="357"/>
      <c r="Q48" s="219"/>
      <c r="U48" s="526"/>
      <c r="V48" s="526"/>
      <c r="W48" s="526"/>
      <c r="X48" s="575"/>
      <c r="Y48" s="576"/>
      <c r="Z48" s="526"/>
      <c r="AA48" s="526"/>
      <c r="AB48" s="526"/>
      <c r="AC48" s="575"/>
      <c r="AD48" s="576"/>
    </row>
    <row r="49" spans="1:32" ht="24" customHeight="1">
      <c r="A49" s="219"/>
      <c r="B49" s="459" t="s">
        <v>132</v>
      </c>
      <c r="C49" s="1510" t="str">
        <f>_xlfn.TEXTJOIN(" + ",,IF(C44="-","","Dach"),IF(C45="-","","Fassade"),IF(C46="-","","Fenster"),IF(C47="-","","Boden (unterer Gebäudeabschluss)"),IF(C48="-","","Keller"))</f>
        <v/>
      </c>
      <c r="D49" s="1510"/>
      <c r="E49" s="1511"/>
      <c r="F49" s="1157"/>
      <c r="G49" s="1436">
        <f>SUM(G44:G48)</f>
        <v>0</v>
      </c>
      <c r="H49" s="1304">
        <f>SUM(H44:H48)/COUNT(H44:H48)</f>
        <v>0.2</v>
      </c>
      <c r="I49" s="879">
        <f>SUM(I44:I48)</f>
        <v>0</v>
      </c>
      <c r="J49" s="360">
        <f>SUM(J44:J48)</f>
        <v>0</v>
      </c>
      <c r="K49" s="134" t="s">
        <v>133</v>
      </c>
      <c r="L49" s="636">
        <v>0</v>
      </c>
      <c r="M49" s="636">
        <v>0</v>
      </c>
      <c r="N49" s="637">
        <v>0</v>
      </c>
      <c r="O49" s="357"/>
      <c r="Q49" s="219"/>
      <c r="U49" s="1470"/>
      <c r="V49" s="1470"/>
      <c r="W49" s="1470"/>
      <c r="X49" s="575"/>
      <c r="Z49" s="1470"/>
      <c r="AA49" s="1470"/>
      <c r="AB49" s="1470"/>
      <c r="AC49" s="575"/>
    </row>
    <row r="50" spans="1:32" ht="24" customHeight="1">
      <c r="A50" s="219"/>
      <c r="B50" s="340" t="s">
        <v>134</v>
      </c>
      <c r="C50" s="630"/>
      <c r="D50" s="629"/>
      <c r="E50" s="856"/>
      <c r="F50" s="1351"/>
      <c r="G50" s="1300">
        <f>'Datenbank-Preise'!$O$116</f>
        <v>0</v>
      </c>
      <c r="H50" s="1297">
        <v>0.5</v>
      </c>
      <c r="I50" s="645"/>
      <c r="J50" s="360">
        <f>H50*I50</f>
        <v>0</v>
      </c>
      <c r="K50" s="123" t="s">
        <v>137</v>
      </c>
      <c r="L50" s="636">
        <v>0</v>
      </c>
      <c r="M50" s="636">
        <v>0</v>
      </c>
      <c r="N50" s="637">
        <v>0</v>
      </c>
      <c r="O50" s="353"/>
      <c r="Q50" s="219"/>
      <c r="U50" s="1465"/>
      <c r="V50" s="1465"/>
      <c r="W50" s="1465"/>
      <c r="X50" s="575"/>
      <c r="Y50" s="576"/>
      <c r="Z50" s="1465"/>
      <c r="AA50" s="1465"/>
      <c r="AB50" s="1465"/>
      <c r="AC50" s="575"/>
      <c r="AD50" s="576"/>
    </row>
    <row r="51" spans="1:32" ht="24" customHeight="1">
      <c r="A51" s="219"/>
      <c r="B51" s="135" t="s">
        <v>138</v>
      </c>
      <c r="C51" s="777" t="s">
        <v>68</v>
      </c>
      <c r="D51" s="778" t="s">
        <v>68</v>
      </c>
      <c r="E51" s="1123"/>
      <c r="F51" s="455"/>
      <c r="G51" s="1301">
        <f>'Datenbank-Preise'!Z111</f>
        <v>0</v>
      </c>
      <c r="H51" s="361" t="s">
        <v>140</v>
      </c>
      <c r="I51" s="333">
        <f>G49-I49</f>
        <v>0</v>
      </c>
      <c r="J51" s="508"/>
      <c r="K51" s="123" t="s">
        <v>141</v>
      </c>
      <c r="L51" s="634">
        <v>0</v>
      </c>
      <c r="M51" s="634">
        <v>0</v>
      </c>
      <c r="N51" s="635">
        <v>0</v>
      </c>
      <c r="O51" s="362"/>
      <c r="Q51" s="219"/>
      <c r="U51" s="1465"/>
      <c r="V51" s="1465"/>
      <c r="W51" s="1465"/>
      <c r="X51" s="577"/>
      <c r="Y51" s="576"/>
      <c r="Z51" s="1465"/>
      <c r="AA51" s="1465"/>
      <c r="AB51" s="1465"/>
      <c r="AC51" s="577"/>
      <c r="AD51" s="576"/>
    </row>
    <row r="52" spans="1:32" ht="36.6" customHeight="1">
      <c r="A52" s="219"/>
      <c r="B52" s="309" t="s">
        <v>142</v>
      </c>
      <c r="C52" s="1273" t="s">
        <v>68</v>
      </c>
      <c r="D52" s="1270" t="str">
        <f>IF(C52="Dezentrale Lüftungsanlage","Anzahl: "&amp;Sonstiges!I12,"")</f>
        <v/>
      </c>
      <c r="E52" s="1274"/>
      <c r="F52" s="1296"/>
      <c r="G52" s="1302">
        <f>IF(C52="Dezentrale Lüftungsanlage",'Datenbank-Preise'!G237,0)</f>
        <v>0</v>
      </c>
      <c r="H52" s="893" t="s">
        <v>144</v>
      </c>
      <c r="I52" s="913">
        <f>G53-J54</f>
        <v>0</v>
      </c>
      <c r="J52" s="188"/>
      <c r="K52" s="123" t="s">
        <v>145</v>
      </c>
      <c r="L52" s="441">
        <f>_xlfn.XLOOKUP(0,Datenbank!D38:AH38,Datenbank!D25:AH25)</f>
        <v>1</v>
      </c>
      <c r="M52" s="441">
        <f>_xlfn.XLOOKUP(0,Datenbank!D55:AH55,Datenbank!D25:AH25)</f>
        <v>1</v>
      </c>
      <c r="N52" s="442">
        <f>_xlfn.XLOOKUP(0,Datenbank!D72:AH72,Datenbank!D25:AH25)</f>
        <v>1</v>
      </c>
      <c r="O52" s="209"/>
      <c r="Q52" s="219"/>
      <c r="U52" s="1465"/>
      <c r="V52" s="1465"/>
      <c r="W52" s="1465"/>
      <c r="X52" s="578"/>
      <c r="Y52" s="576"/>
      <c r="Z52" s="1465"/>
      <c r="AA52" s="1465"/>
      <c r="AB52" s="1465"/>
      <c r="AC52" s="578"/>
      <c r="AD52" s="576"/>
    </row>
    <row r="53" spans="1:32" ht="24" customHeight="1" thickBot="1">
      <c r="A53" s="219"/>
      <c r="B53" s="135" t="s">
        <v>146</v>
      </c>
      <c r="C53" s="640" t="s">
        <v>147</v>
      </c>
      <c r="D53" s="1508">
        <v>0.1</v>
      </c>
      <c r="E53" s="1509"/>
      <c r="F53" s="1307" t="e">
        <f>Datenbank!AN104</f>
        <v>#DIV/0!</v>
      </c>
      <c r="G53" s="1437">
        <f>SUM(G49:G52)</f>
        <v>0</v>
      </c>
      <c r="H53" s="365"/>
      <c r="I53" s="363"/>
      <c r="J53" s="197"/>
      <c r="K53" s="123" t="s">
        <v>148</v>
      </c>
      <c r="L53" s="620">
        <f>(L51+L48)*L46/12</f>
        <v>0</v>
      </c>
      <c r="M53" s="620">
        <f>(M51+M48)*M46/12</f>
        <v>0</v>
      </c>
      <c r="N53" s="621">
        <f>(N51+N48)*N46/12</f>
        <v>0</v>
      </c>
      <c r="O53" s="567">
        <f>L53+M53+N53</f>
        <v>0</v>
      </c>
      <c r="Q53" s="219"/>
      <c r="U53" s="572"/>
      <c r="V53" s="1464"/>
      <c r="W53" s="1464"/>
      <c r="X53" s="579"/>
      <c r="Y53" s="580"/>
      <c r="Z53" s="572"/>
      <c r="AA53" s="1464"/>
      <c r="AB53" s="1464"/>
      <c r="AC53" s="579"/>
      <c r="AD53" s="581"/>
    </row>
    <row r="54" spans="1:32" ht="24" customHeight="1" thickBot="1">
      <c r="A54" s="219"/>
      <c r="B54" s="341" t="s">
        <v>1177</v>
      </c>
      <c r="C54" s="642"/>
      <c r="D54" s="641"/>
      <c r="E54" s="625"/>
      <c r="F54" s="1305" t="s">
        <v>149</v>
      </c>
      <c r="G54" s="1306" t="s">
        <v>150</v>
      </c>
      <c r="H54" s="519"/>
      <c r="I54" s="520" t="s">
        <v>151</v>
      </c>
      <c r="J54" s="521">
        <f>SUM(J49:J50)</f>
        <v>0</v>
      </c>
      <c r="K54" s="522" t="s">
        <v>129</v>
      </c>
      <c r="L54" s="523">
        <f>L47*L46</f>
        <v>0</v>
      </c>
      <c r="M54" s="521">
        <f>M47*M46</f>
        <v>0</v>
      </c>
      <c r="N54" s="566" t="s">
        <v>152</v>
      </c>
      <c r="O54" s="568">
        <f>SUM(J54,L54,M54)</f>
        <v>0</v>
      </c>
      <c r="Q54" s="219"/>
      <c r="U54" s="526"/>
      <c r="V54" s="526"/>
      <c r="W54" s="526"/>
      <c r="X54" s="528"/>
      <c r="Y54" s="529"/>
      <c r="Z54" s="526"/>
      <c r="AA54" s="526"/>
      <c r="AB54" s="526"/>
      <c r="AC54" s="528"/>
      <c r="AD54" s="529"/>
    </row>
    <row r="55" spans="1:32" ht="24" customHeight="1">
      <c r="A55" s="219"/>
      <c r="B55" s="341" t="s">
        <v>153</v>
      </c>
      <c r="C55" s="654"/>
      <c r="D55" s="655"/>
      <c r="E55" s="656"/>
      <c r="F55" s="456"/>
      <c r="G55" s="1303"/>
      <c r="H55" s="1493" t="s">
        <v>154</v>
      </c>
      <c r="I55" s="1493"/>
      <c r="J55" s="1493"/>
      <c r="K55" s="1493"/>
      <c r="L55" s="1493"/>
      <c r="M55" s="1493"/>
      <c r="N55" s="1493"/>
      <c r="O55" s="1494"/>
      <c r="Q55" s="219"/>
      <c r="W55" s="526"/>
      <c r="X55" s="526"/>
      <c r="Y55" s="526"/>
      <c r="Z55" s="528"/>
      <c r="AA55" s="529"/>
      <c r="AB55" s="526"/>
      <c r="AC55" s="526"/>
      <c r="AD55" s="526"/>
      <c r="AE55" s="528"/>
      <c r="AF55" s="529"/>
    </row>
    <row r="56" spans="1:32" s="343" customFormat="1" ht="24" customHeight="1">
      <c r="A56" s="342"/>
      <c r="B56" s="533" t="s">
        <v>155</v>
      </c>
      <c r="C56" s="638" t="s">
        <v>475</v>
      </c>
      <c r="D56" s="639" t="s">
        <v>68</v>
      </c>
      <c r="E56" s="643" t="s">
        <v>68</v>
      </c>
      <c r="F56" s="440"/>
      <c r="G56" s="518"/>
      <c r="H56" s="1495"/>
      <c r="I56" s="1496"/>
      <c r="J56" s="1496"/>
      <c r="K56" s="1496"/>
      <c r="L56" s="1496"/>
      <c r="M56" s="1496"/>
      <c r="N56" s="1496"/>
      <c r="O56" s="1497"/>
      <c r="P56" s="524"/>
      <c r="Q56" s="530"/>
      <c r="W56" s="582"/>
      <c r="X56" s="583"/>
      <c r="Y56" s="583"/>
      <c r="Z56" s="584"/>
      <c r="AA56" s="585"/>
      <c r="AB56" s="583"/>
      <c r="AC56" s="583"/>
      <c r="AD56" s="583"/>
      <c r="AE56" s="584"/>
      <c r="AF56" s="585"/>
    </row>
    <row r="57" spans="1:32" s="343" customFormat="1" ht="24" customHeight="1">
      <c r="B57" s="564"/>
      <c r="C57" s="561"/>
      <c r="D57" s="561"/>
      <c r="E57" s="561"/>
      <c r="F57" s="561"/>
      <c r="G57" s="561"/>
      <c r="H57" s="516"/>
      <c r="I57" s="516"/>
      <c r="J57" s="516"/>
      <c r="K57" s="516"/>
      <c r="L57" s="525"/>
      <c r="M57" s="525"/>
      <c r="N57" s="516"/>
      <c r="O57" s="516"/>
      <c r="P57" s="563"/>
      <c r="Q57" s="560"/>
      <c r="W57" s="582"/>
      <c r="X57" s="583"/>
      <c r="Y57" s="583"/>
      <c r="Z57" s="584"/>
      <c r="AA57" s="585"/>
      <c r="AB57" s="583"/>
      <c r="AC57" s="583"/>
      <c r="AD57" s="583"/>
      <c r="AE57" s="584"/>
      <c r="AF57" s="585"/>
    </row>
    <row r="58" spans="1:32" s="343" customFormat="1" ht="24" customHeight="1">
      <c r="A58" s="342"/>
      <c r="B58" s="619" t="s">
        <v>159</v>
      </c>
      <c r="C58" s="226"/>
      <c r="D58" s="337"/>
      <c r="E58" s="178"/>
      <c r="F58" s="178"/>
      <c r="G58" s="338"/>
      <c r="H58" s="514"/>
      <c r="I58" s="178"/>
      <c r="J58" s="338"/>
      <c r="K58" s="371" t="s">
        <v>107</v>
      </c>
      <c r="L58" s="226"/>
      <c r="M58" s="226"/>
      <c r="N58" s="511"/>
      <c r="O58" s="487"/>
      <c r="P58" s="562"/>
      <c r="Q58" s="482"/>
      <c r="W58" s="582"/>
      <c r="X58" s="583"/>
      <c r="Y58" s="583"/>
      <c r="Z58" s="584"/>
      <c r="AA58" s="585"/>
      <c r="AB58" s="583"/>
      <c r="AC58" s="583"/>
      <c r="AD58" s="583"/>
      <c r="AE58" s="584"/>
      <c r="AF58" s="585"/>
    </row>
    <row r="59" spans="1:32" s="343" customFormat="1" ht="24" customHeight="1">
      <c r="B59" s="538"/>
      <c r="C59" s="1491" t="s">
        <v>108</v>
      </c>
      <c r="D59" s="1492"/>
      <c r="E59" s="679" t="s">
        <v>109</v>
      </c>
      <c r="F59" s="1292" t="s">
        <v>110</v>
      </c>
      <c r="G59" s="513" t="s">
        <v>111</v>
      </c>
      <c r="H59" s="22" t="s">
        <v>112</v>
      </c>
      <c r="I59" s="22" t="s">
        <v>113</v>
      </c>
      <c r="J59" s="346" t="s">
        <v>114</v>
      </c>
      <c r="K59" s="347" t="s">
        <v>115</v>
      </c>
      <c r="L59" s="348" t="s">
        <v>116</v>
      </c>
      <c r="M59" s="565" t="s">
        <v>117</v>
      </c>
      <c r="N59" s="349" t="s">
        <v>118</v>
      </c>
      <c r="O59" s="350" t="s">
        <v>119</v>
      </c>
      <c r="P59" s="10"/>
      <c r="Q59" s="219"/>
      <c r="W59" s="586"/>
      <c r="X59" s="586"/>
      <c r="Y59" s="586"/>
      <c r="Z59" s="586"/>
      <c r="AA59" s="586"/>
      <c r="AB59" s="586"/>
      <c r="AC59" s="586"/>
      <c r="AD59" s="586"/>
      <c r="AE59" s="586"/>
      <c r="AF59" s="586"/>
    </row>
    <row r="60" spans="1:32" s="343" customFormat="1" ht="24" customHeight="1">
      <c r="B60" s="340" t="s">
        <v>67</v>
      </c>
      <c r="C60" s="751" t="s">
        <v>68</v>
      </c>
      <c r="D60" s="752" t="s">
        <v>68</v>
      </c>
      <c r="E60" s="855"/>
      <c r="F60" s="1293"/>
      <c r="G60" s="1298">
        <f>IF(C60="-",0,'Datenbank-Preise'!$R$13)</f>
        <v>0</v>
      </c>
      <c r="H60" s="627">
        <v>0.2</v>
      </c>
      <c r="I60" s="628"/>
      <c r="J60" s="351">
        <f>H60*I60</f>
        <v>0</v>
      </c>
      <c r="K60" s="1445" t="s">
        <v>122</v>
      </c>
      <c r="L60" s="1439" t="s">
        <v>68</v>
      </c>
      <c r="M60" s="1447" t="s">
        <v>68</v>
      </c>
      <c r="N60" s="1443" t="s">
        <v>68</v>
      </c>
      <c r="O60" s="352"/>
      <c r="P60" s="10"/>
      <c r="Q60" s="219"/>
      <c r="W60" s="586"/>
      <c r="X60" s="586"/>
      <c r="Y60" s="586"/>
      <c r="Z60" s="586"/>
      <c r="AA60" s="586"/>
      <c r="AB60" s="586"/>
      <c r="AC60" s="586"/>
      <c r="AD60" s="586"/>
      <c r="AE60" s="586"/>
      <c r="AF60" s="586"/>
    </row>
    <row r="61" spans="1:32" s="343" customFormat="1" ht="24" customHeight="1">
      <c r="B61" s="340" t="s">
        <v>70</v>
      </c>
      <c r="C61" s="751" t="s">
        <v>68</v>
      </c>
      <c r="D61" s="753" t="s">
        <v>68</v>
      </c>
      <c r="E61" s="755"/>
      <c r="F61" s="1294"/>
      <c r="G61" s="1299">
        <f>'Datenbank-Preise'!$Q$27</f>
        <v>0</v>
      </c>
      <c r="H61" s="627">
        <v>0.2</v>
      </c>
      <c r="I61" s="628"/>
      <c r="J61" s="351">
        <f>H61*I61</f>
        <v>0</v>
      </c>
      <c r="K61" s="1446"/>
      <c r="L61" s="1440"/>
      <c r="M61" s="1448"/>
      <c r="N61" s="1444"/>
      <c r="O61" s="457">
        <f>L62+M62+N62</f>
        <v>0</v>
      </c>
      <c r="P61" s="10"/>
      <c r="Q61" s="219"/>
      <c r="W61" s="586"/>
      <c r="X61" s="586"/>
      <c r="Y61" s="586"/>
      <c r="Z61" s="586"/>
      <c r="AA61" s="586"/>
      <c r="AB61" s="586"/>
      <c r="AC61" s="586"/>
      <c r="AD61" s="586"/>
      <c r="AE61" s="586"/>
      <c r="AF61" s="586"/>
    </row>
    <row r="62" spans="1:32" s="343" customFormat="1" ht="24" customHeight="1">
      <c r="B62" s="340" t="s">
        <v>72</v>
      </c>
      <c r="C62" s="751" t="s">
        <v>68</v>
      </c>
      <c r="D62" s="753"/>
      <c r="E62" s="755"/>
      <c r="F62" s="1294"/>
      <c r="G62" s="1300">
        <f>IF(C62="-",0,'Datenbank-Preise'!Q40)</f>
        <v>0</v>
      </c>
      <c r="H62" s="627">
        <v>0.2</v>
      </c>
      <c r="I62" s="628"/>
      <c r="J62" s="351">
        <f>H62*I62</f>
        <v>0</v>
      </c>
      <c r="K62" s="17" t="s">
        <v>126</v>
      </c>
      <c r="L62" s="628">
        <v>0</v>
      </c>
      <c r="M62" s="628">
        <v>0</v>
      </c>
      <c r="N62" s="631">
        <v>0</v>
      </c>
      <c r="O62" s="355"/>
      <c r="P62" s="10"/>
      <c r="Q62" s="219"/>
      <c r="W62" s="586"/>
      <c r="X62" s="586"/>
      <c r="Y62" s="586"/>
      <c r="Z62" s="586"/>
      <c r="AA62" s="586"/>
      <c r="AB62" s="586"/>
      <c r="AC62" s="586"/>
      <c r="AD62" s="586"/>
      <c r="AE62" s="586"/>
      <c r="AF62" s="586"/>
    </row>
    <row r="63" spans="1:32" s="343" customFormat="1" ht="24" customHeight="1">
      <c r="B63" s="340" t="s">
        <v>73</v>
      </c>
      <c r="C63" s="751" t="s">
        <v>68</v>
      </c>
      <c r="D63" s="753" t="s">
        <v>68</v>
      </c>
      <c r="E63" s="755"/>
      <c r="F63" s="1294"/>
      <c r="G63" s="1300">
        <f>'Datenbank-Preise'!O56</f>
        <v>0</v>
      </c>
      <c r="H63" s="627">
        <v>0.2</v>
      </c>
      <c r="I63" s="628"/>
      <c r="J63" s="351">
        <f>H63*I63</f>
        <v>0</v>
      </c>
      <c r="K63" s="354" t="s">
        <v>129</v>
      </c>
      <c r="L63" s="632">
        <v>0</v>
      </c>
      <c r="M63" s="632">
        <v>0</v>
      </c>
      <c r="N63" s="633">
        <v>0</v>
      </c>
      <c r="O63" s="357"/>
      <c r="P63" s="10"/>
      <c r="Q63" s="219"/>
      <c r="W63" s="586"/>
      <c r="X63" s="586"/>
      <c r="Y63" s="586"/>
      <c r="Z63" s="586"/>
      <c r="AA63" s="586"/>
      <c r="AB63" s="586"/>
      <c r="AC63" s="586"/>
      <c r="AD63" s="586"/>
      <c r="AE63" s="586"/>
      <c r="AF63" s="586"/>
    </row>
    <row r="64" spans="1:32" s="343" customFormat="1" ht="24" customHeight="1">
      <c r="B64" s="340" t="s">
        <v>74</v>
      </c>
      <c r="C64" s="751" t="s">
        <v>68</v>
      </c>
      <c r="D64" s="1266" t="s">
        <v>68</v>
      </c>
      <c r="E64" s="754"/>
      <c r="F64" s="1295"/>
      <c r="G64" s="1315">
        <f>'Datenbank-Preise'!P84</f>
        <v>0</v>
      </c>
      <c r="H64" s="1428">
        <v>0.2</v>
      </c>
      <c r="I64" s="1429"/>
      <c r="J64" s="1430">
        <f>H64*I64</f>
        <v>0</v>
      </c>
      <c r="K64" s="356" t="s">
        <v>131</v>
      </c>
      <c r="L64" s="634">
        <v>0</v>
      </c>
      <c r="M64" s="634">
        <v>0</v>
      </c>
      <c r="N64" s="635">
        <v>0</v>
      </c>
      <c r="O64" s="357"/>
      <c r="P64" s="10"/>
      <c r="Q64" s="219"/>
      <c r="W64" s="586"/>
      <c r="X64" s="586"/>
      <c r="Y64" s="586"/>
      <c r="Z64" s="586"/>
      <c r="AA64" s="586"/>
      <c r="AB64" s="586"/>
      <c r="AC64" s="586"/>
      <c r="AD64" s="586"/>
      <c r="AE64" s="586"/>
      <c r="AF64" s="586"/>
    </row>
    <row r="65" spans="1:32" s="343" customFormat="1" ht="24" customHeight="1">
      <c r="B65" s="459" t="s">
        <v>132</v>
      </c>
      <c r="C65" s="1510" t="str">
        <f>_xlfn.TEXTJOIN(" + ",,IF(C60="-","","Dach"),IF(C61="-","","Fassade"),IF(C62="-","","Fenster"),IF(C63="-","","Boden (unterer Gebäudeabschluss)"),IF(C64="-","","Keller"))</f>
        <v/>
      </c>
      <c r="D65" s="1510"/>
      <c r="E65" s="1511"/>
      <c r="F65" s="1157"/>
      <c r="G65" s="1436">
        <f>SUM(G60:G64)</f>
        <v>0</v>
      </c>
      <c r="H65" s="458">
        <f>SUM(H60:H64)/COUNT(H60:H64)</f>
        <v>0.2</v>
      </c>
      <c r="I65" s="1425">
        <f>SUM(I60:I64)</f>
        <v>0</v>
      </c>
      <c r="J65" s="1426">
        <f>SUM(J60:J64)</f>
        <v>0</v>
      </c>
      <c r="K65" s="134" t="s">
        <v>133</v>
      </c>
      <c r="L65" s="636">
        <v>0</v>
      </c>
      <c r="M65" s="636">
        <v>0</v>
      </c>
      <c r="N65" s="637">
        <v>0</v>
      </c>
      <c r="O65" s="357"/>
      <c r="P65" s="10"/>
      <c r="Q65" s="219"/>
      <c r="W65" s="586"/>
      <c r="X65" s="586"/>
      <c r="Y65" s="586"/>
      <c r="Z65" s="586"/>
      <c r="AA65" s="586"/>
      <c r="AB65" s="586"/>
      <c r="AC65" s="586"/>
      <c r="AD65" s="586"/>
      <c r="AE65" s="586"/>
      <c r="AF65" s="586"/>
    </row>
    <row r="66" spans="1:32" s="343" customFormat="1" ht="24" customHeight="1">
      <c r="B66" s="340" t="s">
        <v>134</v>
      </c>
      <c r="C66" s="630"/>
      <c r="D66" s="629"/>
      <c r="E66" s="856"/>
      <c r="F66" s="1351"/>
      <c r="G66" s="1316">
        <f>'Datenbank-Preise'!$Q$116</f>
        <v>0</v>
      </c>
      <c r="H66" s="644">
        <v>0.5</v>
      </c>
      <c r="I66" s="645"/>
      <c r="J66" s="360">
        <f>H66*I66</f>
        <v>0</v>
      </c>
      <c r="K66" s="123" t="s">
        <v>137</v>
      </c>
      <c r="L66" s="636">
        <v>0</v>
      </c>
      <c r="M66" s="636">
        <v>0</v>
      </c>
      <c r="N66" s="637">
        <v>0</v>
      </c>
      <c r="O66" s="353"/>
      <c r="P66" s="10"/>
      <c r="Q66" s="219"/>
      <c r="W66" s="586"/>
      <c r="X66" s="586"/>
      <c r="Y66" s="586"/>
      <c r="Z66" s="586"/>
      <c r="AA66" s="586"/>
      <c r="AB66" s="586"/>
      <c r="AC66" s="586"/>
      <c r="AD66" s="586"/>
      <c r="AE66" s="586"/>
      <c r="AF66" s="586"/>
    </row>
    <row r="67" spans="1:32" s="343" customFormat="1" ht="24" customHeight="1">
      <c r="B67" s="135" t="s">
        <v>169</v>
      </c>
      <c r="C67" s="777" t="s">
        <v>68</v>
      </c>
      <c r="D67" s="778" t="s">
        <v>68</v>
      </c>
      <c r="E67" s="1123"/>
      <c r="F67" s="455"/>
      <c r="G67" s="1301">
        <f>'Datenbank-Preise'!AB111</f>
        <v>0</v>
      </c>
      <c r="H67" s="361" t="s">
        <v>140</v>
      </c>
      <c r="I67" s="507">
        <f>G65-I65</f>
        <v>0</v>
      </c>
      <c r="J67" s="508"/>
      <c r="K67" s="123" t="s">
        <v>141</v>
      </c>
      <c r="L67" s="634">
        <v>0</v>
      </c>
      <c r="M67" s="634">
        <v>0</v>
      </c>
      <c r="N67" s="635">
        <v>0</v>
      </c>
      <c r="O67" s="362"/>
      <c r="P67" s="10"/>
      <c r="Q67" s="219"/>
      <c r="W67" s="586"/>
      <c r="X67" s="586"/>
      <c r="Y67" s="586"/>
      <c r="Z67" s="586"/>
      <c r="AA67" s="586"/>
      <c r="AB67" s="586"/>
      <c r="AC67" s="586"/>
      <c r="AD67" s="586"/>
      <c r="AE67" s="586"/>
      <c r="AF67" s="586"/>
    </row>
    <row r="68" spans="1:32" s="343" customFormat="1" ht="32.700000000000003" customHeight="1">
      <c r="B68" s="309" t="s">
        <v>142</v>
      </c>
      <c r="C68" s="1273" t="s">
        <v>68</v>
      </c>
      <c r="D68" s="1270" t="str">
        <f>IF(C68="Dezentrale Lüftungsanlage","Anzahl: "&amp;Sonstiges!J12,"")</f>
        <v/>
      </c>
      <c r="E68" s="1274"/>
      <c r="F68" s="1312"/>
      <c r="G68" s="1302">
        <f>IF(C68="Dezentrale Lüftungsanlage",'Datenbank-Preise'!I237,0)</f>
        <v>0</v>
      </c>
      <c r="H68" s="893" t="s">
        <v>144</v>
      </c>
      <c r="I68" s="913">
        <f>G69-J70</f>
        <v>0</v>
      </c>
      <c r="J68" s="188"/>
      <c r="K68" s="123" t="s">
        <v>145</v>
      </c>
      <c r="L68" s="441">
        <f>_xlfn.XLOOKUP(0,Datenbank!D147:AH147,Datenbank!D134:AH134)</f>
        <v>1</v>
      </c>
      <c r="M68" s="441">
        <f>_xlfn.XLOOKUP(0,Datenbank!D164:AH164,Datenbank!D134:AH134)</f>
        <v>1</v>
      </c>
      <c r="N68" s="442">
        <f>_xlfn.XLOOKUP(0,Datenbank!D181:AH181,Datenbank!D134:AH134)</f>
        <v>1</v>
      </c>
      <c r="O68" s="209"/>
      <c r="P68" s="10"/>
      <c r="Q68" s="219"/>
      <c r="W68" s="586"/>
      <c r="X68" s="586"/>
      <c r="Y68" s="586"/>
      <c r="Z68" s="586"/>
      <c r="AA68" s="586"/>
      <c r="AB68" s="586"/>
      <c r="AC68" s="586"/>
      <c r="AD68" s="586"/>
      <c r="AE68" s="586"/>
      <c r="AF68" s="586"/>
    </row>
    <row r="69" spans="1:32" s="343" customFormat="1" ht="24" customHeight="1" thickBot="1">
      <c r="B69" s="135" t="s">
        <v>146</v>
      </c>
      <c r="C69" s="640" t="s">
        <v>147</v>
      </c>
      <c r="D69" s="1508">
        <v>0.1</v>
      </c>
      <c r="E69" s="1509"/>
      <c r="F69" s="1313" t="e">
        <f>Datenbank!AN214</f>
        <v>#DIV/0!</v>
      </c>
      <c r="G69" s="1317">
        <f>SUM(G65:G68)</f>
        <v>0</v>
      </c>
      <c r="H69" s="365"/>
      <c r="I69" s="363"/>
      <c r="J69" s="197"/>
      <c r="K69" s="123" t="s">
        <v>148</v>
      </c>
      <c r="L69" s="620">
        <f>(L67+L64)*L62/12</f>
        <v>0</v>
      </c>
      <c r="M69" s="620">
        <f>(M67+M64)*M62/12</f>
        <v>0</v>
      </c>
      <c r="N69" s="621">
        <f>(N67+N64)*N62/12</f>
        <v>0</v>
      </c>
      <c r="O69" s="366">
        <f>L69+M69+N69</f>
        <v>0</v>
      </c>
      <c r="P69" s="10"/>
      <c r="Q69" s="219"/>
      <c r="W69" s="586"/>
      <c r="X69" s="586"/>
      <c r="Y69" s="586"/>
      <c r="Z69" s="586"/>
      <c r="AA69" s="586"/>
      <c r="AB69" s="586"/>
      <c r="AC69" s="586"/>
      <c r="AD69" s="586"/>
      <c r="AE69" s="586"/>
      <c r="AF69" s="586"/>
    </row>
    <row r="70" spans="1:32" s="343" customFormat="1" ht="24" customHeight="1" thickBot="1">
      <c r="B70" s="341" t="s">
        <v>1177</v>
      </c>
      <c r="C70" s="642"/>
      <c r="D70" s="641"/>
      <c r="E70" s="626"/>
      <c r="F70" s="1314" t="s">
        <v>149</v>
      </c>
      <c r="G70" s="1306" t="s">
        <v>150</v>
      </c>
      <c r="H70" s="715"/>
      <c r="I70" s="716" t="s">
        <v>151</v>
      </c>
      <c r="J70" s="717">
        <f>SUM(J65:J66)</f>
        <v>0</v>
      </c>
      <c r="K70" s="718" t="s">
        <v>129</v>
      </c>
      <c r="L70" s="719">
        <f>L63*L62</f>
        <v>0</v>
      </c>
      <c r="M70" s="717">
        <f>M63*M62</f>
        <v>0</v>
      </c>
      <c r="N70" s="720" t="s">
        <v>152</v>
      </c>
      <c r="O70" s="568">
        <f>SUM(J70,L70,M70)</f>
        <v>0</v>
      </c>
      <c r="P70" s="10"/>
      <c r="Q70" s="219"/>
      <c r="W70" s="586"/>
      <c r="X70" s="586"/>
      <c r="Y70" s="586"/>
      <c r="Z70" s="586"/>
      <c r="AA70" s="586"/>
      <c r="AB70" s="586"/>
      <c r="AC70" s="586"/>
      <c r="AD70" s="586"/>
      <c r="AE70" s="586"/>
      <c r="AF70" s="586"/>
    </row>
    <row r="71" spans="1:32" s="343" customFormat="1" ht="24" customHeight="1">
      <c r="B71" s="341" t="s">
        <v>153</v>
      </c>
      <c r="C71" s="654"/>
      <c r="D71" s="655"/>
      <c r="E71" s="656"/>
      <c r="F71" s="573"/>
      <c r="G71" s="517"/>
      <c r="H71" s="1515" t="s">
        <v>154</v>
      </c>
      <c r="I71" s="1516"/>
      <c r="J71" s="1516"/>
      <c r="K71" s="1516"/>
      <c r="L71" s="1516"/>
      <c r="M71" s="1516"/>
      <c r="N71" s="1516"/>
      <c r="O71" s="1494"/>
      <c r="P71" s="10"/>
      <c r="Q71" s="219"/>
      <c r="W71" s="586"/>
      <c r="X71" s="586"/>
      <c r="Y71" s="586"/>
      <c r="Z71" s="586"/>
      <c r="AA71" s="586"/>
      <c r="AB71" s="586"/>
      <c r="AC71" s="586"/>
      <c r="AD71" s="586"/>
      <c r="AE71" s="586"/>
      <c r="AF71" s="586"/>
    </row>
    <row r="72" spans="1:32" s="343" customFormat="1" ht="24" customHeight="1">
      <c r="B72" s="533" t="s">
        <v>155</v>
      </c>
      <c r="C72" s="638" t="s">
        <v>475</v>
      </c>
      <c r="D72" s="639" t="s">
        <v>68</v>
      </c>
      <c r="E72" s="643" t="s">
        <v>68</v>
      </c>
      <c r="F72" s="440"/>
      <c r="G72" s="518"/>
      <c r="H72" s="1495"/>
      <c r="I72" s="1496"/>
      <c r="J72" s="1496"/>
      <c r="K72" s="1496"/>
      <c r="L72" s="1496"/>
      <c r="M72" s="1496"/>
      <c r="N72" s="1496"/>
      <c r="O72" s="1497"/>
      <c r="P72" s="524"/>
      <c r="Q72" s="530"/>
      <c r="W72" s="586"/>
      <c r="X72" s="586"/>
      <c r="Y72" s="586"/>
      <c r="Z72" s="586"/>
      <c r="AA72" s="586"/>
      <c r="AB72" s="586"/>
      <c r="AC72" s="586"/>
      <c r="AD72" s="586"/>
      <c r="AE72" s="586"/>
      <c r="AF72" s="586"/>
    </row>
    <row r="73" spans="1:32" s="343" customFormat="1" ht="24" customHeight="1">
      <c r="B73" s="564"/>
      <c r="C73" s="646"/>
      <c r="D73" s="646"/>
      <c r="E73" s="646"/>
      <c r="F73" s="561"/>
      <c r="G73" s="561"/>
      <c r="H73" s="516"/>
      <c r="I73" s="516"/>
      <c r="J73" s="516"/>
      <c r="K73" s="516"/>
      <c r="L73" s="525"/>
      <c r="M73" s="525"/>
      <c r="N73" s="516"/>
      <c r="O73" s="516"/>
      <c r="P73" s="563"/>
      <c r="Q73" s="560"/>
      <c r="W73" s="586"/>
      <c r="X73" s="586"/>
      <c r="Y73" s="586"/>
      <c r="Z73" s="586"/>
      <c r="AA73" s="586"/>
      <c r="AB73" s="586"/>
      <c r="AC73" s="586"/>
      <c r="AD73" s="586"/>
      <c r="AE73" s="586"/>
      <c r="AF73" s="586"/>
    </row>
    <row r="74" spans="1:32" s="343" customFormat="1" ht="24" customHeight="1">
      <c r="A74" s="342"/>
      <c r="B74" s="619" t="s">
        <v>171</v>
      </c>
      <c r="C74" s="226"/>
      <c r="D74" s="337"/>
      <c r="E74" s="178"/>
      <c r="F74" s="178"/>
      <c r="G74" s="338"/>
      <c r="H74" s="514"/>
      <c r="I74" s="178"/>
      <c r="J74" s="338"/>
      <c r="K74" s="371" t="s">
        <v>107</v>
      </c>
      <c r="L74" s="226"/>
      <c r="M74" s="226"/>
      <c r="N74" s="226"/>
      <c r="O74" s="702"/>
      <c r="P74" s="562"/>
      <c r="Q74" s="482"/>
      <c r="W74" s="586"/>
      <c r="X74" s="586"/>
      <c r="Y74" s="586"/>
      <c r="Z74" s="586"/>
      <c r="AA74" s="586"/>
      <c r="AB74" s="586"/>
      <c r="AC74" s="586"/>
      <c r="AD74" s="586"/>
      <c r="AE74" s="586"/>
      <c r="AF74" s="586"/>
    </row>
    <row r="75" spans="1:32" s="343" customFormat="1" ht="24" customHeight="1">
      <c r="B75" s="538"/>
      <c r="C75" s="1491" t="s">
        <v>108</v>
      </c>
      <c r="D75" s="1492"/>
      <c r="E75" s="679" t="s">
        <v>109</v>
      </c>
      <c r="F75" s="1292" t="s">
        <v>110</v>
      </c>
      <c r="G75" s="513" t="s">
        <v>111</v>
      </c>
      <c r="H75" s="22" t="s">
        <v>112</v>
      </c>
      <c r="I75" s="22" t="s">
        <v>113</v>
      </c>
      <c r="J75" s="346" t="s">
        <v>114</v>
      </c>
      <c r="K75" s="347" t="s">
        <v>115</v>
      </c>
      <c r="L75" s="348" t="s">
        <v>116</v>
      </c>
      <c r="M75" s="565" t="s">
        <v>117</v>
      </c>
      <c r="N75" s="349" t="s">
        <v>118</v>
      </c>
      <c r="O75" s="350" t="s">
        <v>119</v>
      </c>
      <c r="P75" s="10"/>
      <c r="Q75" s="219"/>
      <c r="W75" s="586"/>
      <c r="X75" s="586"/>
      <c r="Y75" s="586"/>
      <c r="Z75" s="586"/>
      <c r="AA75" s="586"/>
      <c r="AB75" s="586"/>
      <c r="AC75" s="586"/>
      <c r="AD75" s="586"/>
      <c r="AE75" s="586"/>
      <c r="AF75" s="586"/>
    </row>
    <row r="76" spans="1:32" s="343" customFormat="1" ht="24" customHeight="1">
      <c r="B76" s="340" t="s">
        <v>67</v>
      </c>
      <c r="C76" s="751" t="s">
        <v>68</v>
      </c>
      <c r="D76" s="752" t="s">
        <v>68</v>
      </c>
      <c r="E76" s="856"/>
      <c r="F76" s="1293"/>
      <c r="G76" s="1299">
        <f>IF(C76="-",0,'Datenbank-Preise'!$T$13)</f>
        <v>0</v>
      </c>
      <c r="H76" s="627">
        <v>0.2</v>
      </c>
      <c r="I76" s="628"/>
      <c r="J76" s="351">
        <f>H76*I76</f>
        <v>0</v>
      </c>
      <c r="K76" s="1445" t="s">
        <v>122</v>
      </c>
      <c r="L76" s="1439" t="s">
        <v>68</v>
      </c>
      <c r="M76" s="1447" t="s">
        <v>68</v>
      </c>
      <c r="N76" s="1443" t="s">
        <v>68</v>
      </c>
      <c r="O76" s="352"/>
      <c r="P76" s="10"/>
      <c r="Q76" s="219"/>
      <c r="W76" s="586"/>
      <c r="X76" s="586"/>
      <c r="Y76" s="586"/>
      <c r="Z76" s="586"/>
      <c r="AA76" s="586"/>
      <c r="AB76" s="586"/>
      <c r="AC76" s="586"/>
      <c r="AD76" s="586"/>
      <c r="AE76" s="586"/>
      <c r="AF76" s="586"/>
    </row>
    <row r="77" spans="1:32" s="343" customFormat="1" ht="24" customHeight="1">
      <c r="B77" s="340" t="s">
        <v>70</v>
      </c>
      <c r="C77" s="751" t="s">
        <v>68</v>
      </c>
      <c r="D77" s="753" t="s">
        <v>68</v>
      </c>
      <c r="E77" s="755"/>
      <c r="F77" s="1294"/>
      <c r="G77" s="1299">
        <f>'Datenbank-Preise'!$S$27</f>
        <v>0</v>
      </c>
      <c r="H77" s="627">
        <v>0.2</v>
      </c>
      <c r="I77" s="628"/>
      <c r="J77" s="351">
        <f>H77*I77</f>
        <v>0</v>
      </c>
      <c r="K77" s="1446"/>
      <c r="L77" s="1440"/>
      <c r="M77" s="1448"/>
      <c r="N77" s="1444"/>
      <c r="O77" s="457">
        <f>L78+M78+N78</f>
        <v>0</v>
      </c>
      <c r="P77" s="10"/>
      <c r="Q77" s="219"/>
      <c r="W77" s="586"/>
      <c r="X77" s="586"/>
      <c r="Y77" s="586"/>
      <c r="Z77" s="586"/>
      <c r="AA77" s="586"/>
      <c r="AB77" s="586"/>
      <c r="AC77" s="586"/>
      <c r="AD77" s="586"/>
      <c r="AE77" s="586"/>
      <c r="AF77" s="586"/>
    </row>
    <row r="78" spans="1:32" s="343" customFormat="1" ht="24" customHeight="1">
      <c r="B78" s="340" t="s">
        <v>72</v>
      </c>
      <c r="C78" s="751" t="s">
        <v>68</v>
      </c>
      <c r="D78" s="753"/>
      <c r="E78" s="755"/>
      <c r="F78" s="1294"/>
      <c r="G78" s="1300">
        <f>IF(C78="-",0,'Datenbank-Preise'!S40)</f>
        <v>0</v>
      </c>
      <c r="H78" s="627">
        <v>0.2</v>
      </c>
      <c r="I78" s="628"/>
      <c r="J78" s="351">
        <f>H78*I78</f>
        <v>0</v>
      </c>
      <c r="K78" s="17" t="s">
        <v>126</v>
      </c>
      <c r="L78" s="628">
        <v>0</v>
      </c>
      <c r="M78" s="628">
        <v>0</v>
      </c>
      <c r="N78" s="631">
        <v>0</v>
      </c>
      <c r="O78" s="355"/>
      <c r="P78" s="10"/>
      <c r="Q78" s="219"/>
      <c r="W78" s="586"/>
      <c r="X78" s="586"/>
      <c r="Y78" s="586"/>
      <c r="Z78" s="586"/>
      <c r="AA78" s="586"/>
      <c r="AB78" s="586"/>
      <c r="AC78" s="586"/>
      <c r="AD78" s="586"/>
      <c r="AE78" s="586"/>
      <c r="AF78" s="586"/>
    </row>
    <row r="79" spans="1:32" s="343" customFormat="1" ht="24" customHeight="1">
      <c r="B79" s="340" t="s">
        <v>73</v>
      </c>
      <c r="C79" s="751" t="s">
        <v>68</v>
      </c>
      <c r="D79" s="753" t="s">
        <v>68</v>
      </c>
      <c r="E79" s="755"/>
      <c r="F79" s="1294"/>
      <c r="G79" s="1300">
        <f>'Datenbank-Preise'!Q56</f>
        <v>0</v>
      </c>
      <c r="H79" s="1431">
        <v>0.2</v>
      </c>
      <c r="I79" s="628"/>
      <c r="J79" s="351">
        <f>H79*I79</f>
        <v>0</v>
      </c>
      <c r="K79" s="354" t="s">
        <v>129</v>
      </c>
      <c r="L79" s="632">
        <v>0</v>
      </c>
      <c r="M79" s="632">
        <v>0</v>
      </c>
      <c r="N79" s="633">
        <v>0</v>
      </c>
      <c r="O79" s="357"/>
      <c r="P79" s="10"/>
      <c r="Q79" s="219"/>
      <c r="W79" s="586"/>
      <c r="X79" s="586"/>
      <c r="Y79" s="586"/>
      <c r="Z79" s="586"/>
      <c r="AA79" s="586"/>
      <c r="AB79" s="586"/>
      <c r="AC79" s="586"/>
      <c r="AD79" s="586"/>
      <c r="AE79" s="586"/>
      <c r="AF79" s="586"/>
    </row>
    <row r="80" spans="1:32" s="343" customFormat="1" ht="24" customHeight="1">
      <c r="B80" s="340" t="s">
        <v>74</v>
      </c>
      <c r="C80" s="751" t="s">
        <v>68</v>
      </c>
      <c r="D80" s="754" t="s">
        <v>68</v>
      </c>
      <c r="E80" s="755"/>
      <c r="F80" s="1295"/>
      <c r="G80" s="1315">
        <f>'Datenbank-Preise'!R84</f>
        <v>0</v>
      </c>
      <c r="H80" s="1428">
        <v>0.2</v>
      </c>
      <c r="I80" s="1429"/>
      <c r="J80" s="1430">
        <f>H80*I80</f>
        <v>0</v>
      </c>
      <c r="K80" s="356" t="s">
        <v>131</v>
      </c>
      <c r="L80" s="634">
        <v>0</v>
      </c>
      <c r="M80" s="634">
        <v>0</v>
      </c>
      <c r="N80" s="635">
        <v>0</v>
      </c>
      <c r="O80" s="357"/>
      <c r="P80" s="10"/>
      <c r="Q80" s="219"/>
      <c r="W80" s="586"/>
      <c r="X80" s="586"/>
      <c r="Y80" s="586"/>
      <c r="Z80" s="586"/>
      <c r="AA80" s="586"/>
      <c r="AB80" s="586"/>
      <c r="AC80" s="586"/>
      <c r="AD80" s="586"/>
      <c r="AE80" s="586"/>
      <c r="AF80" s="586"/>
    </row>
    <row r="81" spans="1:32" s="343" customFormat="1" ht="24" customHeight="1">
      <c r="B81" s="459" t="s">
        <v>132</v>
      </c>
      <c r="C81" s="1510" t="str">
        <f>_xlfn.TEXTJOIN(" + ",,IF(C76="-","","Dach"),IF(C77="-","","Fassade"),IF(C78="-","","Fenster"),IF(C79="-","","Boden (unterer Gebäudeabschluss)"),IF(C80="-","","Keller"))</f>
        <v/>
      </c>
      <c r="D81" s="1510"/>
      <c r="E81" s="1511"/>
      <c r="F81" s="1157"/>
      <c r="G81" s="1436">
        <f>SUM(G76:G80)</f>
        <v>0</v>
      </c>
      <c r="H81" s="458">
        <f>SUM(H76:H80)/COUNT(H76:H80)</f>
        <v>0.2</v>
      </c>
      <c r="I81" s="1425">
        <f>SUM(I76:I80)</f>
        <v>0</v>
      </c>
      <c r="J81" s="1426">
        <f>SUM(J76:J80)</f>
        <v>0</v>
      </c>
      <c r="K81" s="134" t="s">
        <v>133</v>
      </c>
      <c r="L81" s="636">
        <v>0</v>
      </c>
      <c r="M81" s="636">
        <v>0</v>
      </c>
      <c r="N81" s="637">
        <v>0</v>
      </c>
      <c r="O81" s="357"/>
      <c r="P81" s="10"/>
      <c r="Q81" s="219"/>
      <c r="W81" s="586"/>
      <c r="X81" s="586"/>
      <c r="Y81" s="586"/>
      <c r="Z81" s="586"/>
      <c r="AA81" s="586"/>
      <c r="AB81" s="586"/>
      <c r="AC81" s="586"/>
      <c r="AD81" s="586"/>
      <c r="AE81" s="586"/>
      <c r="AF81" s="586"/>
    </row>
    <row r="82" spans="1:32" s="343" customFormat="1" ht="24" customHeight="1">
      <c r="B82" s="340" t="s">
        <v>134</v>
      </c>
      <c r="C82" s="630"/>
      <c r="D82" s="629"/>
      <c r="E82" s="856"/>
      <c r="F82" s="1352"/>
      <c r="G82" s="1300">
        <f>'Datenbank-Preise'!$S$116</f>
        <v>0</v>
      </c>
      <c r="H82" s="644">
        <v>0.5</v>
      </c>
      <c r="I82" s="645"/>
      <c r="J82" s="360">
        <f>H82*I82</f>
        <v>0</v>
      </c>
      <c r="K82" s="123" t="s">
        <v>137</v>
      </c>
      <c r="L82" s="636">
        <v>0</v>
      </c>
      <c r="M82" s="636">
        <v>0</v>
      </c>
      <c r="N82" s="637">
        <v>0</v>
      </c>
      <c r="O82" s="353"/>
      <c r="P82" s="10"/>
      <c r="Q82" s="219"/>
      <c r="W82" s="586"/>
      <c r="X82" s="586"/>
      <c r="Y82" s="586"/>
      <c r="Z82" s="586"/>
      <c r="AA82" s="586"/>
      <c r="AB82" s="586"/>
      <c r="AC82" s="586"/>
      <c r="AD82" s="586"/>
      <c r="AE82" s="586"/>
      <c r="AF82" s="586"/>
    </row>
    <row r="83" spans="1:32" s="343" customFormat="1" ht="24" customHeight="1">
      <c r="B83" s="135" t="s">
        <v>169</v>
      </c>
      <c r="C83" s="777" t="s">
        <v>68</v>
      </c>
      <c r="D83" s="878" t="s">
        <v>68</v>
      </c>
      <c r="E83" s="1122"/>
      <c r="F83" s="1318"/>
      <c r="G83" s="1301">
        <f>'Datenbank-Preise'!AD111</f>
        <v>0</v>
      </c>
      <c r="H83" s="361" t="s">
        <v>140</v>
      </c>
      <c r="I83" s="507">
        <f>G81-I81</f>
        <v>0</v>
      </c>
      <c r="J83" s="508"/>
      <c r="K83" s="123" t="s">
        <v>141</v>
      </c>
      <c r="L83" s="634">
        <v>0</v>
      </c>
      <c r="M83" s="634">
        <v>0</v>
      </c>
      <c r="N83" s="635">
        <v>0</v>
      </c>
      <c r="O83" s="362"/>
      <c r="P83" s="10"/>
      <c r="Q83" s="219"/>
      <c r="W83" s="586"/>
      <c r="X83" s="586"/>
      <c r="Y83" s="586"/>
      <c r="Z83" s="586"/>
      <c r="AA83" s="586"/>
      <c r="AB83" s="586"/>
      <c r="AC83" s="586"/>
      <c r="AD83" s="586"/>
      <c r="AE83" s="586"/>
      <c r="AF83" s="586"/>
    </row>
    <row r="84" spans="1:32" s="343" customFormat="1" ht="34.799999999999997" customHeight="1">
      <c r="B84" s="309" t="s">
        <v>142</v>
      </c>
      <c r="C84" s="1272" t="s">
        <v>68</v>
      </c>
      <c r="D84" s="1271" t="str">
        <f>IF(C84="Dezentrale Lüftungsanlage","Anzahl: "&amp;Sonstiges!K12,"")</f>
        <v/>
      </c>
      <c r="E84" s="1274"/>
      <c r="F84" s="647"/>
      <c r="G84" s="1302">
        <f>IF(C84="Dezentrale Lüftungsanlage",'Datenbank-Preise'!K237,0)</f>
        <v>0</v>
      </c>
      <c r="H84" s="893" t="s">
        <v>144</v>
      </c>
      <c r="I84" s="1038">
        <f>G85-J86</f>
        <v>0</v>
      </c>
      <c r="J84" s="188"/>
      <c r="K84" s="123" t="s">
        <v>145</v>
      </c>
      <c r="L84" s="364">
        <f>_xlfn.XLOOKUP(0,Datenbank!D264:AH264,Datenbank!D251:AH251)</f>
        <v>1</v>
      </c>
      <c r="M84" s="364">
        <f>_xlfn.XLOOKUP(0,Datenbank!D281:AH281,Datenbank!D268:AH268)</f>
        <v>1</v>
      </c>
      <c r="N84" s="235">
        <f>_xlfn.XLOOKUP(0,Datenbank!D298:AH298,Datenbank!D285:AH285)</f>
        <v>1</v>
      </c>
      <c r="O84" s="209"/>
      <c r="P84" s="10"/>
      <c r="Q84" s="219"/>
      <c r="W84" s="586"/>
      <c r="X84" s="586"/>
      <c r="Y84" s="586"/>
      <c r="Z84" s="586"/>
      <c r="AA84" s="586"/>
      <c r="AB84" s="586"/>
      <c r="AC84" s="586"/>
      <c r="AD84" s="586"/>
      <c r="AE84" s="586"/>
      <c r="AF84" s="586"/>
    </row>
    <row r="85" spans="1:32" s="343" customFormat="1" ht="24" customHeight="1" thickBot="1">
      <c r="B85" s="135" t="s">
        <v>146</v>
      </c>
      <c r="C85" s="779" t="s">
        <v>147</v>
      </c>
      <c r="D85" s="1517">
        <v>0.1</v>
      </c>
      <c r="E85" s="1518"/>
      <c r="F85" s="1313" t="e">
        <f>Datenbank!AN331</f>
        <v>#DIV/0!</v>
      </c>
      <c r="G85" s="1317">
        <f>SUM(G81:G84)</f>
        <v>0</v>
      </c>
      <c r="H85" s="365"/>
      <c r="I85" s="363"/>
      <c r="J85" s="197"/>
      <c r="K85" s="123" t="s">
        <v>148</v>
      </c>
      <c r="L85" s="620">
        <f>(L83+L80)*L78/12</f>
        <v>0</v>
      </c>
      <c r="M85" s="620">
        <f>(M83+M80)*M78/12</f>
        <v>0</v>
      </c>
      <c r="N85" s="621">
        <f>(N83+N80)*N78/12</f>
        <v>0</v>
      </c>
      <c r="O85" s="366">
        <f>L85+M85+N85</f>
        <v>0</v>
      </c>
      <c r="P85" s="10"/>
      <c r="Q85" s="219"/>
      <c r="W85" s="586"/>
      <c r="X85" s="586"/>
      <c r="Y85" s="586"/>
      <c r="Z85" s="586"/>
      <c r="AA85" s="586"/>
      <c r="AB85" s="586"/>
      <c r="AC85" s="586"/>
      <c r="AD85" s="586"/>
      <c r="AE85" s="586"/>
      <c r="AF85" s="586"/>
    </row>
    <row r="86" spans="1:32" s="343" customFormat="1" ht="24" customHeight="1" thickBot="1">
      <c r="B86" s="341" t="s">
        <v>1177</v>
      </c>
      <c r="C86" s="642"/>
      <c r="D86" s="641"/>
      <c r="E86" s="626"/>
      <c r="F86" s="1319" t="s">
        <v>149</v>
      </c>
      <c r="G86" s="1320" t="s">
        <v>150</v>
      </c>
      <c r="H86" s="723"/>
      <c r="I86" s="716" t="s">
        <v>151</v>
      </c>
      <c r="J86" s="717">
        <f>SUM(J81:J82)</f>
        <v>0</v>
      </c>
      <c r="K86" s="718" t="s">
        <v>129</v>
      </c>
      <c r="L86" s="719">
        <f>L79*L78</f>
        <v>0</v>
      </c>
      <c r="M86" s="717">
        <f>M79*M78</f>
        <v>0</v>
      </c>
      <c r="N86" s="720" t="s">
        <v>152</v>
      </c>
      <c r="O86" s="568">
        <f>SUM(J86,L86,M86)</f>
        <v>0</v>
      </c>
      <c r="P86" s="10"/>
      <c r="Q86" s="219"/>
      <c r="W86" s="586"/>
      <c r="X86" s="586"/>
      <c r="Y86" s="586"/>
      <c r="Z86" s="586"/>
      <c r="AA86" s="586"/>
      <c r="AB86" s="586"/>
      <c r="AC86" s="586"/>
      <c r="AD86" s="586"/>
      <c r="AE86" s="586"/>
      <c r="AF86" s="586"/>
    </row>
    <row r="87" spans="1:32" s="343" customFormat="1" ht="24" customHeight="1">
      <c r="B87" s="341" t="s">
        <v>153</v>
      </c>
      <c r="C87" s="654"/>
      <c r="D87" s="655"/>
      <c r="E87" s="656"/>
      <c r="F87" s="648"/>
      <c r="G87" s="649"/>
      <c r="H87" s="1519" t="s">
        <v>154</v>
      </c>
      <c r="I87" s="1520"/>
      <c r="J87" s="1520"/>
      <c r="K87" s="1520"/>
      <c r="L87" s="1520"/>
      <c r="M87" s="1520"/>
      <c r="N87" s="1520"/>
      <c r="O87" s="1521"/>
      <c r="P87" s="10"/>
      <c r="Q87" s="219"/>
      <c r="W87" s="586"/>
      <c r="X87" s="586"/>
      <c r="Y87" s="586"/>
      <c r="Z87" s="586"/>
      <c r="AA87" s="586"/>
      <c r="AB87" s="586"/>
      <c r="AC87" s="586"/>
      <c r="AD87" s="586"/>
      <c r="AE87" s="586"/>
      <c r="AF87" s="586"/>
    </row>
    <row r="88" spans="1:32" s="343" customFormat="1" ht="24" customHeight="1">
      <c r="B88" s="805" t="s">
        <v>155</v>
      </c>
      <c r="C88" s="638" t="s">
        <v>475</v>
      </c>
      <c r="D88" s="639" t="s">
        <v>68</v>
      </c>
      <c r="E88" s="643" t="s">
        <v>68</v>
      </c>
      <c r="F88" s="650"/>
      <c r="G88" s="481"/>
      <c r="H88" s="1522"/>
      <c r="I88" s="1523"/>
      <c r="J88" s="1523"/>
      <c r="K88" s="1523"/>
      <c r="L88" s="1523"/>
      <c r="M88" s="1523"/>
      <c r="N88" s="1523"/>
      <c r="O88" s="1524"/>
      <c r="P88" s="524"/>
      <c r="Q88" s="530"/>
      <c r="W88" s="586"/>
      <c r="X88" s="586"/>
      <c r="Y88" s="586"/>
      <c r="Z88" s="586"/>
      <c r="AA88" s="586"/>
      <c r="AB88" s="586"/>
      <c r="AC88" s="586"/>
      <c r="AD88" s="586"/>
      <c r="AE88" s="586"/>
      <c r="AF88" s="586"/>
    </row>
    <row r="89" spans="1:32" s="343" customFormat="1" ht="18.75" customHeight="1">
      <c r="A89" s="342"/>
      <c r="B89" s="527"/>
      <c r="D89" s="1464"/>
      <c r="E89" s="1464"/>
      <c r="F89" s="528"/>
      <c r="G89" s="529"/>
      <c r="H89" s="532"/>
      <c r="I89" s="942"/>
      <c r="J89" s="532"/>
      <c r="K89" s="532"/>
      <c r="L89" s="532"/>
      <c r="M89" s="532"/>
      <c r="N89" s="532"/>
      <c r="O89" s="532"/>
      <c r="P89" s="10"/>
      <c r="Q89" s="409"/>
      <c r="W89" s="586"/>
      <c r="X89" s="586"/>
      <c r="Y89" s="586"/>
      <c r="Z89" s="586"/>
      <c r="AA89" s="586"/>
      <c r="AB89" s="586"/>
      <c r="AC89" s="586"/>
      <c r="AD89" s="586"/>
      <c r="AE89" s="586"/>
      <c r="AF89" s="586"/>
    </row>
    <row r="90" spans="1:32" s="343" customFormat="1" ht="17.25" customHeight="1" thickBot="1">
      <c r="A90" s="342"/>
      <c r="B90" s="531"/>
      <c r="C90" s="526"/>
      <c r="I90" s="941"/>
      <c r="J90" s="941"/>
      <c r="Q90" s="342"/>
      <c r="W90" s="586"/>
      <c r="X90" s="586"/>
      <c r="Y90" s="586"/>
      <c r="Z90" s="586"/>
      <c r="AA90" s="586"/>
      <c r="AB90" s="586"/>
      <c r="AC90" s="586"/>
      <c r="AD90" s="586"/>
      <c r="AE90" s="586"/>
      <c r="AF90" s="586"/>
    </row>
    <row r="91" spans="1:32" ht="41.85" customHeight="1" thickTop="1" thickBot="1">
      <c r="A91" s="219"/>
      <c r="B91" s="571" t="s">
        <v>177</v>
      </c>
      <c r="C91" s="1525" t="s">
        <v>436</v>
      </c>
      <c r="D91" s="1526"/>
      <c r="E91" s="1527"/>
      <c r="F91" s="217"/>
      <c r="G91" s="217"/>
      <c r="H91" s="217"/>
      <c r="I91" s="943"/>
      <c r="J91" s="217"/>
      <c r="K91" s="217"/>
      <c r="L91" s="217"/>
      <c r="M91" s="217"/>
      <c r="N91" s="217"/>
      <c r="O91" s="217"/>
      <c r="P91" s="217"/>
      <c r="Q91" s="490"/>
    </row>
    <row r="92" spans="1:32" ht="21.75" customHeight="1" thickTop="1">
      <c r="A92" s="219"/>
      <c r="B92" s="226" t="s">
        <v>178</v>
      </c>
      <c r="C92" s="178"/>
      <c r="D92" s="178"/>
      <c r="E92" s="178"/>
      <c r="F92" s="178"/>
      <c r="G92" s="178"/>
      <c r="H92" s="178"/>
      <c r="I92" s="178"/>
      <c r="J92" s="178"/>
      <c r="K92" s="178"/>
      <c r="L92" s="484" t="s">
        <v>179</v>
      </c>
      <c r="M92" s="178"/>
      <c r="N92" s="178"/>
      <c r="O92" s="178"/>
      <c r="P92" s="178"/>
      <c r="Q92" s="482"/>
    </row>
    <row r="93" spans="1:32" ht="20.399999999999999">
      <c r="A93" s="219"/>
      <c r="B93" s="485" t="s">
        <v>180</v>
      </c>
      <c r="C93" s="1512" t="s">
        <v>108</v>
      </c>
      <c r="D93" s="1512"/>
      <c r="E93" s="345" t="s">
        <v>109</v>
      </c>
      <c r="F93" s="495" t="s">
        <v>181</v>
      </c>
      <c r="G93" s="486" t="s">
        <v>182</v>
      </c>
      <c r="H93" s="345"/>
      <c r="I93" s="502" t="s">
        <v>183</v>
      </c>
      <c r="J93" s="505" t="s">
        <v>184</v>
      </c>
      <c r="K93" s="497" t="s">
        <v>63</v>
      </c>
      <c r="L93" s="502" t="s">
        <v>185</v>
      </c>
      <c r="M93" s="491"/>
      <c r="N93" s="123"/>
      <c r="O93" s="123"/>
      <c r="P93" s="123"/>
      <c r="Q93" s="125"/>
    </row>
    <row r="94" spans="1:32" ht="16.5" customHeight="1">
      <c r="A94" s="219"/>
      <c r="B94" s="127" t="s">
        <v>67</v>
      </c>
      <c r="C94" s="1135">
        <f>'Datenbank-Preise'!B266</f>
        <v>0</v>
      </c>
      <c r="D94" s="1140">
        <f>'Datenbank-Preise'!B273</f>
        <v>0</v>
      </c>
      <c r="E94" s="893" t="str">
        <f>'Datenbank-Preise'!B280</f>
        <v/>
      </c>
      <c r="F94" s="857">
        <f>IF($C$91="iSFP",G44,IF($C$91="Variante 1",G60,IF($C$91="Variante 2",G76,0)))</f>
        <v>0</v>
      </c>
      <c r="G94" s="1505"/>
      <c r="H94" s="1505"/>
      <c r="I94" s="860">
        <v>0</v>
      </c>
      <c r="J94" s="504">
        <f>F94+I94</f>
        <v>0</v>
      </c>
      <c r="K94" s="863">
        <f>Datenaustausch!X69</f>
        <v>0</v>
      </c>
      <c r="L94" s="488">
        <f>IF($L$92="auf Standardpreis",F94*0.8,J94*0.8)</f>
        <v>0</v>
      </c>
      <c r="M94" s="1449"/>
      <c r="N94" s="1450"/>
      <c r="O94" s="1450"/>
      <c r="P94" s="1450"/>
      <c r="Q94" s="1451"/>
    </row>
    <row r="95" spans="1:32" ht="19.350000000000001" customHeight="1">
      <c r="A95" s="219"/>
      <c r="B95" s="127" t="s">
        <v>70</v>
      </c>
      <c r="C95" s="1136">
        <f>'Datenbank-Preise'!C266</f>
        <v>0</v>
      </c>
      <c r="D95" s="1141">
        <f>'Datenbank-Preise'!C273</f>
        <v>0</v>
      </c>
      <c r="E95" s="893" t="str">
        <f>'Datenbank-Preise'!C280</f>
        <v/>
      </c>
      <c r="F95" s="857">
        <f>IF($C$91="iSFP",G45,IF($C$91="Variante 1",G61,IF($C$91="Variante 2",G77,0)))</f>
        <v>0</v>
      </c>
      <c r="G95" s="1505"/>
      <c r="H95" s="1505"/>
      <c r="I95" s="861">
        <v>0</v>
      </c>
      <c r="J95" s="504">
        <f t="shared" ref="J95:J101" si="0">F95+I95</f>
        <v>0</v>
      </c>
      <c r="K95" s="863">
        <f>Datenaustausch!X70</f>
        <v>0</v>
      </c>
      <c r="L95" s="488">
        <f t="shared" ref="L95:L101" si="1">IF($L$92="auf Standardpreis",F95*0.8,J95*0.8)</f>
        <v>0</v>
      </c>
      <c r="M95" s="1452"/>
      <c r="N95" s="1453"/>
      <c r="O95" s="1453"/>
      <c r="P95" s="1453"/>
      <c r="Q95" s="1454"/>
    </row>
    <row r="96" spans="1:32" ht="18.75" customHeight="1">
      <c r="A96" s="219"/>
      <c r="B96" s="127" t="s">
        <v>72</v>
      </c>
      <c r="C96" s="1136">
        <f>'Datenbank-Preise'!D266</f>
        <v>0</v>
      </c>
      <c r="D96" s="1141" t="str">
        <f>'Datenbank-Preise'!D273</f>
        <v/>
      </c>
      <c r="E96" s="893" t="str">
        <f>'Datenbank-Preise'!D280</f>
        <v/>
      </c>
      <c r="F96" s="857">
        <f>IF($C$91="iSFP",G46,IF($C$91="Variante 1",G62,IF($C$91="Variante 2",G78,0)))</f>
        <v>0</v>
      </c>
      <c r="G96" s="1505"/>
      <c r="H96" s="1505"/>
      <c r="I96" s="861">
        <v>0</v>
      </c>
      <c r="J96" s="504">
        <f t="shared" si="0"/>
        <v>0</v>
      </c>
      <c r="K96" s="863">
        <f>Datenaustausch!X71</f>
        <v>0</v>
      </c>
      <c r="L96" s="488">
        <f t="shared" si="1"/>
        <v>0</v>
      </c>
      <c r="M96" s="1452"/>
      <c r="N96" s="1453"/>
      <c r="O96" s="1453"/>
      <c r="P96" s="1453"/>
      <c r="Q96" s="1454"/>
    </row>
    <row r="97" spans="1:18">
      <c r="A97" s="219"/>
      <c r="B97" s="127" t="s">
        <v>73</v>
      </c>
      <c r="C97" s="1136">
        <f>'Datenbank-Preise'!E266</f>
        <v>0</v>
      </c>
      <c r="D97" s="1141">
        <f>'Datenbank-Preise'!E273</f>
        <v>0</v>
      </c>
      <c r="E97" s="893" t="str">
        <f>'Datenbank-Preise'!E280</f>
        <v/>
      </c>
      <c r="F97" s="857">
        <f>IF($C$91="iSFP",G47,IF($C$91="Variante 1",G63,IF($C$91="Variante 2",G79,0)))</f>
        <v>0</v>
      </c>
      <c r="G97" s="1505"/>
      <c r="H97" s="1505"/>
      <c r="I97" s="861">
        <v>0</v>
      </c>
      <c r="J97" s="504">
        <f t="shared" si="0"/>
        <v>0</v>
      </c>
      <c r="K97" s="863">
        <v>0</v>
      </c>
      <c r="L97" s="1269">
        <f>IF($L$92="auf Standardpreis",F97*0.8,J97*0.8)</f>
        <v>0</v>
      </c>
      <c r="M97" s="1452"/>
      <c r="N97" s="1453"/>
      <c r="O97" s="1453"/>
      <c r="P97" s="1453"/>
      <c r="Q97" s="1454"/>
    </row>
    <row r="98" spans="1:18">
      <c r="A98" s="219"/>
      <c r="B98" s="127" t="s">
        <v>74</v>
      </c>
      <c r="C98" s="1136">
        <f>'Datenbank-Preise'!F266</f>
        <v>0</v>
      </c>
      <c r="D98" s="1141">
        <f>'Datenbank-Preise'!F273</f>
        <v>0</v>
      </c>
      <c r="E98" s="893" t="str">
        <f>'Datenbank-Preise'!F280</f>
        <v/>
      </c>
      <c r="F98" s="857">
        <f>IF($C$91="iSFP",G48,IF($C$91="Variante 1",G64,IF($C$91="Variante 2",G80,0)))</f>
        <v>0</v>
      </c>
      <c r="G98" s="1267"/>
      <c r="H98" s="1262"/>
      <c r="I98" s="862">
        <v>0</v>
      </c>
      <c r="J98" s="504">
        <f>F98+I98</f>
        <v>0</v>
      </c>
      <c r="K98" s="863">
        <f>Datenaustausch!X72</f>
        <v>0</v>
      </c>
      <c r="L98" s="1269">
        <f>IF($L$92="auf Standardpreis",F98*0.8,J98*0.8)</f>
        <v>0</v>
      </c>
      <c r="M98" s="1452"/>
      <c r="N98" s="1453"/>
      <c r="O98" s="1453"/>
      <c r="P98" s="1453"/>
      <c r="Q98" s="1454"/>
    </row>
    <row r="99" spans="1:18" ht="18" customHeight="1">
      <c r="A99" s="219"/>
      <c r="B99" s="358" t="s">
        <v>132</v>
      </c>
      <c r="C99" s="1507" t="str">
        <f>IF($C$91="nicht festgelegt","nicht festgelegt",_xlfn.TEXTJOIN(" + ",,IF(C94="-","","Dach"),IF(C95="-","","Fassade"),IF(C96="-","","Fenster"),IF(C97="-","","Boden (unterer Gebäudeabschluss)"),IF(C98="-","","Keller")))</f>
        <v>nicht festgelegt</v>
      </c>
      <c r="D99" s="1507"/>
      <c r="E99" s="1507"/>
      <c r="F99" s="859">
        <f>SUM(F94:F98)</f>
        <v>0</v>
      </c>
      <c r="G99" s="1506"/>
      <c r="H99" s="1506"/>
      <c r="I99" s="211">
        <f>SUM(I94:I98)</f>
        <v>0</v>
      </c>
      <c r="J99" s="1268">
        <f>F99+I99</f>
        <v>0</v>
      </c>
      <c r="K99" s="864">
        <f>SUM(K94:K98)</f>
        <v>0</v>
      </c>
      <c r="L99" s="1275">
        <f>IF($L$92="auf Standardpreis",F99*0.8,J99*0.8)</f>
        <v>0</v>
      </c>
      <c r="M99" s="1452"/>
      <c r="N99" s="1453"/>
      <c r="O99" s="1453"/>
      <c r="P99" s="1453"/>
      <c r="Q99" s="1454"/>
    </row>
    <row r="100" spans="1:18">
      <c r="A100" s="219"/>
      <c r="B100" s="306" t="s">
        <v>76</v>
      </c>
      <c r="C100" s="1137">
        <f>'Datenbank-Preise'!G266</f>
        <v>0</v>
      </c>
      <c r="D100" s="1142">
        <f>'Datenbank-Preise'!G273</f>
        <v>0</v>
      </c>
      <c r="E100" s="454" t="str">
        <f>'Datenbank-Preise'!G280</f>
        <v/>
      </c>
      <c r="F100" s="857">
        <f>IF($C$91="iSFP",G50,IF($C$91="Variante 1",G66,IF($C$91="Variante 2",G82,0)))</f>
        <v>0</v>
      </c>
      <c r="G100" s="1505"/>
      <c r="H100" s="1505"/>
      <c r="I100" s="861">
        <v>0</v>
      </c>
      <c r="J100" s="506">
        <f t="shared" si="0"/>
        <v>0</v>
      </c>
      <c r="K100" s="863">
        <f>Datenaustausch!X73</f>
        <v>0</v>
      </c>
      <c r="L100" s="494">
        <f t="shared" si="1"/>
        <v>0</v>
      </c>
      <c r="M100" s="1452"/>
      <c r="N100" s="1453"/>
      <c r="O100" s="1453"/>
      <c r="P100" s="1453"/>
      <c r="Q100" s="1454"/>
    </row>
    <row r="101" spans="1:18">
      <c r="A101" s="219"/>
      <c r="B101" s="127" t="s">
        <v>78</v>
      </c>
      <c r="C101" s="1138">
        <f>'Datenbank-Preise'!H266</f>
        <v>0</v>
      </c>
      <c r="D101" s="1143">
        <f>'Datenbank-Preise'!H273</f>
        <v>0</v>
      </c>
      <c r="E101" s="454" t="str">
        <f>'Datenbank-Preise'!H280</f>
        <v/>
      </c>
      <c r="F101" s="857">
        <f>IF($C$91="iSFP",G51,IF($C$91="Variante 1",G67,IF($C$91="Variante 2",G83,0)))</f>
        <v>0</v>
      </c>
      <c r="G101" s="1505"/>
      <c r="H101" s="1505"/>
      <c r="I101" s="861">
        <v>0</v>
      </c>
      <c r="J101" s="504">
        <f t="shared" si="0"/>
        <v>0</v>
      </c>
      <c r="K101" s="863"/>
      <c r="L101" s="488">
        <f t="shared" si="1"/>
        <v>0</v>
      </c>
      <c r="M101" s="1452"/>
      <c r="N101" s="1453"/>
      <c r="O101" s="1453"/>
      <c r="P101" s="1453"/>
      <c r="Q101" s="1454"/>
    </row>
    <row r="102" spans="1:18">
      <c r="A102" s="219"/>
      <c r="B102" s="127" t="s">
        <v>142</v>
      </c>
      <c r="C102" s="1139">
        <f>'Datenbank-Preise'!I266</f>
        <v>0</v>
      </c>
      <c r="D102" s="1403">
        <f>'Datenbank-Preise'!I273</f>
        <v>0</v>
      </c>
      <c r="E102" s="1403" t="str">
        <f>'Datenbank-Preise'!I280</f>
        <v/>
      </c>
      <c r="F102" s="858">
        <f>IF($C$91="iSFP",G52,IF($C$91="Variante 1",G68,IF($C$91="Variante 2",G84,0)))</f>
        <v>0</v>
      </c>
      <c r="G102" s="1528"/>
      <c r="H102" s="1528"/>
      <c r="I102" s="862">
        <v>0</v>
      </c>
      <c r="J102" s="504">
        <f>F102+I102</f>
        <v>0</v>
      </c>
      <c r="K102" s="863">
        <v>0</v>
      </c>
      <c r="L102" s="488">
        <f>IF($L$92="auf Standardpreis",F102*0.8,J102*0.8)</f>
        <v>0</v>
      </c>
      <c r="M102" s="1452"/>
      <c r="N102" s="1453"/>
      <c r="O102" s="1453"/>
      <c r="P102" s="1453"/>
      <c r="Q102" s="1454"/>
    </row>
    <row r="103" spans="1:18">
      <c r="A103" s="10">
        <v>0</v>
      </c>
      <c r="B103" s="301" t="s">
        <v>1171</v>
      </c>
      <c r="C103" s="1401"/>
      <c r="D103" s="1401"/>
      <c r="E103" s="454"/>
      <c r="F103" s="858">
        <v>0</v>
      </c>
      <c r="G103" s="1262"/>
      <c r="H103" s="1262"/>
      <c r="I103" s="862"/>
      <c r="J103" s="504">
        <f>F103</f>
        <v>0</v>
      </c>
      <c r="K103" s="863"/>
      <c r="L103" s="488"/>
      <c r="M103" s="1452"/>
      <c r="N103" s="1453"/>
      <c r="O103" s="1453"/>
      <c r="P103" s="1453"/>
      <c r="Q103" s="1454"/>
    </row>
    <row r="104" spans="1:18" ht="23.25" customHeight="1">
      <c r="A104" s="219"/>
      <c r="B104" s="1402" t="s">
        <v>187</v>
      </c>
      <c r="C104" s="483"/>
      <c r="D104" s="110"/>
      <c r="E104" s="1157"/>
      <c r="F104" s="489">
        <f>SUM(F99:F103)</f>
        <v>0</v>
      </c>
      <c r="G104" s="1531"/>
      <c r="H104" s="1531"/>
      <c r="I104" s="492">
        <f>SUM(I99:I102)</f>
        <v>0</v>
      </c>
      <c r="J104" s="503">
        <f>SUM(J99:J103)</f>
        <v>0</v>
      </c>
      <c r="K104" s="501">
        <f>SUM(K99:K102)</f>
        <v>0</v>
      </c>
      <c r="L104" s="492">
        <f>SUM(L99:L102)</f>
        <v>0</v>
      </c>
      <c r="M104" s="1455"/>
      <c r="N104" s="1456"/>
      <c r="O104" s="1456"/>
      <c r="P104" s="1456"/>
      <c r="Q104" s="1457"/>
    </row>
    <row r="105" spans="1:18" ht="15" customHeight="1">
      <c r="A105" s="219"/>
      <c r="F105" s="249"/>
      <c r="G105" s="249"/>
      <c r="H105" s="249"/>
      <c r="I105" s="249"/>
      <c r="J105" s="249"/>
      <c r="K105" s="249"/>
      <c r="L105" s="249"/>
      <c r="M105" s="249"/>
      <c r="N105" s="249"/>
      <c r="O105" s="249"/>
      <c r="P105" s="249"/>
      <c r="Q105" s="250"/>
    </row>
    <row r="106" spans="1:18">
      <c r="A106" s="219"/>
      <c r="B106" s="226" t="s">
        <v>188</v>
      </c>
      <c r="C106" s="338"/>
      <c r="D106" s="412" t="s">
        <v>189</v>
      </c>
      <c r="E106" s="496"/>
      <c r="F106" s="371" t="s">
        <v>190</v>
      </c>
      <c r="G106" s="339"/>
      <c r="H106" s="339"/>
      <c r="I106" s="480"/>
      <c r="J106" s="371" t="s">
        <v>107</v>
      </c>
      <c r="K106" s="226"/>
      <c r="L106" s="226"/>
      <c r="M106" s="226"/>
      <c r="N106" s="1321"/>
      <c r="O106" s="614"/>
      <c r="P106" s="227"/>
      <c r="Q106" s="228"/>
      <c r="R106" s="298"/>
    </row>
    <row r="107" spans="1:18" ht="18.600000000000001" customHeight="1">
      <c r="A107" s="219"/>
      <c r="B107" s="1534"/>
      <c r="C107" s="1535"/>
      <c r="D107" s="358" t="s">
        <v>180</v>
      </c>
      <c r="E107" s="497" t="s">
        <v>184</v>
      </c>
      <c r="F107" s="345" t="s">
        <v>110</v>
      </c>
      <c r="G107" s="22" t="s">
        <v>112</v>
      </c>
      <c r="H107" s="22" t="s">
        <v>113</v>
      </c>
      <c r="I107" s="346" t="s">
        <v>114</v>
      </c>
      <c r="J107" s="347" t="s">
        <v>115</v>
      </c>
      <c r="K107" s="348" t="s">
        <v>116</v>
      </c>
      <c r="L107" s="565" t="s">
        <v>117</v>
      </c>
      <c r="M107" s="349" t="s">
        <v>118</v>
      </c>
      <c r="N107" s="605" t="s">
        <v>119</v>
      </c>
      <c r="O107" s="1539" t="str">
        <f>Datenaustausch!AS85</f>
        <v/>
      </c>
      <c r="P107" s="1540"/>
      <c r="Q107" s="1541"/>
    </row>
    <row r="108" spans="1:18">
      <c r="A108" s="219"/>
      <c r="B108" s="1536"/>
      <c r="C108" s="1467"/>
      <c r="D108" s="127" t="s">
        <v>67</v>
      </c>
      <c r="E108" s="498">
        <f>J94</f>
        <v>0</v>
      </c>
      <c r="F108" s="18">
        <f>IF($C$91="iSFP",F44,IF($C$91="Variante 1",F60,IF($C$91="Variante 2",F76,0)))</f>
        <v>0</v>
      </c>
      <c r="G108" s="627">
        <f t="shared" ref="G108:H112" si="2">IF($C$91="iSFP",H44,IF($C$91="Variante 1",H60,IF($C$91="Variante 2",H76,0)))</f>
        <v>0</v>
      </c>
      <c r="H108" s="628">
        <f t="shared" si="2"/>
        <v>0</v>
      </c>
      <c r="I108" s="351">
        <f t="shared" ref="I108:I111" si="3">G108*H108</f>
        <v>0</v>
      </c>
      <c r="J108" s="1445" t="s">
        <v>122</v>
      </c>
      <c r="K108" s="1439">
        <f>IF($C$91="iSFP",L44,IF($C$91="Variante 1",L60,IF($C$91="Variante 2",L76,0)))</f>
        <v>0</v>
      </c>
      <c r="L108" s="1439">
        <f>IF($C$91="iSFP",M44,IF($C$91="Variante 1",M60,IF($C$91="Variante 2",M76,0)))</f>
        <v>0</v>
      </c>
      <c r="M108" s="1441">
        <f>IF($C$91="iSFP",N44,IF($C$91="Variante 1",N60,IF($C$91="Variante 2",N76,0)))</f>
        <v>0</v>
      </c>
      <c r="N108" s="606"/>
      <c r="O108" s="1542"/>
      <c r="P108" s="1543"/>
      <c r="Q108" s="1544"/>
    </row>
    <row r="109" spans="1:18">
      <c r="A109" s="219"/>
      <c r="B109" s="1536"/>
      <c r="C109" s="1467"/>
      <c r="D109" s="127" t="s">
        <v>70</v>
      </c>
      <c r="E109" s="498">
        <f>J95</f>
        <v>0</v>
      </c>
      <c r="F109" s="18">
        <f>IF($C$91="iSFP",F45,IF($C$91="Variante 1",F61,IF($C$91="Variante 2",F77,0)))</f>
        <v>0</v>
      </c>
      <c r="G109" s="627">
        <f t="shared" si="2"/>
        <v>0</v>
      </c>
      <c r="H109" s="628">
        <f t="shared" si="2"/>
        <v>0</v>
      </c>
      <c r="I109" s="351">
        <f>G109*H109</f>
        <v>0</v>
      </c>
      <c r="J109" s="1446"/>
      <c r="K109" s="1440"/>
      <c r="L109" s="1440"/>
      <c r="M109" s="1442"/>
      <c r="N109" s="607">
        <f>K110+L110+M110</f>
        <v>0</v>
      </c>
      <c r="O109" s="1542"/>
      <c r="P109" s="1543"/>
      <c r="Q109" s="1544"/>
    </row>
    <row r="110" spans="1:18">
      <c r="A110" s="219"/>
      <c r="B110" s="1536"/>
      <c r="C110" s="1467"/>
      <c r="D110" s="127" t="s">
        <v>72</v>
      </c>
      <c r="E110" s="498">
        <f>J96</f>
        <v>0</v>
      </c>
      <c r="F110" s="18">
        <f>IF($C$91="iSFP",F46,IF($C$91="Variante 1",F62,IF($C$91="Variante 2",F78,0)))</f>
        <v>0</v>
      </c>
      <c r="G110" s="627">
        <f t="shared" si="2"/>
        <v>0</v>
      </c>
      <c r="H110" s="628">
        <f t="shared" si="2"/>
        <v>0</v>
      </c>
      <c r="I110" s="351">
        <f t="shared" si="3"/>
        <v>0</v>
      </c>
      <c r="J110" s="17" t="s">
        <v>126</v>
      </c>
      <c r="K110" s="628">
        <f t="shared" ref="K110:L115" si="4">IF($C$91="iSFP",L46,IF($C$91="Variante 1",L62,IF($C$91="Variante 2",L78,0)))</f>
        <v>0</v>
      </c>
      <c r="L110" s="628">
        <f t="shared" si="4"/>
        <v>0</v>
      </c>
      <c r="M110" s="628">
        <f>IF($C$91="iSFP",N46,IF($C$91="Variante 1",N63,IF($C$91="Variante 2",N79,0)))</f>
        <v>0</v>
      </c>
      <c r="N110" s="608"/>
      <c r="O110" s="1542"/>
      <c r="P110" s="1543"/>
      <c r="Q110" s="1544"/>
    </row>
    <row r="111" spans="1:18">
      <c r="A111" s="219"/>
      <c r="B111" s="1536"/>
      <c r="C111" s="1467"/>
      <c r="D111" s="127" t="s">
        <v>73</v>
      </c>
      <c r="E111" s="498">
        <f>J97</f>
        <v>0</v>
      </c>
      <c r="F111" s="18">
        <f>IF($C$91="iSFP",F47,IF($C$91="Variante 1",F63,IF($C$91="Variante 2",F79,0)))</f>
        <v>0</v>
      </c>
      <c r="G111" s="627">
        <f t="shared" si="2"/>
        <v>0</v>
      </c>
      <c r="H111" s="628">
        <f t="shared" si="2"/>
        <v>0</v>
      </c>
      <c r="I111" s="351">
        <f t="shared" si="3"/>
        <v>0</v>
      </c>
      <c r="J111" s="354" t="s">
        <v>129</v>
      </c>
      <c r="K111" s="632">
        <f t="shared" si="4"/>
        <v>0</v>
      </c>
      <c r="L111" s="632">
        <f t="shared" si="4"/>
        <v>0</v>
      </c>
      <c r="M111" s="632">
        <f>IF($C$91="iSFP",N47,IF($C$91="Variante 1",N64,IF($C$91="Variante 2",N80,0)))</f>
        <v>0</v>
      </c>
      <c r="N111" s="609"/>
      <c r="O111" s="1542"/>
      <c r="P111" s="1543"/>
      <c r="Q111" s="1544"/>
    </row>
    <row r="112" spans="1:18">
      <c r="A112" s="219"/>
      <c r="B112" s="1536"/>
      <c r="C112" s="1467"/>
      <c r="D112" s="127" t="s">
        <v>74</v>
      </c>
      <c r="E112" s="498">
        <f>J98</f>
        <v>0</v>
      </c>
      <c r="F112" s="18">
        <f>IF($C$91="iSFP",F48,IF($C$91="Variante 1",F64,IF($C$91="Variante 2",F80,0)))</f>
        <v>0</v>
      </c>
      <c r="G112" s="627">
        <f t="shared" si="2"/>
        <v>0</v>
      </c>
      <c r="H112" s="628">
        <f t="shared" si="2"/>
        <v>0</v>
      </c>
      <c r="I112" s="351">
        <f>G112*H112</f>
        <v>0</v>
      </c>
      <c r="J112" s="356" t="s">
        <v>131</v>
      </c>
      <c r="K112" s="634">
        <f t="shared" si="4"/>
        <v>0</v>
      </c>
      <c r="L112" s="634">
        <f t="shared" si="4"/>
        <v>0</v>
      </c>
      <c r="M112" s="634">
        <f>IF($C$91="iSFP",N48,IF($C$91="Variante 1",#REF!,IF($C$91="Variante 2",#REF!,0)))</f>
        <v>0</v>
      </c>
      <c r="N112" s="609"/>
      <c r="O112" s="1542"/>
      <c r="P112" s="1543"/>
      <c r="Q112" s="1544"/>
    </row>
    <row r="113" spans="1:17">
      <c r="A113" s="219"/>
      <c r="B113" s="1536"/>
      <c r="C113" s="1467"/>
      <c r="D113" s="358" t="s">
        <v>132</v>
      </c>
      <c r="E113" s="499">
        <f t="shared" ref="E113:E115" si="5">J99</f>
        <v>0</v>
      </c>
      <c r="F113" s="302"/>
      <c r="G113" s="1276">
        <f>SUM(G108:G111)/COUNT(G108:G111)</f>
        <v>0</v>
      </c>
      <c r="H113" s="359">
        <f>SUM(H108:H111)</f>
        <v>0</v>
      </c>
      <c r="I113" s="360">
        <f>SUM(I108:I112)</f>
        <v>0</v>
      </c>
      <c r="J113" s="134" t="s">
        <v>133</v>
      </c>
      <c r="K113" s="636">
        <f t="shared" si="4"/>
        <v>0</v>
      </c>
      <c r="L113" s="636">
        <f t="shared" si="4"/>
        <v>0</v>
      </c>
      <c r="M113" s="636">
        <f>IF($C$91="iSFP",N49,IF($C$91="Variante 1",N65,IF($C$91="Variante 2",N81,0)))</f>
        <v>0</v>
      </c>
      <c r="N113" s="609"/>
      <c r="O113" s="1542"/>
      <c r="P113" s="1543"/>
      <c r="Q113" s="1544"/>
    </row>
    <row r="114" spans="1:17">
      <c r="A114" s="219"/>
      <c r="B114" s="1536"/>
      <c r="C114" s="1467"/>
      <c r="D114" s="303" t="s">
        <v>76</v>
      </c>
      <c r="E114" s="499">
        <f t="shared" si="5"/>
        <v>0</v>
      </c>
      <c r="F114" s="302">
        <f>IF($C$91="iSFP",F50,IF($C$91="Variante 1",F66,IF($C$91="Variante 2",F82,0)))</f>
        <v>0</v>
      </c>
      <c r="G114" s="644">
        <f>IF($C$91="iSFP",H50,IF($C$91="Variante 1",H66,IF($C$91="Variante 2",H82,0)))</f>
        <v>0</v>
      </c>
      <c r="H114" s="645">
        <f>IF($C$91="iSFP",I50,IF($C$91="Variante 1",I66,IF($C$91="Variante 2",I82,0)))</f>
        <v>0</v>
      </c>
      <c r="I114" s="360">
        <f>G114*H114</f>
        <v>0</v>
      </c>
      <c r="J114" s="123" t="s">
        <v>137</v>
      </c>
      <c r="K114" s="636">
        <f t="shared" si="4"/>
        <v>0</v>
      </c>
      <c r="L114" s="636">
        <f t="shared" si="4"/>
        <v>0</v>
      </c>
      <c r="M114" s="636">
        <f>IF($C$91="iSFP",N50,IF($C$91="Variante 1",N66,IF($C$91="Variante 2",N82,0)))</f>
        <v>0</v>
      </c>
      <c r="N114" s="610"/>
      <c r="O114" s="1542"/>
      <c r="P114" s="1543"/>
      <c r="Q114" s="1544"/>
    </row>
    <row r="115" spans="1:17">
      <c r="A115" s="219"/>
      <c r="B115" s="1536"/>
      <c r="C115" s="1467"/>
      <c r="D115" s="1124" t="s">
        <v>78</v>
      </c>
      <c r="E115" s="499">
        <f t="shared" si="5"/>
        <v>0</v>
      </c>
      <c r="F115" s="123"/>
      <c r="G115" s="361" t="s">
        <v>191</v>
      </c>
      <c r="H115" s="1529">
        <f>F99-H113</f>
        <v>0</v>
      </c>
      <c r="I115" s="1530"/>
      <c r="J115" s="123" t="s">
        <v>141</v>
      </c>
      <c r="K115" s="634">
        <f t="shared" si="4"/>
        <v>0</v>
      </c>
      <c r="L115" s="634">
        <f t="shared" si="4"/>
        <v>0</v>
      </c>
      <c r="M115" s="634">
        <f>IF($C$91="iSFP",N51,IF($C$91="Variante 1",N67,IF($C$91="Variante 2",N83,0)))</f>
        <v>0</v>
      </c>
      <c r="N115" s="611"/>
      <c r="O115" s="1542"/>
      <c r="P115" s="1543"/>
      <c r="Q115" s="1544"/>
    </row>
    <row r="116" spans="1:17">
      <c r="A116" s="219"/>
      <c r="B116" s="1536"/>
      <c r="C116" s="1467"/>
      <c r="D116" s="1434" t="s">
        <v>142</v>
      </c>
      <c r="E116" s="498">
        <f>J102</f>
        <v>0</v>
      </c>
      <c r="F116" s="123"/>
      <c r="G116" s="893" t="s">
        <v>144</v>
      </c>
      <c r="H116" s="1532">
        <f>E118-I118</f>
        <v>0</v>
      </c>
      <c r="I116" s="1533"/>
      <c r="J116" s="127" t="s">
        <v>145</v>
      </c>
      <c r="K116" s="1311">
        <f>_xlfn.XLOOKUP(0,Datenbank!D379:AH379,Datenbank!D366:AH366)</f>
        <v>1</v>
      </c>
      <c r="L116" s="1311">
        <f>_xlfn.XLOOKUP(0,Datenbank!D396:AH396,Datenbank!D383:AH383)</f>
        <v>1</v>
      </c>
      <c r="M116" s="1311">
        <f>_xlfn.XLOOKUP(0,Datenbank!D413:AH413,Datenbank!D400:AH400)</f>
        <v>1</v>
      </c>
      <c r="N116" s="612"/>
      <c r="O116" s="1542"/>
      <c r="P116" s="1543"/>
      <c r="Q116" s="1544"/>
    </row>
    <row r="117" spans="1:17" ht="17.399999999999999" thickBot="1">
      <c r="A117" s="219"/>
      <c r="B117" s="1536"/>
      <c r="C117" s="1467"/>
      <c r="D117" s="127" t="s">
        <v>1171</v>
      </c>
      <c r="E117" s="499">
        <f>J103</f>
        <v>0</v>
      </c>
      <c r="F117" s="123"/>
      <c r="G117" s="365"/>
      <c r="H117" s="363"/>
      <c r="I117" s="188"/>
      <c r="J117" s="123" t="s">
        <v>148</v>
      </c>
      <c r="K117" s="620">
        <f>(K115+K112)*K110/12</f>
        <v>0</v>
      </c>
      <c r="L117" s="620">
        <f>(L115+L112)*L110/12</f>
        <v>0</v>
      </c>
      <c r="M117" s="621">
        <f>(M115+M112)*M110/12</f>
        <v>0</v>
      </c>
      <c r="N117" s="613">
        <f>K117+L117+M117</f>
        <v>0</v>
      </c>
      <c r="O117" s="1542"/>
      <c r="P117" s="1543"/>
      <c r="Q117" s="1544"/>
    </row>
    <row r="118" spans="1:17" ht="19.2" thickBot="1">
      <c r="A118" s="219"/>
      <c r="B118" s="1537"/>
      <c r="C118" s="1538"/>
      <c r="D118" s="721" t="s">
        <v>187</v>
      </c>
      <c r="E118" s="1435">
        <f>J104</f>
        <v>0</v>
      </c>
      <c r="F118" s="1433"/>
      <c r="G118" s="723"/>
      <c r="H118" s="716" t="s">
        <v>151</v>
      </c>
      <c r="I118" s="717">
        <f>SUM(I113:I114)</f>
        <v>0</v>
      </c>
      <c r="J118" s="724" t="s">
        <v>129</v>
      </c>
      <c r="K118" s="719">
        <f>K111*K110</f>
        <v>0</v>
      </c>
      <c r="L118" s="717">
        <f>L111*L110</f>
        <v>0</v>
      </c>
      <c r="M118" s="720" t="s">
        <v>152</v>
      </c>
      <c r="N118" s="725">
        <f>SUM(I118,K118,L118)</f>
        <v>0</v>
      </c>
      <c r="O118" s="1545"/>
      <c r="P118" s="1546"/>
      <c r="Q118" s="1547"/>
    </row>
    <row r="119" spans="1:17" ht="27">
      <c r="B119" s="1513" t="s">
        <v>192</v>
      </c>
      <c r="C119" s="1514"/>
      <c r="D119" s="1514"/>
      <c r="E119" s="249"/>
      <c r="K119" s="249"/>
      <c r="N119" s="249"/>
      <c r="Q119" s="219"/>
    </row>
    <row r="120" spans="1:17">
      <c r="B120" s="252" t="s">
        <v>193</v>
      </c>
      <c r="C120" s="178"/>
      <c r="D120" s="338"/>
      <c r="E120" s="178"/>
      <c r="F120" s="178"/>
      <c r="G120" s="226"/>
      <c r="H120" s="227"/>
      <c r="I120" s="227"/>
      <c r="J120" s="593"/>
      <c r="K120" s="227"/>
      <c r="L120" s="227"/>
      <c r="M120" s="227"/>
      <c r="N120" s="227"/>
      <c r="O120" s="227"/>
      <c r="P120" s="227"/>
      <c r="Q120" s="228"/>
    </row>
    <row r="121" spans="1:17">
      <c r="A121" s="219"/>
      <c r="B121" s="122" t="s">
        <v>194</v>
      </c>
      <c r="C121" s="123"/>
      <c r="D121" s="188"/>
      <c r="E121" s="124" t="s">
        <v>195</v>
      </c>
      <c r="F121" s="434"/>
      <c r="G121" s="123"/>
      <c r="H121" s="124"/>
      <c r="I121" s="876">
        <v>440</v>
      </c>
      <c r="J121" s="122" t="s">
        <v>196</v>
      </c>
      <c r="K121" s="434" t="s">
        <v>197</v>
      </c>
      <c r="L121" s="123"/>
      <c r="M121" s="123"/>
      <c r="N121" s="123"/>
      <c r="O121" s="123"/>
      <c r="P121" s="123"/>
      <c r="Q121" s="125"/>
    </row>
    <row r="122" spans="1:17">
      <c r="A122" s="219"/>
      <c r="B122" s="127" t="s">
        <v>89</v>
      </c>
      <c r="C122" s="127">
        <f>IF($C$91="iSFP",C54,IF($C$91="Variante 1",C70,IF($C$91="Variante 2",C86,0)))</f>
        <v>0</v>
      </c>
      <c r="D122" s="189" t="s">
        <v>90</v>
      </c>
      <c r="E122" s="123" t="s">
        <v>198</v>
      </c>
      <c r="F122" s="123"/>
      <c r="G122" s="123"/>
      <c r="H122" s="588">
        <f>IF($C$91="iSFP",Datenbank!J96,IF($C$91="Variante 1",Datenbank!J205,IF($C$91="Variante 2",Datenbank!J322,0)))</f>
        <v>0</v>
      </c>
      <c r="I122" s="188"/>
      <c r="J122" s="123" t="s">
        <v>199</v>
      </c>
      <c r="K122" s="123"/>
      <c r="L122" s="1036">
        <f>F104</f>
        <v>0</v>
      </c>
      <c r="M122" s="123" t="s">
        <v>200</v>
      </c>
      <c r="N122" s="1036">
        <f>Datenbank!AO103</f>
        <v>0</v>
      </c>
      <c r="O122" s="123" t="s">
        <v>201</v>
      </c>
      <c r="P122" s="1036">
        <f>Datenaustausch!X74</f>
        <v>0</v>
      </c>
      <c r="Q122" s="125"/>
    </row>
    <row r="123" spans="1:17">
      <c r="A123" s="219"/>
      <c r="B123" s="127" t="s">
        <v>202</v>
      </c>
      <c r="C123" s="127">
        <f>IF($C$91="iSFP",D54,IF($C$91="Variante 1",D70,IF($C$91="Variante 2",D86,0)))</f>
        <v>0</v>
      </c>
      <c r="D123" s="189" t="s">
        <v>90</v>
      </c>
      <c r="E123" s="129" t="s">
        <v>203</v>
      </c>
      <c r="F123" s="123"/>
      <c r="G123" s="123"/>
      <c r="H123" s="892" t="str">
        <f>_xlfn.TEXTBEFORE(IF($C$91="iSFP",IF(C51="-","10 ",C51),IF($C$91="Variante 1",IF(C67="-","10 ",C67),IF($C$91="Variante 2",IF(C83="-","10 ",C83),"10 ")))," ")</f>
        <v>10</v>
      </c>
      <c r="I123" s="195" t="s">
        <v>204</v>
      </c>
      <c r="J123" s="123" t="s">
        <v>205</v>
      </c>
      <c r="K123" s="123"/>
      <c r="L123" s="1036">
        <f>L104</f>
        <v>0</v>
      </c>
      <c r="M123" s="123" t="s">
        <v>206</v>
      </c>
      <c r="N123" s="1036" t="e">
        <f>Datenbank!AN446</f>
        <v>#DIV/0!</v>
      </c>
      <c r="O123" s="123" t="s">
        <v>152</v>
      </c>
      <c r="P123" s="1036">
        <f>N118</f>
        <v>0</v>
      </c>
      <c r="Q123" s="125"/>
    </row>
    <row r="124" spans="1:17">
      <c r="A124" s="219"/>
      <c r="B124" s="17" t="s">
        <v>207</v>
      </c>
      <c r="C124" s="127">
        <f>IF($C$91="iSFP",E54,IF($C$91="Variante 1",E70,IF($C$91="Variante 2",E86,0)))</f>
        <v>0</v>
      </c>
      <c r="D124" s="189" t="s">
        <v>90</v>
      </c>
      <c r="E124" s="129" t="s">
        <v>208</v>
      </c>
      <c r="F124" s="587" t="s">
        <v>209</v>
      </c>
      <c r="G124" s="123"/>
      <c r="H124" s="653">
        <v>850</v>
      </c>
      <c r="I124" s="195" t="s">
        <v>210</v>
      </c>
      <c r="J124" s="123"/>
      <c r="K124" s="123"/>
      <c r="L124" s="123"/>
      <c r="M124" s="123"/>
      <c r="N124" s="123"/>
      <c r="O124" s="123"/>
      <c r="P124" s="123"/>
      <c r="Q124" s="125"/>
    </row>
    <row r="125" spans="1:17">
      <c r="A125" s="219"/>
      <c r="B125" s="123" t="s">
        <v>211</v>
      </c>
      <c r="C125" s="588">
        <f>IF($C$91="iSFP",C55,IF($C$91="Variante 1",C71,IF($C$91="Variante 2",C87,0)))</f>
        <v>0</v>
      </c>
      <c r="D125" s="188" t="s">
        <v>212</v>
      </c>
      <c r="E125" s="129" t="s">
        <v>213</v>
      </c>
      <c r="F125" s="588" t="s">
        <v>209</v>
      </c>
      <c r="G125" s="123"/>
      <c r="H125" s="653">
        <v>60</v>
      </c>
      <c r="I125" s="195" t="s">
        <v>214</v>
      </c>
      <c r="J125" s="123"/>
      <c r="K125" s="123"/>
      <c r="L125" s="123"/>
      <c r="M125" s="123"/>
      <c r="N125" s="123"/>
      <c r="O125" s="123"/>
      <c r="P125" s="123"/>
      <c r="Q125" s="125"/>
    </row>
    <row r="126" spans="1:17">
      <c r="A126" s="219"/>
      <c r="B126" s="123" t="s">
        <v>215</v>
      </c>
      <c r="C126" s="588">
        <f>IF($C$91="iSFP",C56,IF($C$91="Variante 1",C72,IF($C$91="Variante 2",C88,0)))</f>
        <v>0</v>
      </c>
      <c r="D126" s="188"/>
      <c r="E126" s="129" t="s">
        <v>216</v>
      </c>
      <c r="F126" s="123"/>
      <c r="G126" s="123"/>
      <c r="H126" s="130">
        <f>L14</f>
        <v>0</v>
      </c>
      <c r="I126" s="188" t="s">
        <v>217</v>
      </c>
      <c r="J126" s="123"/>
      <c r="K126" s="123"/>
      <c r="L126" s="123"/>
      <c r="M126" s="123"/>
      <c r="N126" s="123"/>
      <c r="O126" s="123"/>
      <c r="P126" s="123"/>
      <c r="Q126" s="125"/>
    </row>
    <row r="127" spans="1:17">
      <c r="A127" s="219"/>
      <c r="B127" s="123" t="s">
        <v>218</v>
      </c>
      <c r="C127" s="588">
        <f>IF($C$91="iSFP",D56,IF($C$91="Variante 1",D72,IF($C$91="Variante 2",D88,0)))</f>
        <v>0</v>
      </c>
      <c r="D127" s="188"/>
      <c r="E127" s="129" t="s">
        <v>219</v>
      </c>
      <c r="F127" s="123"/>
      <c r="G127" s="123"/>
      <c r="H127" s="26">
        <f>IF(C132="Ja",C135,0)</f>
        <v>0</v>
      </c>
      <c r="I127" s="188" t="s">
        <v>217</v>
      </c>
      <c r="J127" s="123"/>
      <c r="K127" s="123"/>
      <c r="L127" s="123"/>
      <c r="M127" s="123"/>
      <c r="N127" s="123"/>
      <c r="O127" s="123"/>
      <c r="P127" s="123"/>
      <c r="Q127" s="125"/>
    </row>
    <row r="128" spans="1:17">
      <c r="A128" s="219"/>
      <c r="B128" s="123" t="s">
        <v>220</v>
      </c>
      <c r="C128" s="588">
        <f>IF($C$91="iSFP",E56,IF($C$91="Variante 1",E72,IF($C$91="Variante 2",E88,0)))</f>
        <v>0</v>
      </c>
      <c r="D128" s="188"/>
      <c r="E128" s="129" t="s">
        <v>221</v>
      </c>
      <c r="F128" s="123"/>
      <c r="G128" s="123"/>
      <c r="H128" s="26">
        <f>H126+H127</f>
        <v>0</v>
      </c>
      <c r="I128" s="195" t="s">
        <v>217</v>
      </c>
      <c r="J128" s="123"/>
      <c r="K128" s="123"/>
      <c r="L128" s="123"/>
      <c r="M128" s="123"/>
      <c r="N128" s="123"/>
      <c r="O128" s="123"/>
      <c r="P128" s="123"/>
      <c r="Q128" s="125"/>
    </row>
    <row r="129" spans="1:17">
      <c r="A129" s="219"/>
      <c r="B129" s="123" t="s">
        <v>222</v>
      </c>
      <c r="C129" s="588">
        <f>IF($C$91="iSFP",C53,IF($C$91="Variante 1",C69,IF($C$91="Variante 2",C85,0)))</f>
        <v>0</v>
      </c>
      <c r="D129" s="188"/>
      <c r="E129" s="129" t="s">
        <v>223</v>
      </c>
      <c r="F129" s="123"/>
      <c r="G129" s="123"/>
      <c r="H129" s="652" t="e">
        <f>_xlfn.TEXTBEFORE(IF($C$91="iSFP",D51,IF($C$91="Variante 1",D67,IF($C$91="Variante 2",D83,0)))," ")</f>
        <v>#N/A</v>
      </c>
      <c r="I129" s="195" t="s">
        <v>224</v>
      </c>
      <c r="J129" s="123"/>
      <c r="K129" s="123"/>
      <c r="L129" s="123"/>
      <c r="M129" s="123"/>
      <c r="N129" s="123"/>
      <c r="O129" s="123"/>
      <c r="P129" s="123"/>
      <c r="Q129" s="125"/>
    </row>
    <row r="130" spans="1:17">
      <c r="A130" s="219"/>
      <c r="B130" s="123" t="s">
        <v>225</v>
      </c>
      <c r="C130" s="588">
        <f>IF($C$91="iSFP",D53,IF($C$91="Variante 1",D69,IF($C$91="Variante 2",D85,0)))</f>
        <v>0</v>
      </c>
      <c r="D130" s="188"/>
      <c r="E130" s="129" t="s">
        <v>226</v>
      </c>
      <c r="F130" s="588" t="s">
        <v>209</v>
      </c>
      <c r="G130" s="123"/>
      <c r="H130" s="652">
        <v>1000</v>
      </c>
      <c r="I130" s="195" t="s">
        <v>217</v>
      </c>
      <c r="J130" s="123"/>
      <c r="K130" s="123"/>
      <c r="L130" s="123"/>
      <c r="M130" s="123"/>
      <c r="N130" s="123"/>
      <c r="O130" s="123"/>
      <c r="P130" s="123"/>
      <c r="Q130" s="125"/>
    </row>
    <row r="131" spans="1:17">
      <c r="A131" s="219"/>
      <c r="B131" s="123"/>
      <c r="C131" s="123"/>
      <c r="D131" s="188"/>
      <c r="E131" s="140" t="s">
        <v>227</v>
      </c>
      <c r="F131" s="216" t="s">
        <v>209</v>
      </c>
      <c r="G131" s="123"/>
      <c r="H131" s="651">
        <v>100</v>
      </c>
      <c r="I131" s="196" t="s">
        <v>217</v>
      </c>
      <c r="J131" s="123"/>
      <c r="K131" s="123"/>
      <c r="L131" s="123"/>
      <c r="M131" s="123"/>
      <c r="N131" s="123"/>
      <c r="O131" s="123"/>
      <c r="P131" s="123"/>
      <c r="Q131" s="125"/>
    </row>
    <row r="132" spans="1:17">
      <c r="A132" s="219"/>
      <c r="B132" s="123" t="s">
        <v>228</v>
      </c>
      <c r="C132" s="587">
        <f>IF($C$91="iSFP",Datenbank!J95,IF($C$91="Variante 1",Datenbank!J204,IF($C$91="Variante 2",Datenbank!J321,0)))</f>
        <v>0</v>
      </c>
      <c r="D132" s="187"/>
      <c r="E132" s="129" t="s">
        <v>229</v>
      </c>
      <c r="F132" s="123"/>
      <c r="G132" s="142"/>
      <c r="H132" s="26">
        <f>H124*H123</f>
        <v>8500</v>
      </c>
      <c r="I132" s="188" t="s">
        <v>217</v>
      </c>
      <c r="J132" s="123"/>
      <c r="K132" s="123"/>
      <c r="L132" s="123"/>
      <c r="M132" s="123"/>
      <c r="N132" s="123"/>
      <c r="O132" s="123"/>
      <c r="P132" s="123"/>
      <c r="Q132" s="125"/>
    </row>
    <row r="133" spans="1:17">
      <c r="A133" s="219"/>
      <c r="B133" s="17" t="s">
        <v>230</v>
      </c>
      <c r="C133" s="865">
        <v>3.5</v>
      </c>
      <c r="D133" s="188" t="s">
        <v>68</v>
      </c>
      <c r="E133" s="129" t="s">
        <v>231</v>
      </c>
      <c r="F133" s="123"/>
      <c r="G133" s="123"/>
      <c r="H133" s="26">
        <f>H132-H135-H131</f>
        <v>3400</v>
      </c>
      <c r="I133" s="188" t="s">
        <v>217</v>
      </c>
      <c r="J133" s="123"/>
      <c r="K133" s="123"/>
      <c r="L133" s="123"/>
      <c r="M133" s="123"/>
      <c r="N133" s="123"/>
      <c r="O133" s="123"/>
      <c r="P133" s="123"/>
      <c r="Q133" s="125"/>
    </row>
    <row r="134" spans="1:17">
      <c r="A134" s="219"/>
      <c r="B134" s="134" t="s">
        <v>232</v>
      </c>
      <c r="C134" s="587">
        <f>IF($C$91="iSFP",Datenbank!G95,IF($C$91="Variante 1",Datenbank!G204,IF($C$91="Variante 2",Datenbank!G321,0)))</f>
        <v>0</v>
      </c>
      <c r="D134" s="188" t="s">
        <v>93</v>
      </c>
      <c r="E134" s="129" t="s">
        <v>233</v>
      </c>
      <c r="F134" s="123"/>
      <c r="G134" s="123"/>
      <c r="H134" s="26">
        <f>H128-H135</f>
        <v>-5000</v>
      </c>
      <c r="I134" s="188" t="s">
        <v>217</v>
      </c>
      <c r="J134" s="123"/>
      <c r="K134" s="123"/>
      <c r="L134" s="123"/>
      <c r="M134" s="123"/>
      <c r="N134" s="123"/>
      <c r="O134" s="123"/>
      <c r="P134" s="123"/>
      <c r="Q134" s="125"/>
    </row>
    <row r="135" spans="1:17">
      <c r="A135" s="219"/>
      <c r="B135" s="134" t="s">
        <v>234</v>
      </c>
      <c r="C135" s="1107">
        <f>(C134*1.2+500*C16)/C133</f>
        <v>0</v>
      </c>
      <c r="D135" s="188" t="s">
        <v>93</v>
      </c>
      <c r="E135" s="129" t="s">
        <v>235</v>
      </c>
      <c r="F135" s="123"/>
      <c r="G135" s="123"/>
      <c r="H135" s="26">
        <f>H125/100*H132-H131</f>
        <v>5000</v>
      </c>
      <c r="I135" s="188" t="s">
        <v>217</v>
      </c>
      <c r="J135" s="123"/>
      <c r="K135" s="123"/>
      <c r="L135" s="123"/>
      <c r="M135" s="123"/>
      <c r="N135" s="123"/>
      <c r="O135" s="123"/>
      <c r="P135" s="123"/>
      <c r="Q135" s="125"/>
    </row>
    <row r="136" spans="1:17">
      <c r="A136" s="219"/>
      <c r="B136" s="17" t="s">
        <v>236</v>
      </c>
      <c r="C136" s="133">
        <f>O14/C133</f>
        <v>0</v>
      </c>
      <c r="D136" s="187"/>
      <c r="E136" s="129" t="s">
        <v>237</v>
      </c>
      <c r="F136" s="123"/>
      <c r="G136" s="123"/>
      <c r="H136" s="26">
        <f>H135-H130</f>
        <v>4000</v>
      </c>
      <c r="I136" s="188" t="s">
        <v>217</v>
      </c>
      <c r="J136" s="123"/>
      <c r="K136" s="123"/>
      <c r="L136" s="123"/>
      <c r="M136" s="123"/>
      <c r="N136" s="123"/>
      <c r="O136" s="123"/>
      <c r="P136" s="123"/>
      <c r="Q136" s="125"/>
    </row>
    <row r="137" spans="1:17">
      <c r="A137" s="219"/>
      <c r="B137" s="17" t="s">
        <v>238</v>
      </c>
      <c r="C137" s="133">
        <f>C136*C134</f>
        <v>0</v>
      </c>
      <c r="D137" s="194"/>
      <c r="E137" s="140" t="s">
        <v>239</v>
      </c>
      <c r="F137" s="110"/>
      <c r="G137" s="110"/>
      <c r="H137" s="111" t="e">
        <f>((H128-H134)/H128)*100</f>
        <v>#DIV/0!</v>
      </c>
      <c r="I137" s="197" t="s">
        <v>214</v>
      </c>
      <c r="J137" s="123"/>
      <c r="K137" s="123"/>
      <c r="L137" s="123"/>
      <c r="M137" s="123"/>
      <c r="N137" s="123"/>
      <c r="O137" s="123"/>
      <c r="P137" s="123"/>
      <c r="Q137" s="125"/>
    </row>
    <row r="138" spans="1:17">
      <c r="A138" s="219"/>
      <c r="B138" s="123"/>
      <c r="C138" s="123"/>
      <c r="D138" s="188"/>
      <c r="E138" s="136" t="s">
        <v>240</v>
      </c>
      <c r="F138" s="129"/>
      <c r="G138" s="129"/>
      <c r="H138" s="882">
        <v>8.1000000000000003E-2</v>
      </c>
      <c r="I138" s="195" t="s">
        <v>97</v>
      </c>
      <c r="J138" s="123"/>
      <c r="K138" s="123"/>
      <c r="L138" s="123"/>
      <c r="M138" s="123"/>
      <c r="N138" s="123"/>
      <c r="O138" s="123"/>
      <c r="P138" s="123"/>
      <c r="Q138" s="125"/>
    </row>
    <row r="139" spans="1:17">
      <c r="A139" s="219"/>
      <c r="B139" s="143" t="s">
        <v>241</v>
      </c>
      <c r="C139" s="142"/>
      <c r="D139" s="191"/>
      <c r="E139" s="136" t="s">
        <v>242</v>
      </c>
      <c r="F139" s="129"/>
      <c r="G139" s="129"/>
      <c r="H139" s="891">
        <v>7.0000000000000007E-2</v>
      </c>
      <c r="I139" s="195" t="s">
        <v>97</v>
      </c>
      <c r="J139" s="123"/>
      <c r="K139" s="123"/>
      <c r="L139" s="123"/>
      <c r="M139" s="123"/>
      <c r="N139" s="123"/>
      <c r="O139" s="123"/>
      <c r="P139" s="123"/>
      <c r="Q139" s="125"/>
    </row>
    <row r="140" spans="1:17">
      <c r="B140" s="131" t="s">
        <v>243</v>
      </c>
      <c r="C140" s="877">
        <v>0.02</v>
      </c>
      <c r="D140" s="188"/>
      <c r="E140" s="136" t="s">
        <v>244</v>
      </c>
      <c r="F140" s="129"/>
      <c r="G140" s="129"/>
      <c r="H140" s="891">
        <f>IF(H123&lt;10,H138,(10/H123)*H138+((H123-10)/H123)*H139)</f>
        <v>8.1000000000000003E-2</v>
      </c>
      <c r="I140" s="195" t="s">
        <v>97</v>
      </c>
      <c r="J140" s="123"/>
      <c r="K140" s="123"/>
      <c r="L140" s="123"/>
      <c r="M140" s="123"/>
      <c r="N140" s="123"/>
      <c r="O140" s="123"/>
      <c r="P140" s="123"/>
      <c r="Q140" s="125"/>
    </row>
    <row r="141" spans="1:17">
      <c r="B141" s="131"/>
      <c r="C141" s="356"/>
      <c r="D141" s="188"/>
      <c r="E141" s="141" t="s">
        <v>245</v>
      </c>
      <c r="F141" s="140"/>
      <c r="G141" s="129"/>
      <c r="H141" s="883">
        <v>0.03</v>
      </c>
      <c r="I141" s="196" t="s">
        <v>97</v>
      </c>
      <c r="J141" s="123"/>
      <c r="K141" s="123"/>
      <c r="L141" s="123"/>
      <c r="M141" s="123"/>
      <c r="N141" s="123"/>
      <c r="O141" s="123"/>
      <c r="P141" s="123"/>
      <c r="Q141" s="125"/>
    </row>
    <row r="142" spans="1:17">
      <c r="B142" s="131" t="s">
        <v>246</v>
      </c>
      <c r="C142" s="877">
        <v>0.04</v>
      </c>
      <c r="D142" s="189"/>
      <c r="E142" s="129" t="s">
        <v>247</v>
      </c>
      <c r="F142" s="129"/>
      <c r="G142" s="884"/>
      <c r="H142" s="885">
        <f>H128*O14</f>
        <v>0</v>
      </c>
      <c r="I142" s="886"/>
      <c r="J142" s="123"/>
      <c r="K142" s="123"/>
      <c r="L142" s="123"/>
      <c r="M142" s="123"/>
      <c r="N142" s="123"/>
      <c r="O142" s="123"/>
      <c r="P142" s="123"/>
      <c r="Q142" s="125"/>
    </row>
    <row r="143" spans="1:17">
      <c r="B143" s="131" t="s">
        <v>248</v>
      </c>
      <c r="C143" s="877">
        <v>0.04</v>
      </c>
      <c r="D143" s="192"/>
      <c r="E143" s="129" t="s">
        <v>249</v>
      </c>
      <c r="F143" s="129"/>
      <c r="G143" s="129"/>
      <c r="H143" s="885">
        <f>H134*O14</f>
        <v>0</v>
      </c>
      <c r="I143" s="887"/>
      <c r="J143" s="123"/>
      <c r="K143" s="123"/>
      <c r="L143" s="123"/>
      <c r="M143" s="123"/>
      <c r="N143" s="123"/>
      <c r="O143" s="123"/>
      <c r="P143" s="123"/>
      <c r="Q143" s="125"/>
    </row>
    <row r="144" spans="1:17">
      <c r="B144" s="131" t="s">
        <v>250</v>
      </c>
      <c r="C144" s="877">
        <v>0.04</v>
      </c>
      <c r="D144" s="188"/>
      <c r="E144" s="129" t="s">
        <v>251</v>
      </c>
      <c r="F144" s="129"/>
      <c r="G144" s="129"/>
      <c r="H144" s="885">
        <f>H142-H143</f>
        <v>0</v>
      </c>
      <c r="I144" s="886"/>
      <c r="J144" s="123"/>
      <c r="K144" s="123"/>
      <c r="L144" s="123"/>
      <c r="M144" s="123"/>
      <c r="N144" s="123"/>
      <c r="O144" s="123"/>
      <c r="P144" s="123"/>
      <c r="Q144" s="125"/>
    </row>
    <row r="145" spans="2:17" ht="17.399999999999999" thickBot="1">
      <c r="B145" s="126" t="s">
        <v>252</v>
      </c>
      <c r="C145" s="877">
        <v>0.04</v>
      </c>
      <c r="D145" s="193"/>
      <c r="E145" s="888" t="s">
        <v>253</v>
      </c>
      <c r="F145" s="888"/>
      <c r="G145" s="888"/>
      <c r="H145" s="889">
        <f>H133*H140</f>
        <v>275.40000000000003</v>
      </c>
      <c r="I145" s="890"/>
      <c r="J145" s="594"/>
      <c r="K145" s="123"/>
      <c r="L145" s="138"/>
      <c r="M145" s="138"/>
      <c r="N145" s="138"/>
      <c r="O145" s="138"/>
      <c r="P145" s="138"/>
      <c r="Q145" s="139"/>
    </row>
    <row r="146" spans="2:17" ht="17.399999999999999" thickTop="1">
      <c r="B146" s="181"/>
      <c r="C146" s="181"/>
      <c r="E146" s="367"/>
      <c r="K146" s="181"/>
      <c r="M146" s="112"/>
    </row>
    <row r="147" spans="2:17">
      <c r="D147" s="368"/>
    </row>
    <row r="148" spans="2:17">
      <c r="C148" s="368"/>
      <c r="D148" s="367"/>
    </row>
    <row r="163" spans="4:9">
      <c r="F163" s="246"/>
    </row>
    <row r="164" spans="4:9">
      <c r="E164" s="367"/>
      <c r="F164" s="246"/>
    </row>
    <row r="165" spans="4:9">
      <c r="F165" s="246"/>
    </row>
    <row r="166" spans="4:9">
      <c r="D166" s="367"/>
      <c r="E166" s="220"/>
      <c r="F166" s="19"/>
    </row>
    <row r="167" spans="4:9">
      <c r="F167" s="246"/>
    </row>
    <row r="168" spans="4:9">
      <c r="D168" s="220"/>
      <c r="E168" s="220"/>
      <c r="F168" s="19"/>
      <c r="G168" s="220"/>
      <c r="H168" s="220"/>
      <c r="I168" s="220"/>
    </row>
    <row r="170" spans="4:9">
      <c r="D170" s="220"/>
      <c r="G170" s="220"/>
      <c r="H170" s="220"/>
      <c r="I170" s="220"/>
    </row>
  </sheetData>
  <mergeCells count="99">
    <mergeCell ref="D6:E6"/>
    <mergeCell ref="O2:Q8"/>
    <mergeCell ref="L2:N8"/>
    <mergeCell ref="F2:K3"/>
    <mergeCell ref="F5:G5"/>
    <mergeCell ref="F7:G7"/>
    <mergeCell ref="I5:K5"/>
    <mergeCell ref="I7:K7"/>
    <mergeCell ref="B119:D119"/>
    <mergeCell ref="D69:E69"/>
    <mergeCell ref="H71:O72"/>
    <mergeCell ref="C81:E81"/>
    <mergeCell ref="D85:E85"/>
    <mergeCell ref="H87:O88"/>
    <mergeCell ref="C91:E91"/>
    <mergeCell ref="G102:H102"/>
    <mergeCell ref="D89:E89"/>
    <mergeCell ref="G100:H100"/>
    <mergeCell ref="H115:I115"/>
    <mergeCell ref="G104:H104"/>
    <mergeCell ref="H116:I116"/>
    <mergeCell ref="B107:C118"/>
    <mergeCell ref="O107:Q118"/>
    <mergeCell ref="G94:H94"/>
    <mergeCell ref="C99:E99"/>
    <mergeCell ref="D53:E53"/>
    <mergeCell ref="C49:E49"/>
    <mergeCell ref="C93:D93"/>
    <mergeCell ref="C75:D75"/>
    <mergeCell ref="C65:E65"/>
    <mergeCell ref="L60:L61"/>
    <mergeCell ref="M60:M61"/>
    <mergeCell ref="N60:N61"/>
    <mergeCell ref="G101:H101"/>
    <mergeCell ref="G95:H95"/>
    <mergeCell ref="G96:H96"/>
    <mergeCell ref="G97:H97"/>
    <mergeCell ref="K60:K61"/>
    <mergeCell ref="G99:H99"/>
    <mergeCell ref="Z43:AB43"/>
    <mergeCell ref="Z45:AB45"/>
    <mergeCell ref="Z46:AB46"/>
    <mergeCell ref="D35:F35"/>
    <mergeCell ref="M38:N38"/>
    <mergeCell ref="M39:N39"/>
    <mergeCell ref="M40:N40"/>
    <mergeCell ref="I38:J38"/>
    <mergeCell ref="I39:J39"/>
    <mergeCell ref="E40:F40"/>
    <mergeCell ref="K35:Q35"/>
    <mergeCell ref="U45:W45"/>
    <mergeCell ref="U46:W46"/>
    <mergeCell ref="B37:C37"/>
    <mergeCell ref="C43:D43"/>
    <mergeCell ref="C59:D59"/>
    <mergeCell ref="H55:O56"/>
    <mergeCell ref="E39:F39"/>
    <mergeCell ref="E38:F38"/>
    <mergeCell ref="I40:J40"/>
    <mergeCell ref="N44:N45"/>
    <mergeCell ref="K44:K45"/>
    <mergeCell ref="L44:L45"/>
    <mergeCell ref="M44:M45"/>
    <mergeCell ref="D17:E18"/>
    <mergeCell ref="D22:E23"/>
    <mergeCell ref="D16:E16"/>
    <mergeCell ref="Z47:AB47"/>
    <mergeCell ref="Z49:AB49"/>
    <mergeCell ref="Z44:AB44"/>
    <mergeCell ref="U47:W47"/>
    <mergeCell ref="U49:W49"/>
    <mergeCell ref="I32:I33"/>
    <mergeCell ref="O26:Q33"/>
    <mergeCell ref="L26:N33"/>
    <mergeCell ref="G35:J35"/>
    <mergeCell ref="J26:K26"/>
    <mergeCell ref="J27:K27"/>
    <mergeCell ref="J28:K28"/>
    <mergeCell ref="J29:K29"/>
    <mergeCell ref="AA53:AB53"/>
    <mergeCell ref="U50:W50"/>
    <mergeCell ref="U51:W51"/>
    <mergeCell ref="U52:W52"/>
    <mergeCell ref="V53:W53"/>
    <mergeCell ref="Z50:AB50"/>
    <mergeCell ref="Z51:AB51"/>
    <mergeCell ref="Z52:AB52"/>
    <mergeCell ref="J30:K30"/>
    <mergeCell ref="J31:K31"/>
    <mergeCell ref="J32:K33"/>
    <mergeCell ref="J108:J109"/>
    <mergeCell ref="K108:K109"/>
    <mergeCell ref="L108:L109"/>
    <mergeCell ref="M108:M109"/>
    <mergeCell ref="N76:N77"/>
    <mergeCell ref="K76:K77"/>
    <mergeCell ref="L76:L77"/>
    <mergeCell ref="M76:M77"/>
    <mergeCell ref="M94:Q104"/>
  </mergeCells>
  <phoneticPr fontId="1" type="noConversion"/>
  <conditionalFormatting sqref="B133:D137 B139:D139">
    <cfRule type="expression" dxfId="358" priority="327">
      <formula>$C$132="Nein"</formula>
    </cfRule>
  </conditionalFormatting>
  <conditionalFormatting sqref="F44">
    <cfRule type="expression" dxfId="357" priority="15">
      <formula>AND($F$44&lt;&gt;"",$H$26&lt;$F$44)</formula>
    </cfRule>
  </conditionalFormatting>
  <conditionalFormatting sqref="F45">
    <cfRule type="expression" dxfId="356" priority="14">
      <formula>AND($F$45&lt;&gt;"",$H$27&lt;$F$45)</formula>
    </cfRule>
  </conditionalFormatting>
  <conditionalFormatting sqref="F46">
    <cfRule type="expression" dxfId="355" priority="11">
      <formula>AND($F$46&lt;&gt;"",$H$28&lt;$F$46)</formula>
    </cfRule>
  </conditionalFormatting>
  <conditionalFormatting sqref="F47">
    <cfRule type="expression" dxfId="354" priority="13">
      <formula>AND($F$47&lt;&gt;"",$H$29&lt;$F$47)</formula>
    </cfRule>
  </conditionalFormatting>
  <conditionalFormatting sqref="F48">
    <cfRule type="expression" dxfId="353" priority="12">
      <formula>AND($F$48&lt;&gt;"",$H$30&lt;$F$48)</formula>
    </cfRule>
  </conditionalFormatting>
  <conditionalFormatting sqref="F60">
    <cfRule type="expression" dxfId="352" priority="10">
      <formula>AND($F$60&lt;&gt;"",$H$26&lt;$F$60)</formula>
    </cfRule>
  </conditionalFormatting>
  <conditionalFormatting sqref="F61">
    <cfRule type="expression" dxfId="351" priority="9">
      <formula>AND($F$61&lt;&gt;"",$H$27&lt;$F$61)</formula>
    </cfRule>
  </conditionalFormatting>
  <conditionalFormatting sqref="F62">
    <cfRule type="expression" dxfId="350" priority="6">
      <formula>AND($F$62&lt;&gt;"",$H$28&lt;$F$62)</formula>
    </cfRule>
  </conditionalFormatting>
  <conditionalFormatting sqref="F63">
    <cfRule type="expression" dxfId="349" priority="8">
      <formula>AND($F$63&lt;&gt;"",$H$29&lt;$F$63)</formula>
    </cfRule>
  </conditionalFormatting>
  <conditionalFormatting sqref="F64">
    <cfRule type="expression" dxfId="348" priority="7">
      <formula>AND($F$64&lt;&gt;"",$H$30&lt;$F$64)</formula>
    </cfRule>
  </conditionalFormatting>
  <conditionalFormatting sqref="F76">
    <cfRule type="expression" dxfId="347" priority="5">
      <formula>AND($F$76&lt;&gt;"",$H$26&lt;$F$76)</formula>
    </cfRule>
  </conditionalFormatting>
  <conditionalFormatting sqref="F77">
    <cfRule type="expression" dxfId="346" priority="4">
      <formula>AND($F$77&lt;&gt;"",$H$27&lt;$F$77)</formula>
    </cfRule>
  </conditionalFormatting>
  <conditionalFormatting sqref="F78">
    <cfRule type="expression" dxfId="345" priority="1">
      <formula>AND($F$78&lt;&gt;"",$H$28&lt;$F$78)</formula>
    </cfRule>
  </conditionalFormatting>
  <conditionalFormatting sqref="F79">
    <cfRule type="expression" dxfId="344" priority="3">
      <formula>AND($F$79&lt;&gt;"",$H$29&lt;$F$79)</formula>
    </cfRule>
  </conditionalFormatting>
  <conditionalFormatting sqref="F80">
    <cfRule type="expression" dxfId="343" priority="2">
      <formula>AND($F$80&lt;&gt;"",$H$30&lt;$F$80)</formula>
    </cfRule>
  </conditionalFormatting>
  <conditionalFormatting sqref="I123 E123:F145 H124:I145">
    <cfRule type="expression" dxfId="342" priority="25">
      <formula>$H$122="Nein"</formula>
    </cfRule>
  </conditionalFormatting>
  <conditionalFormatting sqref="K110:M110">
    <cfRule type="expression" dxfId="341" priority="18">
      <formula>#REF!</formula>
    </cfRule>
  </conditionalFormatting>
  <conditionalFormatting sqref="L16">
    <cfRule type="expression" dxfId="340" priority="30">
      <formula>#REF!</formula>
    </cfRule>
  </conditionalFormatting>
  <conditionalFormatting sqref="L46:N46 D132 C133:C134">
    <cfRule type="expression" dxfId="339" priority="29">
      <formula>#REF!</formula>
    </cfRule>
  </conditionalFormatting>
  <conditionalFormatting sqref="L62:N62">
    <cfRule type="expression" dxfId="338" priority="20">
      <formula>#REF!</formula>
    </cfRule>
  </conditionalFormatting>
  <conditionalFormatting sqref="L78:N78">
    <cfRule type="expression" dxfId="337" priority="19">
      <formula>#REF!</formula>
    </cfRule>
  </conditionalFormatting>
  <dataValidations count="4">
    <dataValidation allowBlank="1" showInputMessage="1" showErrorMessage="1" promptTitle="Gesamt-Finanzierung" prompt="Hier findest du die Zusammenfassung deiner Finanzierung, die sich aus der Summe aller Darlehen ergibt." sqref="E121" xr:uid="{4D12CFCF-3809-43D6-AE95-403FCC43DFA5}"/>
    <dataValidation type="list" allowBlank="1" showInputMessage="1" showErrorMessage="1" sqref="C82 C66 C50" xr:uid="{72D1B363-78A2-4621-9A0D-69E00B3D2415}">
      <formula1>INDIRECT("Heizungspositionen[Position Heizung]")</formula1>
    </dataValidation>
    <dataValidation type="list" allowBlank="1" showInputMessage="1" showErrorMessage="1" sqref="D82 D66 D50" xr:uid="{D022255E-5BE9-4828-981E-00AFC61031B8}">
      <formula1>INDIRECT("Wärmeübertragungspositionen[Position Wärmeabgabe]")</formula1>
    </dataValidation>
    <dataValidation showDropDown="1" showInputMessage="1" showErrorMessage="1" sqref="F44:F48 F60:F64 F76:F80" xr:uid="{DC7139DE-0EE5-449A-B64E-E6CF90890648}"/>
  </dataValidations>
  <pageMargins left="0.70866141732283472" right="0.70866141732283472" top="0.74803149606299213" bottom="0.74803149606299213" header="0.31496062992125984" footer="0.31496062992125984"/>
  <pageSetup paperSize="9" orientation="portrait" r:id="rId1"/>
  <headerFooter>
    <oddHeader>&amp;C&amp;"-,Fett"&amp;12Energetische Sanierung&amp;R&amp;"-,Fett"&amp;12&amp;D</oddHeader>
    <oddFooter>&amp;R&amp;P</oddFooter>
  </headerFooter>
  <drawing r:id="rId2"/>
  <extLst>
    <ext xmlns:x14="http://schemas.microsoft.com/office/spreadsheetml/2009/9/main" uri="{CCE6A557-97BC-4b89-ADB6-D9C93CAAB3DF}">
      <x14:dataValidations xmlns:xm="http://schemas.microsoft.com/office/excel/2006/main" count="56">
        <x14:dataValidation type="list" allowBlank="1" showInputMessage="1" showErrorMessage="1" xr:uid="{A448C46B-07D7-4761-8C99-7CED06AEB168}">
          <x14:formula1>
            <xm:f>Datenbank!$G$3:$G$4</xm:f>
          </x14:formula1>
          <xm:sqref>AC56:AC58 X56:X58 D72 D56 D88</xm:sqref>
        </x14:dataValidation>
        <x14:dataValidation type="list" allowBlank="1" showInputMessage="1" showErrorMessage="1" xr:uid="{98A4D922-36F2-4BBB-A9F0-0F1E44CCFF4D}">
          <x14:formula1>
            <xm:f>Datenbank!$I$3:$I$4</xm:f>
          </x14:formula1>
          <xm:sqref>AD56:AD58 Y56:Y58 E72 E56 E88</xm:sqref>
        </x14:dataValidation>
        <x14:dataValidation type="list" allowBlank="1" showInputMessage="1" showErrorMessage="1" xr:uid="{BB75BBF8-810D-47DB-B0BA-7764125D86E5}">
          <x14:formula1>
            <xm:f>Datenbank!$E$3:$E$4</xm:f>
          </x14:formula1>
          <xm:sqref>L92</xm:sqref>
        </x14:dataValidation>
        <x14:dataValidation type="list" allowBlank="1" showInputMessage="1" showErrorMessage="1" xr:uid="{C3C90FA3-40CF-443C-B4D2-92C32B112961}">
          <x14:formula1>
            <xm:f>Datenbank!$K$3:$K$9</xm:f>
          </x14:formula1>
          <xm:sqref>W56:W58 C88 C56 C72 AB56:AB58</xm:sqref>
        </x14:dataValidation>
        <x14:dataValidation type="list" allowBlank="1" showInputMessage="1" showErrorMessage="1" xr:uid="{1538708D-3589-4C64-9DE1-31DE80AB2B16}">
          <x14:formula1>
            <xm:f>Datenbank!$S$3:$S$4</xm:f>
          </x14:formula1>
          <xm:sqref>C85 Z53 U53 C69 C53 AD50 AD44:AD48 Y50 Y44:Y48</xm:sqref>
        </x14:dataValidation>
        <x14:dataValidation type="list" allowBlank="1" showInputMessage="1" showErrorMessage="1" xr:uid="{D20D7B08-6B58-43EF-8CF0-98CE8F958593}">
          <x14:formula1>
            <xm:f>Datenbank!$T$3:$T$6</xm:f>
          </x14:formula1>
          <xm:sqref>C91:E91</xm:sqref>
        </x14:dataValidation>
        <x14:dataValidation type="list" allowBlank="1" showInputMessage="1" showErrorMessage="1" xr:uid="{EEF8C315-51BF-4AE2-B59A-FEB310BC5972}">
          <x14:formula1>
            <xm:f>'Datenbank-Preise'!$B$25:$B$31</xm:f>
          </x14:formula1>
          <xm:sqref>C77 C45 C61</xm:sqref>
        </x14:dataValidation>
        <x14:dataValidation type="list" allowBlank="1" showInputMessage="1" showErrorMessage="1" xr:uid="{B8D9707B-CCAB-40D7-8B46-8B64FD8C9C2A}">
          <x14:formula1>
            <xm:f>'Datenbank-Preise'!$B$5:$B$18</xm:f>
          </x14:formula1>
          <xm:sqref>C76 C44 C60</xm:sqref>
        </x14:dataValidation>
        <x14:dataValidation type="list" allowBlank="1" showInputMessage="1" showErrorMessage="1" xr:uid="{0A2C3F2D-61C2-4B51-9012-300038AD3A76}">
          <x14:formula1>
            <xm:f>'Datenbank-Preise'!$B$38:$B$44</xm:f>
          </x14:formula1>
          <xm:sqref>C78 C46 C62</xm:sqref>
        </x14:dataValidation>
        <x14:dataValidation type="list" allowBlank="1" showInputMessage="1" showErrorMessage="1" xr:uid="{6A14556D-A6CF-4579-B2D3-64CBC907746B}">
          <x14:formula1>
            <xm:f>'Datenbank-Preise'!$D$168:$D$222</xm:f>
          </x14:formula1>
          <xm:sqref>D47:D48 D79:D80 D63:D64</xm:sqref>
        </x14:dataValidation>
        <x14:dataValidation type="list" allowBlank="1" showInputMessage="1" showErrorMessage="1" xr:uid="{A56FF790-00FD-426A-8AA9-8A7741CC10EB}">
          <x14:formula1>
            <xm:f>'Datenbank-Preise'!$B$168:$B$222</xm:f>
          </x14:formula1>
          <xm:sqref>D44 D76 D60</xm:sqref>
        </x14:dataValidation>
        <x14:dataValidation type="list" allowBlank="1" showInputMessage="1" showErrorMessage="1" xr:uid="{FAEAED3A-E405-4CC7-BF39-20A69F99A2A3}">
          <x14:formula1>
            <xm:f>'Datenbank-Preise'!$P$182:$P$209</xm:f>
          </x14:formula1>
          <xm:sqref>I121</xm:sqref>
        </x14:dataValidation>
        <x14:dataValidation type="list" allowBlank="1" showInputMessage="1" showErrorMessage="1" xr:uid="{DDB4177A-CDE2-4431-ABAA-DAA8730D80C0}">
          <x14:formula1>
            <xm:f>'Datenbank-Preise'!$O$168:$O$175</xm:f>
          </x14:formula1>
          <xm:sqref>D83 D51 D67</xm:sqref>
        </x14:dataValidation>
        <x14:dataValidation type="list" allowBlank="1" showInputMessage="1" showErrorMessage="1" xr:uid="{34144B1C-5E7C-4F56-AC3A-7A5959622FA6}">
          <x14:formula1>
            <xm:f>'Datenbank-Preise'!$L$168:$L$217</xm:f>
          </x14:formula1>
          <xm:sqref>C51 C83 C67</xm:sqref>
        </x14:dataValidation>
        <x14:dataValidation type="list" allowBlank="1" showInputMessage="1" showErrorMessage="1" xr:uid="{6DDC0D02-EBAC-46FC-A55A-401EDC1F4DC6}">
          <x14:formula1>
            <xm:f>'Datenbank-Preise'!$B$140:$B$149</xm:f>
          </x14:formula1>
          <xm:sqref>J26</xm:sqref>
        </x14:dataValidation>
        <x14:dataValidation type="list" allowBlank="1" showInputMessage="1" showErrorMessage="1" xr:uid="{ED3A1161-5751-482D-AF66-C5D270619F32}">
          <x14:formula1>
            <xm:f>'Datenbank-Preise'!$E$140:$E$148</xm:f>
          </x14:formula1>
          <xm:sqref>J27</xm:sqref>
        </x14:dataValidation>
        <x14:dataValidation type="list" allowBlank="1" showInputMessage="1" showErrorMessage="1" xr:uid="{A6F49B41-6AFB-4485-9FD5-68CFEEF36FCB}">
          <x14:formula1>
            <xm:f>'Datenbank-Preise'!$H$140:$H$148</xm:f>
          </x14:formula1>
          <xm:sqref>J28</xm:sqref>
        </x14:dataValidation>
        <x14:dataValidation type="list" allowBlank="1" showInputMessage="1" showErrorMessage="1" xr:uid="{094566C4-0EB3-4568-A989-451FDCE235BD}">
          <x14:formula1>
            <xm:f>'Datenbank-Preise'!$K$140:$K$148</xm:f>
          </x14:formula1>
          <xm:sqref>J31</xm:sqref>
        </x14:dataValidation>
        <x14:dataValidation type="list" allowBlank="1" showInputMessage="1" showErrorMessage="1" xr:uid="{36BEDBA2-D0A9-43B9-9A2C-38AB0086EB30}">
          <x14:formula1>
            <xm:f>Datenbank!$B$4:$B$7</xm:f>
          </x14:formula1>
          <xm:sqref>E2</xm:sqref>
        </x14:dataValidation>
        <x14:dataValidation type="list" allowBlank="1" showInputMessage="1" showErrorMessage="1" xr:uid="{BE630131-F207-4BEE-9021-98181C9ECEDF}">
          <x14:formula1>
            <xm:f>'Datenbank-Preise'!$G$168:$G$182</xm:f>
          </x14:formula1>
          <xm:sqref>D45 D61 D77</xm:sqref>
        </x14:dataValidation>
        <x14:dataValidation type="list" allowBlank="1" showInputMessage="1" showErrorMessage="1" xr:uid="{4C985508-36B1-4D1E-9F46-5CE4C24C8CDB}">
          <x14:formula1>
            <xm:f>'Datenbank-Preise'!$B$235:$B$244</xm:f>
          </x14:formula1>
          <xm:sqref>C52 C84 C68</xm:sqref>
        </x14:dataValidation>
        <x14:dataValidation type="list" showDropDown="1" showInputMessage="1" showErrorMessage="1" xr:uid="{2A02D8D8-2DCD-446D-91D7-FC81BA79237A}">
          <x14:formula1>
            <xm:f>Datenbank!$S$3:$S$4</xm:f>
          </x14:formula1>
          <xm:sqref>F49:F50</xm:sqref>
        </x14:dataValidation>
        <x14:dataValidation type="list" allowBlank="1" showInputMessage="1" showErrorMessage="1" xr:uid="{F963A70C-5F3C-4B80-89A1-A9322A60E4BF}">
          <x14:formula1>
            <xm:f>'Datenbank-Preise'!$Q$140:$Q$142</xm:f>
          </x14:formula1>
          <xm:sqref>J30</xm:sqref>
        </x14:dataValidation>
        <x14:dataValidation type="list" allowBlank="1" showInputMessage="1" showErrorMessage="1" xr:uid="{07965AC0-8622-4CC7-85DB-0469A31965A7}">
          <x14:formula1>
            <xm:f>'Datenbank-Preise'!$B$52:$B$64</xm:f>
          </x14:formula1>
          <xm:sqref>C47 C63 C79</xm:sqref>
        </x14:dataValidation>
        <x14:dataValidation type="list" allowBlank="1" showInputMessage="1" showErrorMessage="1" xr:uid="{D27C0DE1-3D4D-4A8D-925F-3C3A6D9C966A}">
          <x14:formula1>
            <xm:f>'Datenbank-Preise'!$B$74:$B$82</xm:f>
          </x14:formula1>
          <xm:sqref>C64 C48 C80</xm:sqref>
        </x14:dataValidation>
        <x14:dataValidation type="list" allowBlank="1" showInputMessage="1" showErrorMessage="1" xr:uid="{177AA300-A89E-40BD-AA24-8897C0CCC92A}">
          <x14:formula1>
            <xm:f>Datenbank!$GD$13:$GD$15</xm:f>
          </x14:formula1>
          <xm:sqref>D26</xm:sqref>
        </x14:dataValidation>
        <x14:dataValidation type="list" allowBlank="1" showInputMessage="1" showErrorMessage="1" xr:uid="{F25342B2-92EC-4A37-88EA-2CA6C5D9205B}">
          <x14:formula1>
            <xm:f>Datenbank!$FX$13:$FX$15</xm:f>
          </x14:formula1>
          <xm:sqref>D27</xm:sqref>
        </x14:dataValidation>
        <x14:dataValidation type="list" allowBlank="1" showInputMessage="1" showErrorMessage="1" xr:uid="{943CF798-B49B-4C68-AB05-77119EC4D35E}">
          <x14:formula1>
            <xm:f>Datenbank!$GA$13:$GA$15</xm:f>
          </x14:formula1>
          <xm:sqref>D28</xm:sqref>
        </x14:dataValidation>
        <x14:dataValidation type="list" allowBlank="1" showInputMessage="1" showErrorMessage="1" xr:uid="{9D1B620C-383D-4103-9BB6-DC940A7460BA}">
          <x14:formula1>
            <xm:f>Datenbank!$GJ$13:$GJ$15</xm:f>
          </x14:formula1>
          <xm:sqref>D30</xm:sqref>
        </x14:dataValidation>
        <x14:dataValidation type="list" allowBlank="1" showInputMessage="1" showErrorMessage="1" xr:uid="{FBE449B9-8DDD-4BAD-BCC8-3C03B0A2051A}">
          <x14:formula1>
            <xm:f>'Datenbank-Preise'!$B$265:$B$267</xm:f>
          </x14:formula1>
          <xm:sqref>C94</xm:sqref>
        </x14:dataValidation>
        <x14:dataValidation type="list" allowBlank="1" showInputMessage="1" showErrorMessage="1" xr:uid="{E63E24DD-7457-4BF1-8CF8-ABD7850D6DAA}">
          <x14:formula1>
            <xm:f>'Datenbank-Preise'!$C$265:$C$267</xm:f>
          </x14:formula1>
          <xm:sqref>C95</xm:sqref>
        </x14:dataValidation>
        <x14:dataValidation type="list" allowBlank="1" showInputMessage="1" showErrorMessage="1" xr:uid="{50A783B7-1C44-45D1-81AE-859D1D34A66C}">
          <x14:formula1>
            <xm:f>'Datenbank-Preise'!$D$265:$D$267</xm:f>
          </x14:formula1>
          <xm:sqref>C96</xm:sqref>
        </x14:dataValidation>
        <x14:dataValidation type="list" allowBlank="1" showInputMessage="1" showErrorMessage="1" xr:uid="{74F2A30F-02A9-467E-B192-5A7937AE6DB7}">
          <x14:formula1>
            <xm:f>'Datenbank-Preise'!$E$265:$E$267</xm:f>
          </x14:formula1>
          <xm:sqref>C97</xm:sqref>
        </x14:dataValidation>
        <x14:dataValidation type="list" allowBlank="1" showInputMessage="1" showErrorMessage="1" xr:uid="{0B357E03-67E6-4951-B93F-4193D4F86AD7}">
          <x14:formula1>
            <xm:f>'Datenbank-Preise'!$F$265:$F$267</xm:f>
          </x14:formula1>
          <xm:sqref>C98</xm:sqref>
        </x14:dataValidation>
        <x14:dataValidation type="list" allowBlank="1" showInputMessage="1" showErrorMessage="1" xr:uid="{BA9EEF27-2449-421B-86B9-6F86BFFC6514}">
          <x14:formula1>
            <xm:f>'Datenbank-Preise'!$G$265:$G$267</xm:f>
          </x14:formula1>
          <xm:sqref>C100</xm:sqref>
        </x14:dataValidation>
        <x14:dataValidation type="list" allowBlank="1" showInputMessage="1" showErrorMessage="1" xr:uid="{F53CA4C2-00A6-46B1-8EC3-3CBFBD64B09C}">
          <x14:formula1>
            <xm:f>'Datenbank-Preise'!$H$265:$H$267</xm:f>
          </x14:formula1>
          <xm:sqref>C101</xm:sqref>
        </x14:dataValidation>
        <x14:dataValidation type="list" allowBlank="1" showInputMessage="1" showErrorMessage="1" xr:uid="{3E26F719-5C65-4B51-9E83-521C2E9964BB}">
          <x14:formula1>
            <xm:f>'Datenbank-Preise'!$I$265:$I$267</xm:f>
          </x14:formula1>
          <xm:sqref>C102</xm:sqref>
        </x14:dataValidation>
        <x14:dataValidation type="list" allowBlank="1" showInputMessage="1" showErrorMessage="1" xr:uid="{3D3625AC-EE2F-4196-A692-E3F85E75FE59}">
          <x14:formula1>
            <xm:f>'Datenbank-Preise'!$B$272:$B$274</xm:f>
          </x14:formula1>
          <xm:sqref>D94</xm:sqref>
        </x14:dataValidation>
        <x14:dataValidation type="list" allowBlank="1" showInputMessage="1" showErrorMessage="1" xr:uid="{0952878C-6D4E-4BB0-AD1E-D3A184FC5B05}">
          <x14:formula1>
            <xm:f>'Datenbank-Preise'!$C$272:$C$274</xm:f>
          </x14:formula1>
          <xm:sqref>D95</xm:sqref>
        </x14:dataValidation>
        <x14:dataValidation type="list" allowBlank="1" showInputMessage="1" showErrorMessage="1" xr:uid="{79A5DBF0-E6E3-4032-981F-FF2841255053}">
          <x14:formula1>
            <xm:f>'Datenbank-Preise'!$D$272:$D$274</xm:f>
          </x14:formula1>
          <xm:sqref>D96</xm:sqref>
        </x14:dataValidation>
        <x14:dataValidation type="list" allowBlank="1" showInputMessage="1" showErrorMessage="1" xr:uid="{0BE16143-895B-4125-8944-D7CACD097919}">
          <x14:formula1>
            <xm:f>'Datenbank-Preise'!$E$272:$E$274</xm:f>
          </x14:formula1>
          <xm:sqref>D97</xm:sqref>
        </x14:dataValidation>
        <x14:dataValidation type="list" allowBlank="1" showInputMessage="1" showErrorMessage="1" xr:uid="{385CA635-D23D-487C-825B-FBC92D451794}">
          <x14:formula1>
            <xm:f>'Datenbank-Preise'!$F$272:$F$274</xm:f>
          </x14:formula1>
          <xm:sqref>D98</xm:sqref>
        </x14:dataValidation>
        <x14:dataValidation type="list" allowBlank="1" showInputMessage="1" showErrorMessage="1" xr:uid="{BD316032-4847-4D43-9EF0-A4F7CA516027}">
          <x14:formula1>
            <xm:f>'Datenbank-Preise'!$G$272:$G$274</xm:f>
          </x14:formula1>
          <xm:sqref>D100</xm:sqref>
        </x14:dataValidation>
        <x14:dataValidation type="list" allowBlank="1" showInputMessage="1" showErrorMessage="1" xr:uid="{0350BE0E-5404-420B-A737-4314673EFD17}">
          <x14:formula1>
            <xm:f>'Datenbank-Preise'!$H$272:$H$274</xm:f>
          </x14:formula1>
          <xm:sqref>D101</xm:sqref>
        </x14:dataValidation>
        <x14:dataValidation type="list" allowBlank="1" showInputMessage="1" showErrorMessage="1" xr:uid="{EAAF8688-C394-4B34-8624-B57362CF336F}">
          <x14:formula1>
            <xm:f>'Datenbank-Preise'!$I$272:$I$274</xm:f>
          </x14:formula1>
          <xm:sqref>D102</xm:sqref>
        </x14:dataValidation>
        <x14:dataValidation type="list" allowBlank="1" showInputMessage="1" showErrorMessage="1" xr:uid="{5A0C2164-797C-4824-AF06-8D4478C0B695}">
          <x14:formula1>
            <xm:f>'Datenbank-Preise'!$B$279:$B$281</xm:f>
          </x14:formula1>
          <xm:sqref>E94</xm:sqref>
        </x14:dataValidation>
        <x14:dataValidation type="list" allowBlank="1" showInputMessage="1" showErrorMessage="1" xr:uid="{269ADBBC-4DE6-4889-9C09-6869A451C29D}">
          <x14:formula1>
            <xm:f>'Datenbank-Preise'!$C$279:$C$281</xm:f>
          </x14:formula1>
          <xm:sqref>E95</xm:sqref>
        </x14:dataValidation>
        <x14:dataValidation type="list" allowBlank="1" showInputMessage="1" showErrorMessage="1" xr:uid="{A24D0C7E-3B8D-42ED-B04C-8D03C1C5EC87}">
          <x14:formula1>
            <xm:f>'Datenbank-Preise'!$D$279:$D$281</xm:f>
          </x14:formula1>
          <xm:sqref>E96</xm:sqref>
        </x14:dataValidation>
        <x14:dataValidation type="list" allowBlank="1" showInputMessage="1" showErrorMessage="1" xr:uid="{0BD6E496-7A3D-45FF-87AA-391F15B6CFC4}">
          <x14:formula1>
            <xm:f>'Datenbank-Preise'!$E$279:$E$281</xm:f>
          </x14:formula1>
          <xm:sqref>E97</xm:sqref>
        </x14:dataValidation>
        <x14:dataValidation type="list" allowBlank="1" showInputMessage="1" showErrorMessage="1" xr:uid="{5B93AE73-489B-4AF4-9157-F710CFF92AB6}">
          <x14:formula1>
            <xm:f>'Datenbank-Preise'!$F$279:$F$281</xm:f>
          </x14:formula1>
          <xm:sqref>E98</xm:sqref>
        </x14:dataValidation>
        <x14:dataValidation type="list" allowBlank="1" showInputMessage="1" showErrorMessage="1" xr:uid="{DBECB434-CB15-4080-A2AC-917418EC35F6}">
          <x14:formula1>
            <xm:f>'Datenbank-Preise'!$G$279:$G$281</xm:f>
          </x14:formula1>
          <xm:sqref>E100</xm:sqref>
        </x14:dataValidation>
        <x14:dataValidation type="list" allowBlank="1" showInputMessage="1" showErrorMessage="1" xr:uid="{ED638D99-B00F-406F-A9BC-66C6D63D1F0C}">
          <x14:formula1>
            <xm:f>'Datenbank-Preise'!$H$279:$H$281</xm:f>
          </x14:formula1>
          <xm:sqref>E101</xm:sqref>
        </x14:dataValidation>
        <x14:dataValidation type="list" allowBlank="1" showInputMessage="1" showErrorMessage="1" xr:uid="{588A1FD3-15A1-4DE9-9FBE-7303F24406F0}">
          <x14:formula1>
            <xm:f>'Datenbank-Preise'!$I$279:$I$281</xm:f>
          </x14:formula1>
          <xm:sqref>E102</xm:sqref>
        </x14:dataValidation>
        <x14:dataValidation type="list" allowBlank="1" showInputMessage="1" showErrorMessage="1" xr:uid="{64F196C5-B41C-4D35-A304-5B1EE48B4A5B}">
          <x14:formula1>
            <xm:f>Datenbank!$GM$13:$GM$15</xm:f>
          </x14:formula1>
          <xm:sqref>D31</xm:sqref>
        </x14:dataValidation>
        <x14:dataValidation type="list" allowBlank="1" showInputMessage="1" showErrorMessage="1" xr:uid="{21899144-6E4A-4BD1-85A1-6D24B9C41B43}">
          <x14:formula1>
            <xm:f>Datenbank!$GG$13:$GG$15</xm:f>
          </x14:formula1>
          <xm:sqref>D29</xm:sqref>
        </x14:dataValidation>
        <x14:dataValidation type="list" allowBlank="1" showInputMessage="1" showErrorMessage="1" xr:uid="{8955A758-E43F-40B7-9E06-916CBC7EA52C}">
          <x14:formula1>
            <xm:f>Datenbank!$B$11:$B$16</xm:f>
          </x14:formula1>
          <xm:sqref>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88EA-2625-44DD-8BCD-91826EF89543}">
  <dimension ref="A1:AJ281"/>
  <sheetViews>
    <sheetView topLeftCell="J156" zoomScaleNormal="100" workbookViewId="0">
      <selection activeCell="Q176" sqref="Q176"/>
    </sheetView>
  </sheetViews>
  <sheetFormatPr baseColWidth="10" defaultColWidth="11.44140625" defaultRowHeight="16.8"/>
  <cols>
    <col min="1" max="1" width="11.44140625" style="2"/>
    <col min="2" max="2" width="102.5546875" style="2" customWidth="1"/>
    <col min="3" max="3" width="41.5546875" style="2" customWidth="1"/>
    <col min="4" max="4" width="37.6640625" style="2" customWidth="1"/>
    <col min="5" max="5" width="40.33203125" style="2" customWidth="1"/>
    <col min="6" max="6" width="31.5546875" style="2" customWidth="1"/>
    <col min="7" max="7" width="34.33203125" style="2" customWidth="1"/>
    <col min="8" max="8" width="61.6640625" style="2" customWidth="1"/>
    <col min="9" max="9" width="39.6640625" style="2" customWidth="1"/>
    <col min="10" max="10" width="38.33203125" style="2" customWidth="1"/>
    <col min="11" max="11" width="33.6640625" style="2" customWidth="1"/>
    <col min="12" max="12" width="28.44140625" style="2" customWidth="1"/>
    <col min="13" max="14" width="26.33203125" style="2" customWidth="1"/>
    <col min="15" max="15" width="30.33203125" style="2" customWidth="1"/>
    <col min="16" max="16" width="16.33203125" style="2" customWidth="1"/>
    <col min="17" max="17" width="36.6640625" style="2" customWidth="1"/>
    <col min="18" max="18" width="30.33203125" style="2" customWidth="1"/>
    <col min="19" max="19" width="41.44140625" style="2" customWidth="1"/>
    <col min="20" max="20" width="16.5546875" style="2" customWidth="1"/>
    <col min="21" max="21" width="36.33203125" style="2" customWidth="1"/>
    <col min="22" max="22" width="19.44140625" style="2" customWidth="1"/>
    <col min="23" max="23" width="17.5546875" style="2" customWidth="1"/>
    <col min="24" max="24" width="25" style="2" customWidth="1"/>
    <col min="25" max="25" width="22.5546875" style="2" customWidth="1"/>
    <col min="26" max="26" width="19.44140625" style="2" customWidth="1"/>
    <col min="27" max="27" width="32.6640625" style="2" customWidth="1"/>
    <col min="28" max="28" width="24.6640625" style="2" customWidth="1"/>
    <col min="29" max="29" width="30.33203125" style="2" customWidth="1"/>
    <col min="30" max="30" width="27.6640625" style="2" customWidth="1"/>
    <col min="31" max="31" width="23.33203125" style="2" customWidth="1"/>
    <col min="32" max="32" width="22.6640625" style="2" customWidth="1"/>
    <col min="33" max="33" width="22" style="2" customWidth="1"/>
    <col min="34" max="35" width="11.44140625" style="2"/>
    <col min="36" max="36" width="42.33203125" style="2" customWidth="1"/>
    <col min="37" max="16384" width="11.44140625" style="2"/>
  </cols>
  <sheetData>
    <row r="1" spans="2:20">
      <c r="B1" s="3"/>
      <c r="H1" s="4"/>
      <c r="K1" s="3"/>
    </row>
    <row r="2" spans="2:20" ht="70.2">
      <c r="B2" s="924" t="s">
        <v>488</v>
      </c>
    </row>
    <row r="4" spans="2:20">
      <c r="B4" s="673" t="s">
        <v>739</v>
      </c>
      <c r="C4" s="673" t="s">
        <v>740</v>
      </c>
      <c r="D4" s="672" t="s">
        <v>741</v>
      </c>
      <c r="E4" s="673" t="s">
        <v>742</v>
      </c>
      <c r="F4" s="673" t="s">
        <v>743</v>
      </c>
      <c r="G4" s="673" t="s">
        <v>744</v>
      </c>
      <c r="L4" s="840" t="s">
        <v>745</v>
      </c>
      <c r="M4" s="817" t="s">
        <v>407</v>
      </c>
      <c r="N4" s="1324" t="s">
        <v>746</v>
      </c>
      <c r="O4" s="1322" t="s">
        <v>747</v>
      </c>
      <c r="P4" s="1328" t="s">
        <v>106</v>
      </c>
      <c r="Q4" s="1323" t="s">
        <v>747</v>
      </c>
      <c r="R4" s="1332" t="s">
        <v>159</v>
      </c>
      <c r="S4" s="1323" t="s">
        <v>747</v>
      </c>
      <c r="T4" s="1323" t="s">
        <v>171</v>
      </c>
    </row>
    <row r="5" spans="2:20">
      <c r="B5" s="674" t="s">
        <v>68</v>
      </c>
      <c r="C5" s="676" t="s">
        <v>147</v>
      </c>
      <c r="D5" s="676" t="s">
        <v>147</v>
      </c>
      <c r="E5" s="678" t="s">
        <v>147</v>
      </c>
      <c r="F5" s="678" t="s">
        <v>147</v>
      </c>
      <c r="G5" s="678" t="s">
        <v>147</v>
      </c>
      <c r="L5" s="813" t="s">
        <v>740</v>
      </c>
      <c r="M5" s="819" t="s">
        <v>99</v>
      </c>
      <c r="N5" s="1325">
        <v>270</v>
      </c>
      <c r="O5" s="820">
        <f>Dach!I12</f>
        <v>0</v>
      </c>
      <c r="P5" s="1329">
        <f>IF(Dach!I11="Nein",0,N5*O5)</f>
        <v>0</v>
      </c>
      <c r="Q5" s="1340">
        <f>Dach!J12</f>
        <v>0</v>
      </c>
      <c r="R5" s="1333">
        <f>IF(Dach!J11="Nein",0,Q5*'Datenbank-Preise'!$N$5)</f>
        <v>0</v>
      </c>
      <c r="S5" s="1340">
        <f>Dach!K12</f>
        <v>0</v>
      </c>
      <c r="T5" s="828">
        <f>IF(Dach!K11="Nein",0,S5*'Datenbank-Preise'!$N$5)</f>
        <v>0</v>
      </c>
    </row>
    <row r="6" spans="2:20">
      <c r="B6" s="674" t="s">
        <v>186</v>
      </c>
      <c r="C6" s="680" t="s">
        <v>175</v>
      </c>
      <c r="D6" s="681" t="s">
        <v>175</v>
      </c>
      <c r="E6" s="674" t="s">
        <v>147</v>
      </c>
      <c r="F6" s="674" t="s">
        <v>147</v>
      </c>
      <c r="G6" s="674" t="s">
        <v>147</v>
      </c>
      <c r="L6" s="824" t="s">
        <v>741</v>
      </c>
      <c r="M6" s="838" t="s">
        <v>99</v>
      </c>
      <c r="N6" s="1326">
        <v>100</v>
      </c>
      <c r="O6" s="839">
        <f>Dach!I16</f>
        <v>0</v>
      </c>
      <c r="P6" s="1330">
        <f>IF(Dach!I14="Nein",0,O6*N6)</f>
        <v>0</v>
      </c>
      <c r="Q6" s="1341">
        <f>Dach!J16</f>
        <v>0</v>
      </c>
      <c r="R6" s="1334">
        <f>IF(Dach!J14="Nein",0,Q6*'Datenbank-Preise'!$N6)</f>
        <v>0</v>
      </c>
      <c r="S6" s="1341">
        <f>Dach!K16</f>
        <v>0</v>
      </c>
      <c r="T6" s="811">
        <f>IF(Dach!K14="Nein",0,S6*'Datenbank-Preise'!$N6)</f>
        <v>0</v>
      </c>
    </row>
    <row r="7" spans="2:20">
      <c r="B7" s="674" t="s">
        <v>748</v>
      </c>
      <c r="C7" s="676" t="s">
        <v>175</v>
      </c>
      <c r="D7" s="675" t="s">
        <v>175</v>
      </c>
      <c r="E7" s="674" t="s">
        <v>175</v>
      </c>
      <c r="F7" s="674" t="s">
        <v>147</v>
      </c>
      <c r="G7" s="674" t="s">
        <v>147</v>
      </c>
      <c r="H7" s="4"/>
      <c r="L7" s="813" t="s">
        <v>749</v>
      </c>
      <c r="M7" s="819" t="s">
        <v>99</v>
      </c>
      <c r="N7" s="1325">
        <v>90</v>
      </c>
      <c r="O7" s="820">
        <f>Dach!I20</f>
        <v>0</v>
      </c>
      <c r="P7" s="1329">
        <f>IF(Dach!I19="Nein",0,O7*'Datenbank-Preise'!$N7)</f>
        <v>0</v>
      </c>
      <c r="Q7" s="1340">
        <f>Dach!J20</f>
        <v>0</v>
      </c>
      <c r="R7" s="1333">
        <f>IF(Dach!J19="Nein",0,Q7*'Datenbank-Preise'!$N7)</f>
        <v>0</v>
      </c>
      <c r="S7" s="1340">
        <f>Dach!K20</f>
        <v>0</v>
      </c>
      <c r="T7" s="828">
        <f>IF(Dach!K19="Nein",0,S7*'Datenbank-Preise'!$N7)</f>
        <v>0</v>
      </c>
    </row>
    <row r="8" spans="2:20">
      <c r="B8" s="674" t="s">
        <v>750</v>
      </c>
      <c r="C8" s="676" t="s">
        <v>147</v>
      </c>
      <c r="D8" s="676" t="s">
        <v>175</v>
      </c>
      <c r="E8" s="674" t="s">
        <v>175</v>
      </c>
      <c r="F8" s="674" t="s">
        <v>175</v>
      </c>
      <c r="G8" s="674" t="s">
        <v>147</v>
      </c>
      <c r="L8" s="841" t="s">
        <v>751</v>
      </c>
      <c r="M8" s="838" t="s">
        <v>99</v>
      </c>
      <c r="N8" s="1326">
        <v>110</v>
      </c>
      <c r="O8" s="839">
        <f>Dach!I23</f>
        <v>0</v>
      </c>
      <c r="P8" s="1330">
        <f>IF(Dach!I22="Nein",0,O8*'Datenbank-Preise'!$N8)</f>
        <v>0</v>
      </c>
      <c r="Q8" s="1341">
        <f>Dach!J23</f>
        <v>0</v>
      </c>
      <c r="R8" s="1334">
        <f>IF(Dach!J22="Nein",0,Q8*'Datenbank-Preise'!$N8)</f>
        <v>0</v>
      </c>
      <c r="S8" s="1341">
        <f>Dach!K23</f>
        <v>0</v>
      </c>
      <c r="T8" s="811">
        <f>IF(Dach!K22="Nein",0,S8*'Datenbank-Preise'!$N8)</f>
        <v>0</v>
      </c>
    </row>
    <row r="9" spans="2:20">
      <c r="B9" s="677" t="s">
        <v>120</v>
      </c>
      <c r="C9" s="676" t="s">
        <v>147</v>
      </c>
      <c r="D9" s="676" t="s">
        <v>175</v>
      </c>
      <c r="E9" s="674" t="s">
        <v>147</v>
      </c>
      <c r="F9" s="674" t="s">
        <v>175</v>
      </c>
      <c r="G9" s="674" t="s">
        <v>147</v>
      </c>
      <c r="L9" s="813" t="s">
        <v>752</v>
      </c>
      <c r="M9" s="819" t="s">
        <v>99</v>
      </c>
      <c r="N9" s="1325">
        <v>200</v>
      </c>
      <c r="O9" s="820">
        <f>Dach!I27</f>
        <v>0</v>
      </c>
      <c r="P9" s="1329">
        <f>IF(Dach!I26="Nein",0,O9*'Datenbank-Preise'!$N9)</f>
        <v>0</v>
      </c>
      <c r="Q9" s="1340">
        <f>Dach!J27</f>
        <v>0</v>
      </c>
      <c r="R9" s="1333">
        <f>IF(Dach!J26="Nein",0,Q9*'Datenbank-Preise'!$N9)</f>
        <v>0</v>
      </c>
      <c r="S9" s="1340">
        <f>Dach!K27</f>
        <v>0</v>
      </c>
      <c r="T9" s="828">
        <f>IF(Dach!K26="Nein",0,S9*'Datenbank-Preise'!$N9)</f>
        <v>0</v>
      </c>
    </row>
    <row r="10" spans="2:20" ht="33.6">
      <c r="B10" s="677" t="s">
        <v>751</v>
      </c>
      <c r="C10" s="676" t="s">
        <v>147</v>
      </c>
      <c r="D10" s="676" t="s">
        <v>147</v>
      </c>
      <c r="E10" s="674" t="s">
        <v>175</v>
      </c>
      <c r="F10" s="674" t="s">
        <v>147</v>
      </c>
      <c r="G10" s="674" t="s">
        <v>147</v>
      </c>
      <c r="L10" s="842" t="s">
        <v>753</v>
      </c>
      <c r="M10" s="838" t="s">
        <v>754</v>
      </c>
      <c r="N10" s="1326">
        <v>5500</v>
      </c>
      <c r="O10" s="839">
        <f>Dach!I31</f>
        <v>0</v>
      </c>
      <c r="P10" s="1330">
        <f>IF(Dach!I11="Nein",0,O10*'Datenbank-Preise'!$N10)</f>
        <v>0</v>
      </c>
      <c r="Q10" s="1341">
        <f>Dach!J31</f>
        <v>0</v>
      </c>
      <c r="R10" s="1334">
        <f>IF(Dach!J11="Nein",0,Q10*'Datenbank-Preise'!$N10)</f>
        <v>0</v>
      </c>
      <c r="S10" s="1341">
        <f>Dach!K31</f>
        <v>0</v>
      </c>
      <c r="T10" s="811">
        <f>IF(Dach!K11="Nein",0,S10*'Datenbank-Preise'!$N10)</f>
        <v>0</v>
      </c>
    </row>
    <row r="11" spans="2:20" ht="16.5" customHeight="1">
      <c r="B11" s="674" t="s">
        <v>160</v>
      </c>
      <c r="C11" s="676" t="s">
        <v>175</v>
      </c>
      <c r="D11" s="676" t="s">
        <v>175</v>
      </c>
      <c r="E11" s="674" t="s">
        <v>175</v>
      </c>
      <c r="F11" s="674" t="s">
        <v>175</v>
      </c>
      <c r="G11" s="674" t="s">
        <v>147</v>
      </c>
      <c r="L11" s="843" t="s">
        <v>755</v>
      </c>
      <c r="M11" s="806" t="s">
        <v>754</v>
      </c>
      <c r="N11" s="1327">
        <v>3800</v>
      </c>
      <c r="O11" s="807">
        <f>(Dach!I35+Dach!I36)</f>
        <v>0</v>
      </c>
      <c r="P11" s="1331">
        <f>O11*'Datenbank-Preise'!$N11</f>
        <v>0</v>
      </c>
      <c r="Q11" s="1340">
        <f>(Dach!J35+Dach!J36)</f>
        <v>0</v>
      </c>
      <c r="R11" s="1335">
        <f>Q11*'Datenbank-Preise'!$N11</f>
        <v>0</v>
      </c>
      <c r="S11" s="1340">
        <f>(Dach!K35+Dach!K36)</f>
        <v>0</v>
      </c>
      <c r="T11" s="828">
        <f>S11*'Datenbank-Preise'!$N11</f>
        <v>0</v>
      </c>
    </row>
    <row r="12" spans="2:20" ht="17.399999999999999" thickBot="1">
      <c r="B12" s="674" t="s">
        <v>756</v>
      </c>
      <c r="C12" s="678" t="s">
        <v>175</v>
      </c>
      <c r="D12" s="678" t="s">
        <v>175</v>
      </c>
      <c r="E12" s="674" t="s">
        <v>147</v>
      </c>
      <c r="F12" s="674" t="s">
        <v>175</v>
      </c>
      <c r="G12" s="674" t="s">
        <v>147</v>
      </c>
      <c r="I12" s="6"/>
      <c r="L12" s="829"/>
      <c r="P12" s="833"/>
      <c r="R12" s="833"/>
      <c r="T12" s="834"/>
    </row>
    <row r="13" spans="2:20" ht="17.399999999999999" thickTop="1">
      <c r="B13" s="674" t="s">
        <v>757</v>
      </c>
      <c r="C13" s="678" t="s">
        <v>175</v>
      </c>
      <c r="D13" s="678" t="s">
        <v>175</v>
      </c>
      <c r="E13" s="674" t="s">
        <v>147</v>
      </c>
      <c r="F13" s="674" t="s">
        <v>175</v>
      </c>
      <c r="G13" s="674" t="s">
        <v>175</v>
      </c>
      <c r="I13" s="6"/>
      <c r="L13" s="827"/>
      <c r="P13" s="836">
        <f>SUBTOTAL(109,'Datenbank-Preise'!$P$5:$P$12)</f>
        <v>0</v>
      </c>
      <c r="R13" s="836">
        <f>SUBTOTAL(109,'Datenbank-Preise'!$R$5:$R$12)</f>
        <v>0</v>
      </c>
      <c r="T13" s="837">
        <f>SUBTOTAL(109,'Datenbank-Preise'!$T$5:$T$12)</f>
        <v>0</v>
      </c>
    </row>
    <row r="14" spans="2:20">
      <c r="B14" s="674" t="s">
        <v>758</v>
      </c>
      <c r="C14" s="678" t="s">
        <v>175</v>
      </c>
      <c r="D14" s="678" t="s">
        <v>147</v>
      </c>
      <c r="E14" s="674" t="s">
        <v>175</v>
      </c>
      <c r="F14" s="674" t="s">
        <v>147</v>
      </c>
      <c r="G14" s="674" t="s">
        <v>147</v>
      </c>
      <c r="I14" s="6"/>
      <c r="L14" s="830"/>
      <c r="Q14" s="10"/>
      <c r="R14" s="10"/>
    </row>
    <row r="15" spans="2:20">
      <c r="B15" s="674" t="s">
        <v>759</v>
      </c>
      <c r="C15" s="678" t="s">
        <v>147</v>
      </c>
      <c r="D15" s="678" t="s">
        <v>147</v>
      </c>
      <c r="E15" s="678" t="s">
        <v>147</v>
      </c>
      <c r="F15" s="678" t="s">
        <v>147</v>
      </c>
      <c r="G15" s="678" t="s">
        <v>147</v>
      </c>
      <c r="I15" s="6"/>
      <c r="L15" s="827"/>
      <c r="M15" s="10"/>
      <c r="N15" s="10"/>
      <c r="O15" s="10"/>
      <c r="P15" s="10"/>
      <c r="Q15" s="10"/>
      <c r="R15" s="10"/>
    </row>
    <row r="16" spans="2:20">
      <c r="B16" s="674" t="str">
        <f>Allgemein!C44</f>
        <v>-</v>
      </c>
      <c r="C16" s="676"/>
      <c r="D16" s="676"/>
      <c r="E16" s="923"/>
      <c r="F16" s="923"/>
      <c r="G16" s="923"/>
      <c r="I16" s="6"/>
      <c r="L16" s="831"/>
      <c r="M16" s="10"/>
      <c r="N16" s="10"/>
      <c r="O16" s="10"/>
      <c r="P16" s="10"/>
      <c r="Q16" s="10"/>
      <c r="R16" s="10"/>
    </row>
    <row r="17" spans="1:19">
      <c r="B17" s="674" t="str">
        <f>Allgemein!C60</f>
        <v>-</v>
      </c>
      <c r="C17" s="678"/>
      <c r="D17" s="678"/>
      <c r="E17" s="923"/>
      <c r="F17" s="923"/>
      <c r="G17" s="923"/>
      <c r="I17" s="6"/>
      <c r="L17" s="827"/>
      <c r="M17" s="10"/>
      <c r="N17" s="10"/>
      <c r="O17" s="10"/>
      <c r="P17" s="10"/>
      <c r="Q17" s="10"/>
      <c r="R17" s="10"/>
    </row>
    <row r="18" spans="1:19" ht="17.399999999999999" thickBot="1">
      <c r="B18" s="674" t="str">
        <f>Allgemein!C76</f>
        <v>-</v>
      </c>
      <c r="C18" s="678"/>
      <c r="D18" s="678"/>
      <c r="E18" s="923"/>
      <c r="F18" s="923"/>
      <c r="G18" s="923"/>
      <c r="I18" s="6"/>
      <c r="L18" s="832"/>
      <c r="M18" s="10"/>
      <c r="N18" s="10"/>
      <c r="O18" s="10"/>
      <c r="P18" s="10"/>
      <c r="Q18" s="10"/>
      <c r="R18" s="10"/>
    </row>
    <row r="19" spans="1:19" ht="17.399999999999999" thickTop="1">
      <c r="B19" s="674"/>
      <c r="C19" s="923"/>
      <c r="D19" s="923"/>
      <c r="E19" s="923"/>
      <c r="F19" s="923"/>
      <c r="G19" s="923"/>
      <c r="I19" s="6"/>
      <c r="L19" s="835"/>
      <c r="M19" s="10"/>
      <c r="N19" s="10"/>
      <c r="O19" s="10"/>
      <c r="P19" s="10"/>
      <c r="Q19" s="10"/>
      <c r="R19" s="10"/>
    </row>
    <row r="20" spans="1:19">
      <c r="B20" s="674"/>
      <c r="C20" s="923"/>
      <c r="D20" s="923"/>
      <c r="E20" s="923"/>
      <c r="F20" s="923"/>
      <c r="G20" s="923"/>
      <c r="I20" s="6"/>
      <c r="M20" s="10"/>
      <c r="N20" s="10"/>
      <c r="O20" s="10"/>
      <c r="P20" s="10"/>
      <c r="Q20" s="10"/>
      <c r="R20" s="10"/>
    </row>
    <row r="21" spans="1:19" ht="17.399999999999999" thickBot="1">
      <c r="A21" s="907"/>
      <c r="B21" s="1127"/>
      <c r="C21" s="1128"/>
      <c r="D21" s="1128"/>
      <c r="E21" s="1128"/>
      <c r="F21" s="1128"/>
      <c r="G21" s="1128"/>
      <c r="H21" s="907"/>
      <c r="I21" s="1129"/>
      <c r="J21" s="907"/>
      <c r="K21" s="907"/>
      <c r="L21" s="907"/>
      <c r="M21" s="1130"/>
      <c r="N21" s="1130"/>
      <c r="O21" s="1130"/>
      <c r="P21" s="1130"/>
      <c r="Q21" s="10"/>
      <c r="R21" s="10"/>
    </row>
    <row r="22" spans="1:19" ht="70.2">
      <c r="B22" s="924" t="s">
        <v>760</v>
      </c>
      <c r="C22" s="923"/>
      <c r="D22" s="923"/>
      <c r="E22" s="923"/>
      <c r="F22" s="923"/>
      <c r="G22" s="923"/>
      <c r="I22" s="6"/>
      <c r="M22" s="10"/>
      <c r="N22" s="10"/>
      <c r="O22" s="10"/>
      <c r="P22" s="10"/>
      <c r="Q22" s="10"/>
      <c r="R22" s="10"/>
    </row>
    <row r="23" spans="1:19">
      <c r="M23" s="10"/>
      <c r="N23" s="10"/>
      <c r="O23" s="10"/>
      <c r="P23" s="10"/>
      <c r="Q23" s="10"/>
      <c r="R23" s="10"/>
    </row>
    <row r="24" spans="1:19">
      <c r="B24" s="673" t="s">
        <v>761</v>
      </c>
      <c r="C24" s="673" t="s">
        <v>661</v>
      </c>
      <c r="D24" s="673" t="s">
        <v>685</v>
      </c>
      <c r="I24" s="816" t="s">
        <v>745</v>
      </c>
      <c r="J24" s="817" t="s">
        <v>407</v>
      </c>
      <c r="K24" s="818" t="s">
        <v>746</v>
      </c>
      <c r="M24" s="816" t="s">
        <v>762</v>
      </c>
      <c r="N24" s="1336" t="s">
        <v>747</v>
      </c>
      <c r="O24" s="1336" t="s">
        <v>106</v>
      </c>
      <c r="P24" s="1336" t="s">
        <v>747</v>
      </c>
      <c r="Q24" s="1336" t="s">
        <v>159</v>
      </c>
      <c r="R24" s="1336" t="s">
        <v>747</v>
      </c>
      <c r="S24" s="1336" t="s">
        <v>171</v>
      </c>
    </row>
    <row r="25" spans="1:19">
      <c r="B25" s="758" t="s">
        <v>763</v>
      </c>
      <c r="C25" s="674" t="s">
        <v>175</v>
      </c>
      <c r="D25" s="674" t="s">
        <v>147</v>
      </c>
      <c r="I25" s="813"/>
      <c r="J25" s="819"/>
      <c r="K25" s="820"/>
      <c r="M25" s="813" t="s">
        <v>764</v>
      </c>
      <c r="N25" s="1337">
        <f>Fassade!V527</f>
        <v>0</v>
      </c>
      <c r="O25" s="1337">
        <f>N25*_xlfn.XLOOKUP(Allgemein!D45,Tabelle43[Fassade],Tabelle43[Preis])</f>
        <v>0</v>
      </c>
      <c r="P25" s="1337">
        <f>Fassade!W527</f>
        <v>0</v>
      </c>
      <c r="Q25" s="1337">
        <f>P25*_xlfn.XLOOKUP(Allgemein!D61,Tabelle43[Fassade],Tabelle43[Preis])</f>
        <v>0</v>
      </c>
      <c r="R25" s="1337">
        <f>Fassade!X527</f>
        <v>0</v>
      </c>
      <c r="S25" s="1337">
        <f>R25*_xlfn.XLOOKUP(Allgemein!D77,Tabelle43[Fassade],Tabelle43[Preis])</f>
        <v>0</v>
      </c>
    </row>
    <row r="26" spans="1:19">
      <c r="B26" s="780" t="s">
        <v>123</v>
      </c>
      <c r="C26" s="674" t="s">
        <v>175</v>
      </c>
      <c r="D26" s="674" t="s">
        <v>175</v>
      </c>
      <c r="I26" s="824" t="s">
        <v>733</v>
      </c>
      <c r="J26" s="838" t="s">
        <v>99</v>
      </c>
      <c r="K26" s="839">
        <v>100</v>
      </c>
      <c r="M26" s="824" t="s">
        <v>733</v>
      </c>
      <c r="N26" s="1338">
        <f>Fassade!V524</f>
        <v>0</v>
      </c>
      <c r="O26" s="1338">
        <f>N26*'Datenbank-Preise'!$K26</f>
        <v>0</v>
      </c>
      <c r="P26" s="1338">
        <f>Fassade!W524</f>
        <v>0</v>
      </c>
      <c r="Q26" s="1338">
        <f>P26*'Datenbank-Preise'!$K26</f>
        <v>0</v>
      </c>
      <c r="R26" s="1338">
        <f>Fassade!X524</f>
        <v>0</v>
      </c>
      <c r="S26" s="1338">
        <f>R26*'Datenbank-Preise'!$K26</f>
        <v>0</v>
      </c>
    </row>
    <row r="27" spans="1:19">
      <c r="B27" s="9" t="s">
        <v>733</v>
      </c>
      <c r="C27" s="674" t="s">
        <v>147</v>
      </c>
      <c r="D27" s="674" t="s">
        <v>175</v>
      </c>
      <c r="I27" s="808"/>
      <c r="J27" s="806"/>
      <c r="K27" s="807"/>
      <c r="M27" s="825" t="s">
        <v>312</v>
      </c>
      <c r="N27" s="1339"/>
      <c r="O27" s="1339">
        <f>SUBTOTAL(109,'Datenbank-Preise'!$O$25:$O$26)</f>
        <v>0</v>
      </c>
      <c r="P27" s="1339"/>
      <c r="Q27" s="1339">
        <f>SUBTOTAL(109,'Datenbank-Preise'!$Q$25:$Q$26)</f>
        <v>0</v>
      </c>
      <c r="R27" s="1339"/>
      <c r="S27" s="1339">
        <f>SUBTOTAL(109,'Datenbank-Preise'!$S$25:$S$26)</f>
        <v>0</v>
      </c>
    </row>
    <row r="28" spans="1:19">
      <c r="B28" s="9" t="s">
        <v>68</v>
      </c>
      <c r="C28" s="674" t="s">
        <v>147</v>
      </c>
      <c r="D28" s="674" t="s">
        <v>147</v>
      </c>
    </row>
    <row r="29" spans="1:19">
      <c r="B29" s="9" t="str">
        <f>Allgemein!C45</f>
        <v>-</v>
      </c>
      <c r="C29" s="674"/>
      <c r="D29" s="674"/>
    </row>
    <row r="30" spans="1:19">
      <c r="B30" s="9" t="str">
        <f>Allgemein!C61</f>
        <v>-</v>
      </c>
      <c r="C30" s="674"/>
      <c r="D30" s="674"/>
    </row>
    <row r="31" spans="1:19">
      <c r="B31" s="9" t="str">
        <f>Allgemein!C77</f>
        <v>-</v>
      </c>
      <c r="C31" s="674"/>
      <c r="D31" s="674"/>
    </row>
    <row r="32" spans="1:19">
      <c r="B32" s="9"/>
      <c r="C32" s="674"/>
      <c r="D32" s="674"/>
    </row>
    <row r="33" spans="1:19">
      <c r="B33" s="9"/>
      <c r="C33" s="674"/>
      <c r="D33" s="674"/>
    </row>
    <row r="34" spans="1:19" ht="17.399999999999999" thickBot="1">
      <c r="A34" s="907"/>
      <c r="B34" s="907"/>
      <c r="C34" s="907"/>
      <c r="D34" s="907"/>
      <c r="E34" s="907"/>
      <c r="F34" s="907"/>
      <c r="G34" s="907"/>
      <c r="H34" s="907"/>
      <c r="I34" s="907"/>
      <c r="J34" s="907"/>
      <c r="K34" s="907"/>
      <c r="L34" s="907"/>
      <c r="M34" s="907"/>
      <c r="N34" s="907"/>
      <c r="O34" s="907"/>
      <c r="P34" s="907"/>
    </row>
    <row r="35" spans="1:19" ht="70.2">
      <c r="B35" s="924" t="s">
        <v>765</v>
      </c>
    </row>
    <row r="37" spans="1:19">
      <c r="B37" s="673" t="s">
        <v>766</v>
      </c>
      <c r="C37" s="673" t="s">
        <v>275</v>
      </c>
      <c r="D37" s="673" t="s">
        <v>276</v>
      </c>
      <c r="I37" s="816" t="s">
        <v>745</v>
      </c>
      <c r="J37" s="817" t="s">
        <v>407</v>
      </c>
      <c r="K37" s="818" t="s">
        <v>746</v>
      </c>
      <c r="M37" s="816" t="s">
        <v>762</v>
      </c>
      <c r="N37" s="1323" t="s">
        <v>747</v>
      </c>
      <c r="O37" s="1323" t="s">
        <v>106</v>
      </c>
      <c r="P37" s="1323" t="s">
        <v>747</v>
      </c>
      <c r="Q37" s="1323" t="s">
        <v>159</v>
      </c>
      <c r="R37" s="1323" t="s">
        <v>747</v>
      </c>
      <c r="S37" s="1323" t="s">
        <v>171</v>
      </c>
    </row>
    <row r="38" spans="1:19">
      <c r="B38" s="6" t="s">
        <v>68</v>
      </c>
      <c r="C38" s="4" t="s">
        <v>147</v>
      </c>
      <c r="D38" s="4" t="s">
        <v>147</v>
      </c>
      <c r="I38" s="813" t="s">
        <v>275</v>
      </c>
      <c r="J38" s="819" t="s">
        <v>99</v>
      </c>
      <c r="K38" s="820">
        <v>1350</v>
      </c>
      <c r="M38" s="813" t="s">
        <v>767</v>
      </c>
      <c r="N38" s="1342">
        <f>Fenster!M13</f>
        <v>0</v>
      </c>
      <c r="O38" s="814">
        <f>IF(N38="",0,'Datenbank-Preise'!$K38*N38)</f>
        <v>0</v>
      </c>
      <c r="P38" s="1342">
        <f>Fenster!N13</f>
        <v>0</v>
      </c>
      <c r="Q38" s="814">
        <f>IF(P38="",0,'Datenbank-Preise'!$K38*P38)</f>
        <v>0</v>
      </c>
      <c r="R38" s="1342">
        <f>Fenster!O13</f>
        <v>0</v>
      </c>
      <c r="S38" s="814">
        <f>IF(R38="",0,'Datenbank-Preise'!$K38*R38)</f>
        <v>0</v>
      </c>
    </row>
    <row r="39" spans="1:19">
      <c r="B39" s="802" t="s">
        <v>125</v>
      </c>
      <c r="C39" s="676" t="s">
        <v>175</v>
      </c>
      <c r="D39" s="4" t="s">
        <v>175</v>
      </c>
      <c r="I39" s="809" t="s">
        <v>276</v>
      </c>
      <c r="J39" s="677" t="s">
        <v>754</v>
      </c>
      <c r="K39" s="821">
        <v>4000</v>
      </c>
      <c r="M39" s="809" t="s">
        <v>768</v>
      </c>
      <c r="N39" s="1343">
        <f>Fenster!R13</f>
        <v>0</v>
      </c>
      <c r="O39" s="815">
        <f>IF(N39="",0,'Datenbank-Preise'!$K39*N39)</f>
        <v>0</v>
      </c>
      <c r="P39" s="1343">
        <f>Fenster!S13</f>
        <v>0</v>
      </c>
      <c r="Q39" s="815">
        <f>IF(P39="",0,'Datenbank-Preise'!$K39*P39)</f>
        <v>0</v>
      </c>
      <c r="R39" s="1343">
        <f>Fenster!T13</f>
        <v>0</v>
      </c>
      <c r="S39" s="815">
        <f>IF(R39="",0,'Datenbank-Preise'!$K39*R39)</f>
        <v>0</v>
      </c>
    </row>
    <row r="40" spans="1:19">
      <c r="B40" s="780" t="s">
        <v>163</v>
      </c>
      <c r="C40" s="678" t="s">
        <v>147</v>
      </c>
      <c r="D40" s="4" t="s">
        <v>175</v>
      </c>
      <c r="M40" s="3" t="s">
        <v>79</v>
      </c>
      <c r="N40" s="674"/>
      <c r="O40" s="1344">
        <f>SUM(O38:O39)</f>
        <v>0</v>
      </c>
      <c r="P40" s="903"/>
      <c r="Q40" s="1344">
        <f t="shared" ref="Q40" si="0">SUM(Q38:Q39)</f>
        <v>0</v>
      </c>
      <c r="R40" s="903"/>
      <c r="S40" s="1344">
        <f>SUM(S38:S39)</f>
        <v>0</v>
      </c>
    </row>
    <row r="41" spans="1:19">
      <c r="B41" s="6" t="s">
        <v>769</v>
      </c>
      <c r="C41" s="4" t="s">
        <v>175</v>
      </c>
      <c r="D41" s="4" t="s">
        <v>147</v>
      </c>
    </row>
    <row r="42" spans="1:19">
      <c r="B42" s="6" t="str">
        <f>Allgemein!C46</f>
        <v>-</v>
      </c>
      <c r="C42" s="4"/>
      <c r="D42" s="4"/>
    </row>
    <row r="43" spans="1:19">
      <c r="B43" s="6" t="str">
        <f>Allgemein!C62</f>
        <v>-</v>
      </c>
      <c r="C43" s="4"/>
      <c r="D43" s="4"/>
    </row>
    <row r="44" spans="1:19">
      <c r="B44" s="6" t="str">
        <f>Allgemein!C78</f>
        <v>-</v>
      </c>
      <c r="C44" s="4"/>
      <c r="D44" s="4"/>
    </row>
    <row r="45" spans="1:19">
      <c r="B45" s="6"/>
      <c r="C45" s="4"/>
      <c r="D45" s="4"/>
    </row>
    <row r="46" spans="1:19">
      <c r="B46" s="6"/>
      <c r="C46" s="4"/>
      <c r="D46" s="4"/>
    </row>
    <row r="47" spans="1:19">
      <c r="B47" s="6"/>
      <c r="C47" s="4"/>
      <c r="D47" s="4"/>
    </row>
    <row r="48" spans="1:19" ht="17.399999999999999" thickBot="1">
      <c r="A48" s="907"/>
      <c r="B48" s="907"/>
      <c r="C48" s="907"/>
      <c r="D48" s="907"/>
      <c r="E48" s="907"/>
      <c r="F48" s="907"/>
      <c r="G48" s="907"/>
      <c r="H48" s="907"/>
      <c r="I48" s="907"/>
      <c r="J48" s="907"/>
      <c r="K48" s="907"/>
      <c r="L48" s="907"/>
      <c r="M48" s="907"/>
      <c r="N48" s="907"/>
      <c r="O48" s="907"/>
      <c r="P48" s="907"/>
    </row>
    <row r="49" spans="2:17" ht="70.2">
      <c r="B49" s="924" t="s">
        <v>489</v>
      </c>
    </row>
    <row r="51" spans="2:17">
      <c r="B51" s="673" t="s">
        <v>770</v>
      </c>
      <c r="C51" s="673" t="s">
        <v>771</v>
      </c>
      <c r="D51" s="673" t="s">
        <v>772</v>
      </c>
      <c r="E51" s="673" t="s">
        <v>685</v>
      </c>
    </row>
    <row r="52" spans="2:17">
      <c r="B52" s="6" t="s">
        <v>68</v>
      </c>
      <c r="C52" s="675" t="s">
        <v>147</v>
      </c>
      <c r="D52" s="4" t="s">
        <v>147</v>
      </c>
      <c r="E52" s="4" t="s">
        <v>147</v>
      </c>
      <c r="G52" s="816" t="s">
        <v>745</v>
      </c>
      <c r="H52" s="817" t="s">
        <v>407</v>
      </c>
      <c r="I52" s="818" t="s">
        <v>746</v>
      </c>
      <c r="K52" s="816" t="s">
        <v>762</v>
      </c>
      <c r="L52" s="1323" t="s">
        <v>747</v>
      </c>
      <c r="M52" s="1323" t="s">
        <v>106</v>
      </c>
      <c r="N52" s="1323" t="s">
        <v>747</v>
      </c>
      <c r="O52" s="1323" t="s">
        <v>159</v>
      </c>
      <c r="P52" s="1323" t="s">
        <v>747</v>
      </c>
      <c r="Q52" s="1323" t="s">
        <v>171</v>
      </c>
    </row>
    <row r="53" spans="2:17">
      <c r="B53" s="758" t="s">
        <v>773</v>
      </c>
      <c r="C53" s="678" t="s">
        <v>175</v>
      </c>
      <c r="D53" s="4" t="s">
        <v>147</v>
      </c>
      <c r="E53" s="4" t="s">
        <v>147</v>
      </c>
      <c r="G53" s="822" t="s">
        <v>774</v>
      </c>
      <c r="I53" s="820"/>
      <c r="K53" s="813" t="s">
        <v>774</v>
      </c>
      <c r="L53" s="819">
        <f>'Boden u. Keller'!G12</f>
        <v>0</v>
      </c>
      <c r="M53" s="1252">
        <f>L53*_xlfn.XLOOKUP(Allgemein!D47,MiWo42[Keller und FB],MiWo42[Preis])</f>
        <v>0</v>
      </c>
      <c r="N53" s="819">
        <f>'Boden u. Keller'!H12</f>
        <v>0</v>
      </c>
      <c r="O53" s="1252">
        <f>N53*_xlfn.XLOOKUP(Allgemein!D63,MiWo42[Keller und FB],MiWo42[Preis])</f>
        <v>0</v>
      </c>
      <c r="P53" s="819">
        <f>'Boden u. Keller'!I12</f>
        <v>0</v>
      </c>
      <c r="Q53" s="1252">
        <f>P53*_xlfn.XLOOKUP(Allgemein!D79,MiWo42[Keller und FB],MiWo42[Preis])</f>
        <v>0</v>
      </c>
    </row>
    <row r="54" spans="2:17">
      <c r="B54" s="6" t="s">
        <v>164</v>
      </c>
      <c r="C54" s="4" t="s">
        <v>147</v>
      </c>
      <c r="D54" s="4" t="s">
        <v>175</v>
      </c>
      <c r="E54" s="4" t="s">
        <v>147</v>
      </c>
      <c r="G54" s="823" t="s">
        <v>775</v>
      </c>
      <c r="H54" s="819" t="s">
        <v>99</v>
      </c>
      <c r="I54" s="821">
        <v>245</v>
      </c>
      <c r="K54" s="809" t="s">
        <v>775</v>
      </c>
      <c r="L54" s="1343">
        <f>'Boden u. Keller'!G15</f>
        <v>0</v>
      </c>
      <c r="M54" s="815">
        <f>L54*'Datenbank-Preise'!$I$54</f>
        <v>0</v>
      </c>
      <c r="N54" s="1343">
        <f>'Boden u. Keller'!H15</f>
        <v>0</v>
      </c>
      <c r="O54" s="815">
        <f>N54*'Datenbank-Preise'!$I$54</f>
        <v>0</v>
      </c>
      <c r="P54" s="1343">
        <f>'Boden u. Keller'!I15</f>
        <v>0</v>
      </c>
      <c r="Q54" s="815">
        <f>P54*'Datenbank-Preise'!$I$54</f>
        <v>0</v>
      </c>
    </row>
    <row r="55" spans="2:17">
      <c r="B55" s="6" t="s">
        <v>127</v>
      </c>
      <c r="C55" s="4" t="s">
        <v>175</v>
      </c>
      <c r="D55" s="4" t="s">
        <v>175</v>
      </c>
      <c r="E55" s="4" t="s">
        <v>147</v>
      </c>
      <c r="G55" s="2" t="s">
        <v>776</v>
      </c>
      <c r="H55" s="819" t="s">
        <v>99</v>
      </c>
      <c r="I55" s="4">
        <v>300</v>
      </c>
    </row>
    <row r="56" spans="2:17">
      <c r="B56" s="6" t="s">
        <v>733</v>
      </c>
      <c r="C56" s="4" t="s">
        <v>147</v>
      </c>
      <c r="D56" s="4" t="s">
        <v>147</v>
      </c>
      <c r="E56" s="4" t="s">
        <v>175</v>
      </c>
      <c r="G56" s="822" t="s">
        <v>777</v>
      </c>
      <c r="H56" s="4" t="s">
        <v>778</v>
      </c>
      <c r="I56" s="820">
        <v>750</v>
      </c>
      <c r="K56" s="3" t="s">
        <v>79</v>
      </c>
      <c r="M56" s="1344">
        <f>SUM(M53:M55)</f>
        <v>0</v>
      </c>
      <c r="N56" s="3"/>
      <c r="O56" s="1344">
        <f>SUM(O53:O55)</f>
        <v>0</v>
      </c>
      <c r="P56" s="3"/>
      <c r="Q56" s="1344">
        <f>SUM(Q53:Q55)</f>
        <v>0</v>
      </c>
    </row>
    <row r="57" spans="2:17">
      <c r="B57" s="746" t="s">
        <v>779</v>
      </c>
      <c r="C57" s="4" t="s">
        <v>175</v>
      </c>
      <c r="D57" s="4" t="s">
        <v>147</v>
      </c>
      <c r="E57" s="4" t="s">
        <v>175</v>
      </c>
      <c r="G57" s="823" t="s">
        <v>780</v>
      </c>
      <c r="H57" s="819" t="s">
        <v>99</v>
      </c>
      <c r="I57" s="821">
        <v>100</v>
      </c>
    </row>
    <row r="58" spans="2:17">
      <c r="B58" s="6" t="s">
        <v>781</v>
      </c>
      <c r="C58" s="4" t="s">
        <v>147</v>
      </c>
      <c r="D58" s="4" t="s">
        <v>175</v>
      </c>
      <c r="E58" s="4" t="s">
        <v>175</v>
      </c>
      <c r="G58" s="2" t="s">
        <v>79</v>
      </c>
    </row>
    <row r="59" spans="2:17">
      <c r="B59" s="6" t="s">
        <v>782</v>
      </c>
      <c r="C59" s="4" t="s">
        <v>175</v>
      </c>
      <c r="D59" s="4" t="s">
        <v>175</v>
      </c>
      <c r="E59" s="4" t="s">
        <v>175</v>
      </c>
    </row>
    <row r="60" spans="2:17">
      <c r="B60" s="823" t="str">
        <f>Allgemein!C47</f>
        <v>-</v>
      </c>
      <c r="C60" s="4"/>
      <c r="D60" s="4"/>
      <c r="E60" s="4"/>
    </row>
    <row r="61" spans="2:17">
      <c r="B61" s="927" t="str">
        <f>Allgemein!C63</f>
        <v>-</v>
      </c>
      <c r="C61" s="4"/>
      <c r="D61" s="4"/>
      <c r="E61" s="4"/>
    </row>
    <row r="62" spans="2:17">
      <c r="B62" s="823" t="str">
        <f>Allgemein!C79</f>
        <v>-</v>
      </c>
      <c r="C62" s="4"/>
      <c r="D62" s="4"/>
      <c r="E62" s="4"/>
    </row>
    <row r="63" spans="2:17">
      <c r="B63" s="6"/>
      <c r="C63" s="4"/>
      <c r="D63" s="4"/>
      <c r="E63" s="4"/>
    </row>
    <row r="64" spans="2:17">
      <c r="B64" s="6"/>
      <c r="C64" s="4"/>
      <c r="D64" s="4"/>
      <c r="E64" s="4"/>
    </row>
    <row r="65" spans="2:18">
      <c r="B65" s="6"/>
      <c r="C65" s="4"/>
      <c r="D65" s="4"/>
      <c r="E65" s="4"/>
    </row>
    <row r="66" spans="2:18">
      <c r="B66" s="6"/>
      <c r="C66" s="4"/>
      <c r="D66" s="4"/>
      <c r="E66" s="4"/>
    </row>
    <row r="67" spans="2:18">
      <c r="B67" s="6"/>
      <c r="C67" s="4"/>
      <c r="D67" s="4"/>
      <c r="E67" s="4"/>
    </row>
    <row r="68" spans="2:18">
      <c r="B68" s="6"/>
      <c r="C68" s="4"/>
      <c r="D68" s="4"/>
      <c r="E68" s="4"/>
    </row>
    <row r="69" spans="2:18" s="907" customFormat="1" ht="17.399999999999999" thickBot="1">
      <c r="B69" s="1129"/>
      <c r="C69" s="1058"/>
      <c r="D69" s="1058"/>
      <c r="E69" s="1058"/>
    </row>
    <row r="70" spans="2:18" ht="70.2">
      <c r="B70" s="924" t="s">
        <v>490</v>
      </c>
      <c r="C70" s="4"/>
      <c r="D70" s="4"/>
      <c r="E70" s="4"/>
    </row>
    <row r="71" spans="2:18">
      <c r="B71" s="6"/>
      <c r="C71" s="4"/>
      <c r="D71" s="4"/>
      <c r="E71" s="4"/>
    </row>
    <row r="72" spans="2:18">
      <c r="B72" s="6"/>
      <c r="C72" s="4"/>
      <c r="D72" s="4"/>
      <c r="E72" s="4"/>
    </row>
    <row r="73" spans="2:18">
      <c r="B73" s="673" t="s">
        <v>770</v>
      </c>
      <c r="C73" s="673" t="s">
        <v>783</v>
      </c>
      <c r="D73" s="673" t="s">
        <v>784</v>
      </c>
      <c r="E73" s="673" t="s">
        <v>785</v>
      </c>
      <c r="F73" s="673" t="s">
        <v>777</v>
      </c>
    </row>
    <row r="74" spans="2:18">
      <c r="B74" s="6" t="s">
        <v>68</v>
      </c>
      <c r="C74" s="4" t="s">
        <v>147</v>
      </c>
      <c r="D74" s="4" t="s">
        <v>147</v>
      </c>
      <c r="E74" s="4" t="s">
        <v>147</v>
      </c>
      <c r="F74" s="4" t="s">
        <v>147</v>
      </c>
    </row>
    <row r="75" spans="2:18">
      <c r="B75" s="6" t="s">
        <v>788</v>
      </c>
      <c r="C75" s="4" t="s">
        <v>175</v>
      </c>
      <c r="D75" s="4" t="s">
        <v>147</v>
      </c>
      <c r="E75" s="4" t="s">
        <v>147</v>
      </c>
      <c r="F75" s="4" t="s">
        <v>147</v>
      </c>
    </row>
    <row r="76" spans="2:18">
      <c r="B76" s="6" t="s">
        <v>165</v>
      </c>
      <c r="C76" s="4" t="s">
        <v>175</v>
      </c>
      <c r="D76" s="4" t="s">
        <v>147</v>
      </c>
      <c r="E76" s="4" t="s">
        <v>147</v>
      </c>
      <c r="F76" s="4" t="s">
        <v>175</v>
      </c>
    </row>
    <row r="77" spans="2:18">
      <c r="B77" s="6" t="s">
        <v>786</v>
      </c>
      <c r="C77" s="4" t="s">
        <v>147</v>
      </c>
      <c r="D77" s="4" t="s">
        <v>175</v>
      </c>
      <c r="E77" s="4" t="s">
        <v>147</v>
      </c>
      <c r="F77" s="4" t="s">
        <v>147</v>
      </c>
      <c r="H77" s="816" t="s">
        <v>745</v>
      </c>
      <c r="I77" s="817" t="s">
        <v>407</v>
      </c>
      <c r="J77" s="818" t="s">
        <v>746</v>
      </c>
      <c r="L77" s="816" t="s">
        <v>762</v>
      </c>
      <c r="M77" s="1323" t="s">
        <v>747</v>
      </c>
      <c r="N77" s="1323" t="s">
        <v>106</v>
      </c>
      <c r="O77" s="1323" t="s">
        <v>747</v>
      </c>
      <c r="P77" s="1323" t="s">
        <v>159</v>
      </c>
      <c r="Q77" s="1323" t="s">
        <v>747</v>
      </c>
      <c r="R77" s="1323" t="s">
        <v>171</v>
      </c>
    </row>
    <row r="78" spans="2:18">
      <c r="B78" s="6" t="s">
        <v>787</v>
      </c>
      <c r="C78" s="4" t="s">
        <v>147</v>
      </c>
      <c r="D78" s="4" t="s">
        <v>175</v>
      </c>
      <c r="E78" s="4" t="s">
        <v>147</v>
      </c>
      <c r="F78" s="4" t="s">
        <v>175</v>
      </c>
      <c r="H78" s="822" t="s">
        <v>774</v>
      </c>
      <c r="J78" s="820"/>
      <c r="L78" s="813" t="s">
        <v>788</v>
      </c>
      <c r="M78" s="819">
        <f>'Boden u. Keller'!G24</f>
        <v>0</v>
      </c>
      <c r="N78" s="1252">
        <f>M78*$J$80</f>
        <v>0</v>
      </c>
      <c r="O78" s="819">
        <f>'Boden u. Keller'!H24</f>
        <v>0</v>
      </c>
      <c r="P78" s="1252">
        <f>O78*$J$80</f>
        <v>0</v>
      </c>
      <c r="Q78" s="819">
        <f>'Boden u. Keller'!I24</f>
        <v>0</v>
      </c>
      <c r="R78" s="1252">
        <f>Q78*$J$80</f>
        <v>0</v>
      </c>
    </row>
    <row r="79" spans="2:18">
      <c r="B79" s="6" t="s">
        <v>173</v>
      </c>
      <c r="C79" s="4" t="s">
        <v>147</v>
      </c>
      <c r="D79" s="4" t="s">
        <v>175</v>
      </c>
      <c r="E79" s="4" t="s">
        <v>175</v>
      </c>
      <c r="F79" s="4" t="s">
        <v>175</v>
      </c>
      <c r="H79" s="823" t="s">
        <v>775</v>
      </c>
      <c r="I79" s="819" t="s">
        <v>99</v>
      </c>
      <c r="J79" s="821">
        <v>245</v>
      </c>
      <c r="L79" s="809" t="s">
        <v>789</v>
      </c>
      <c r="M79" s="1343">
        <f>'Boden u. Keller'!G21</f>
        <v>0</v>
      </c>
      <c r="N79" s="815">
        <f>M79*'Datenbank-Preise'!$J$80</f>
        <v>0</v>
      </c>
      <c r="O79" s="1343">
        <f>'Boden u. Keller'!H21</f>
        <v>0</v>
      </c>
      <c r="P79" s="815">
        <f>O79*'Datenbank-Preise'!$J$80</f>
        <v>0</v>
      </c>
      <c r="Q79" s="1343">
        <f>'Boden u. Keller'!I21</f>
        <v>0</v>
      </c>
      <c r="R79" s="815">
        <f>Q79*'Datenbank-Preise'!$J$80</f>
        <v>0</v>
      </c>
    </row>
    <row r="80" spans="2:18">
      <c r="B80" s="823" t="str">
        <f>Allgemein!C48</f>
        <v>-</v>
      </c>
      <c r="C80" s="4"/>
      <c r="D80" s="4"/>
      <c r="E80" s="4"/>
      <c r="F80" s="4"/>
      <c r="H80" s="2" t="s">
        <v>776</v>
      </c>
      <c r="I80" s="819" t="s">
        <v>99</v>
      </c>
      <c r="J80" s="4">
        <v>300</v>
      </c>
      <c r="L80" s="813" t="s">
        <v>777</v>
      </c>
      <c r="M80" s="819">
        <f>'Boden u. Keller'!G30</f>
        <v>0</v>
      </c>
      <c r="N80" s="1252">
        <f>M80*'Datenbank-Preise'!$J$81</f>
        <v>0</v>
      </c>
      <c r="O80" s="819">
        <f>'Boden u. Keller'!H30</f>
        <v>0</v>
      </c>
      <c r="P80" s="1252">
        <f>O80*'Datenbank-Preise'!$J$81</f>
        <v>0</v>
      </c>
      <c r="Q80" s="819">
        <f>'Boden u. Keller'!I30</f>
        <v>0</v>
      </c>
      <c r="R80" s="1252">
        <f>Q80*'Datenbank-Preise'!$J$81</f>
        <v>0</v>
      </c>
    </row>
    <row r="81" spans="2:18">
      <c r="B81" s="927" t="str">
        <f>Allgemein!C64</f>
        <v>-</v>
      </c>
      <c r="C81" s="4"/>
      <c r="D81" s="4"/>
      <c r="E81" s="4"/>
      <c r="F81" s="4"/>
      <c r="H81" s="822" t="s">
        <v>777</v>
      </c>
      <c r="I81" s="4" t="s">
        <v>778</v>
      </c>
      <c r="J81" s="820">
        <v>750</v>
      </c>
      <c r="L81" s="809" t="s">
        <v>780</v>
      </c>
      <c r="M81" s="1343">
        <f>'Boden u. Keller'!G27</f>
        <v>0</v>
      </c>
      <c r="N81" s="815">
        <f>M81*'Datenbank-Preise'!$J$82</f>
        <v>0</v>
      </c>
      <c r="O81" s="1343">
        <f>'Boden u. Keller'!H27</f>
        <v>0</v>
      </c>
      <c r="P81" s="815">
        <f>O81*'Datenbank-Preise'!$J$82</f>
        <v>0</v>
      </c>
      <c r="Q81" s="1343">
        <f>'Boden u. Keller'!I27</f>
        <v>0</v>
      </c>
      <c r="R81" s="815">
        <f>Q81*'Datenbank-Preise'!$J$82</f>
        <v>0</v>
      </c>
    </row>
    <row r="82" spans="2:18">
      <c r="B82" s="823" t="str">
        <f>Allgemein!C80</f>
        <v>-</v>
      </c>
      <c r="H82" s="823" t="s">
        <v>780</v>
      </c>
      <c r="I82" s="819" t="s">
        <v>99</v>
      </c>
      <c r="J82" s="821">
        <v>100</v>
      </c>
      <c r="L82" s="813"/>
      <c r="M82" s="819"/>
      <c r="N82" s="1252"/>
      <c r="O82" s="819"/>
      <c r="P82" s="1252"/>
      <c r="Q82" s="819"/>
      <c r="R82" s="1252"/>
    </row>
    <row r="83" spans="2:18">
      <c r="B83" s="6"/>
      <c r="H83" s="2" t="s">
        <v>79</v>
      </c>
      <c r="L83" s="809"/>
      <c r="M83" s="1343"/>
      <c r="N83" s="815"/>
      <c r="O83" s="1343"/>
      <c r="P83" s="815"/>
      <c r="Q83" s="1343"/>
      <c r="R83" s="815"/>
    </row>
    <row r="84" spans="2:18">
      <c r="B84" s="6"/>
      <c r="L84" s="3" t="s">
        <v>79</v>
      </c>
      <c r="M84" s="1344"/>
      <c r="N84" s="1344">
        <f>SUM(N78:N83)</f>
        <v>0</v>
      </c>
      <c r="O84" s="1344"/>
      <c r="P84" s="1344">
        <f>SUM(P78:P83)</f>
        <v>0</v>
      </c>
      <c r="Q84" s="1344"/>
      <c r="R84" s="1344">
        <f>SUM(R78:R83)</f>
        <v>0</v>
      </c>
    </row>
    <row r="85" spans="2:18">
      <c r="B85" s="6"/>
    </row>
    <row r="86" spans="2:18">
      <c r="B86" s="6"/>
    </row>
    <row r="87" spans="2:18">
      <c r="B87" s="6"/>
    </row>
    <row r="88" spans="2:18">
      <c r="B88" s="6"/>
    </row>
    <row r="89" spans="2:18">
      <c r="B89" s="6"/>
    </row>
    <row r="90" spans="2:18">
      <c r="B90" s="6"/>
      <c r="C90" s="4"/>
      <c r="D90" s="4"/>
      <c r="E90" s="4"/>
    </row>
    <row r="91" spans="2:18">
      <c r="B91" s="6"/>
      <c r="C91" s="4"/>
      <c r="D91" s="4"/>
      <c r="E91" s="4"/>
    </row>
    <row r="92" spans="2:18">
      <c r="B92" s="6"/>
      <c r="C92" s="4"/>
      <c r="D92" s="4"/>
      <c r="E92" s="4"/>
    </row>
    <row r="93" spans="2:18">
      <c r="B93" s="6"/>
      <c r="C93" s="4"/>
      <c r="D93" s="4"/>
      <c r="E93" s="4"/>
    </row>
    <row r="94" spans="2:18">
      <c r="B94" s="6"/>
      <c r="C94" s="4"/>
      <c r="D94" s="4"/>
      <c r="E94" s="4"/>
    </row>
    <row r="95" spans="2:18">
      <c r="B95" s="6"/>
      <c r="C95" s="4"/>
      <c r="D95" s="4"/>
      <c r="E95" s="4"/>
    </row>
    <row r="96" spans="2:18">
      <c r="B96" s="6"/>
      <c r="C96" s="4"/>
      <c r="D96" s="4"/>
      <c r="E96" s="4"/>
    </row>
    <row r="97" spans="1:30">
      <c r="B97" s="6"/>
      <c r="C97" s="4"/>
      <c r="D97" s="4"/>
      <c r="E97" s="4"/>
    </row>
    <row r="98" spans="1:30">
      <c r="B98" s="6"/>
      <c r="C98" s="4"/>
      <c r="D98" s="4"/>
      <c r="E98" s="4"/>
    </row>
    <row r="99" spans="1:30">
      <c r="B99" s="6"/>
      <c r="C99" s="4"/>
      <c r="D99" s="4"/>
      <c r="E99" s="4"/>
    </row>
    <row r="100" spans="1:30">
      <c r="B100" s="6"/>
      <c r="C100" s="4"/>
      <c r="D100" s="4"/>
      <c r="E100" s="4"/>
    </row>
    <row r="101" spans="1:30">
      <c r="B101" s="6"/>
      <c r="C101" s="4"/>
      <c r="D101" s="4"/>
      <c r="E101" s="4"/>
    </row>
    <row r="102" spans="1:30">
      <c r="B102" s="6"/>
      <c r="C102" s="4"/>
      <c r="D102" s="4"/>
      <c r="E102" s="4"/>
    </row>
    <row r="103" spans="1:30">
      <c r="B103" s="6"/>
      <c r="C103" s="4"/>
      <c r="D103" s="4"/>
      <c r="E103" s="4"/>
    </row>
    <row r="104" spans="1:30">
      <c r="B104" s="6"/>
      <c r="C104" s="4"/>
      <c r="D104" s="4"/>
      <c r="E104" s="4"/>
    </row>
    <row r="105" spans="1:30" ht="17.399999999999999" thickBot="1">
      <c r="A105" s="907"/>
      <c r="B105" s="1129"/>
      <c r="C105" s="1058"/>
      <c r="D105" s="1058"/>
      <c r="E105" s="1058"/>
      <c r="F105" s="907"/>
      <c r="G105" s="907"/>
      <c r="H105" s="907"/>
      <c r="I105" s="907"/>
      <c r="J105" s="907"/>
      <c r="K105" s="907"/>
      <c r="L105" s="907"/>
      <c r="M105" s="907"/>
      <c r="N105" s="907"/>
      <c r="O105" s="907"/>
      <c r="P105" s="907"/>
      <c r="Q105" s="907"/>
      <c r="R105" s="907"/>
      <c r="S105" s="907"/>
      <c r="T105" s="907"/>
      <c r="U105" s="907"/>
    </row>
    <row r="106" spans="1:30" ht="70.2">
      <c r="B106" s="924" t="s">
        <v>491</v>
      </c>
      <c r="M106" s="1131"/>
    </row>
    <row r="107" spans="1:30">
      <c r="M107" s="816" t="s">
        <v>762</v>
      </c>
      <c r="N107" s="1323" t="s">
        <v>747</v>
      </c>
      <c r="O107" s="1323" t="s">
        <v>106</v>
      </c>
      <c r="P107" s="1323" t="s">
        <v>747</v>
      </c>
      <c r="Q107" s="1323" t="s">
        <v>159</v>
      </c>
      <c r="R107" s="1323" t="s">
        <v>747</v>
      </c>
      <c r="S107" s="1323" t="s">
        <v>171</v>
      </c>
    </row>
    <row r="108" spans="1:30">
      <c r="B108" s="738"/>
      <c r="C108" s="676"/>
      <c r="M108" s="846" t="s">
        <v>790</v>
      </c>
      <c r="N108" s="1345" t="s">
        <v>791</v>
      </c>
      <c r="O108" s="1346">
        <f>IF(Wärmepumpe!I16="Ja",IF(Allgemein!$C$55&gt;10,'Datenbank-Preise'!$K$111,K110),0)</f>
        <v>0</v>
      </c>
      <c r="P108" s="1345" t="s">
        <v>791</v>
      </c>
      <c r="Q108" s="1346">
        <f>IF(Wärmepumpe!J16="Ja",IF(Allgemein!$C$71&gt;10,'Datenbank-Preise'!$K$111,K110),0)</f>
        <v>0</v>
      </c>
      <c r="R108" s="1345" t="s">
        <v>791</v>
      </c>
      <c r="S108" s="1346">
        <f>IF(Wärmepumpe!K16="Ja",IF(Allgemein!$C$87&gt;10,'Datenbank-Preise'!$K$111,K110),0)</f>
        <v>0</v>
      </c>
      <c r="X108" s="840" t="s">
        <v>792</v>
      </c>
      <c r="Y108" s="1350" t="s">
        <v>747</v>
      </c>
      <c r="Z108" s="1350" t="s">
        <v>106</v>
      </c>
      <c r="AA108" s="1350" t="s">
        <v>747</v>
      </c>
      <c r="AB108" s="1350" t="s">
        <v>159</v>
      </c>
      <c r="AC108" s="1350" t="s">
        <v>747</v>
      </c>
      <c r="AD108" s="1350" t="s">
        <v>171</v>
      </c>
    </row>
    <row r="109" spans="1:30">
      <c r="B109" s="673" t="s">
        <v>793</v>
      </c>
      <c r="C109" s="673" t="s">
        <v>790</v>
      </c>
      <c r="D109" s="673" t="s">
        <v>794</v>
      </c>
      <c r="E109" s="673" t="s">
        <v>795</v>
      </c>
      <c r="F109" s="673" t="s">
        <v>796</v>
      </c>
      <c r="I109" s="2" t="s">
        <v>745</v>
      </c>
      <c r="J109" s="2" t="s">
        <v>407</v>
      </c>
      <c r="K109" s="2" t="s">
        <v>746</v>
      </c>
      <c r="M109" s="847" t="s">
        <v>794</v>
      </c>
      <c r="N109" s="744" t="s">
        <v>791</v>
      </c>
      <c r="O109" s="1347">
        <f>IF(Wärmepumpe!I21="Ja",'Datenbank-Preise'!$K$112,0)</f>
        <v>0</v>
      </c>
      <c r="P109" s="744" t="s">
        <v>791</v>
      </c>
      <c r="Q109" s="1347">
        <f>IF(Wärmepumpe!J21="Ja",'Datenbank-Preise'!$K$112,0)</f>
        <v>0</v>
      </c>
      <c r="R109" s="744" t="s">
        <v>791</v>
      </c>
      <c r="S109" s="1347">
        <f>IF(Wärmepumpe!K21="Ja",'Datenbank-Preise'!$K$112,0)</f>
        <v>0</v>
      </c>
      <c r="X109" s="851" t="s">
        <v>204</v>
      </c>
      <c r="Y109" s="1345" t="str">
        <f>Allgemein!C51</f>
        <v>-</v>
      </c>
      <c r="Z109" s="1345" t="str">
        <f>_xlfn.XLOOKUP(Y109,PVGröße[kWp],PVGröße[Preis],,0,1)</f>
        <v>-</v>
      </c>
      <c r="AA109" s="1345" t="str">
        <f>Allgemein!C67</f>
        <v>-</v>
      </c>
      <c r="AB109" s="1345" t="str">
        <f>_xlfn.XLOOKUP(AA109,PVGröße[kWp],PVGröße[Preis],,0,1)</f>
        <v>-</v>
      </c>
      <c r="AC109" s="1345" t="str">
        <f>Allgemein!C83</f>
        <v>-</v>
      </c>
      <c r="AD109" s="1345" t="str">
        <f>_xlfn.XLOOKUP(AC109,PVGröße[kWp],PVGröße[Preis],,0,1)</f>
        <v>-</v>
      </c>
    </row>
    <row r="110" spans="1:30">
      <c r="B110" s="6" t="s">
        <v>135</v>
      </c>
      <c r="C110" s="4" t="s">
        <v>175</v>
      </c>
      <c r="D110" s="4" t="s">
        <v>175</v>
      </c>
      <c r="E110" s="4" t="s">
        <v>175</v>
      </c>
      <c r="F110" s="4" t="s">
        <v>147</v>
      </c>
      <c r="I110" s="793" t="s">
        <v>797</v>
      </c>
      <c r="J110" s="674" t="s">
        <v>798</v>
      </c>
      <c r="K110" s="674">
        <v>32000</v>
      </c>
      <c r="M110" s="846" t="s">
        <v>796</v>
      </c>
      <c r="N110" s="1345"/>
      <c r="O110" s="1346">
        <v>0</v>
      </c>
      <c r="P110" s="1345"/>
      <c r="Q110" s="1346">
        <v>0</v>
      </c>
      <c r="R110" s="1345"/>
      <c r="S110" s="1346">
        <v>0</v>
      </c>
      <c r="X110" s="173" t="s">
        <v>224</v>
      </c>
      <c r="Y110" s="1345" t="str">
        <f>Allgemein!D51</f>
        <v>-</v>
      </c>
      <c r="Z110" s="1345">
        <f>_xlfn.XLOOKUP(Y110,Tabelle35[Speicher],Tabelle35[Preis],0,1)</f>
        <v>0</v>
      </c>
      <c r="AA110" s="1345" t="str">
        <f>Allgemein!D67</f>
        <v>-</v>
      </c>
      <c r="AB110" s="1345">
        <f>_xlfn.XLOOKUP(AA110,Tabelle35[Speicher],Tabelle35[Preis],0,1)</f>
        <v>0</v>
      </c>
      <c r="AC110" s="1345" t="str">
        <f>Allgemein!D83</f>
        <v>-</v>
      </c>
      <c r="AD110" s="1345">
        <f>_xlfn.XLOOKUP(AC110,Tabelle35[Speicher],Tabelle35[Preis],0,1)</f>
        <v>0</v>
      </c>
    </row>
    <row r="111" spans="1:30">
      <c r="B111" s="6" t="s">
        <v>799</v>
      </c>
      <c r="C111" s="4" t="s">
        <v>175</v>
      </c>
      <c r="D111" s="4" t="s">
        <v>175</v>
      </c>
      <c r="E111" s="4" t="s">
        <v>147</v>
      </c>
      <c r="F111" s="4" t="s">
        <v>147</v>
      </c>
      <c r="I111" s="793" t="s">
        <v>800</v>
      </c>
      <c r="J111" s="674" t="s">
        <v>798</v>
      </c>
      <c r="K111" s="794">
        <v>36000</v>
      </c>
      <c r="M111" s="848" t="s">
        <v>801</v>
      </c>
      <c r="N111" s="744">
        <f>SUM(Wärmepumpe!C26:C27)</f>
        <v>0</v>
      </c>
      <c r="O111" s="1347">
        <f>IF(Wärmepumpe!I27="Ja",'Datenbank-Preise'!$K$114*N111,0)</f>
        <v>0</v>
      </c>
      <c r="P111" s="744">
        <f>SUM(Wärmepumpe!C26:C27)</f>
        <v>0</v>
      </c>
      <c r="Q111" s="1347">
        <f>IF(Wärmepumpe!J27="Ja",'Datenbank-Preise'!$K$114*P111,0)</f>
        <v>0</v>
      </c>
      <c r="R111" s="744">
        <f>SUM(Wärmepumpe!C26:C27)</f>
        <v>0</v>
      </c>
      <c r="S111" s="1347">
        <f>IF(Wärmepumpe!K27="Ja",'Datenbank-Preise'!$K$114*R111,0)</f>
        <v>0</v>
      </c>
      <c r="X111" s="3" t="s">
        <v>79</v>
      </c>
      <c r="Y111" s="904"/>
      <c r="Z111" s="904">
        <f>SUM(Z109:Z110)</f>
        <v>0</v>
      </c>
      <c r="AA111" s="904"/>
      <c r="AB111" s="904">
        <f>SUM(AB109:AB110)</f>
        <v>0</v>
      </c>
      <c r="AC111" s="904"/>
      <c r="AD111" s="904">
        <f>SUM(AD109:AD110)</f>
        <v>0</v>
      </c>
    </row>
    <row r="112" spans="1:30">
      <c r="B112" s="6" t="s">
        <v>167</v>
      </c>
      <c r="C112" s="4" t="s">
        <v>175</v>
      </c>
      <c r="D112" s="4" t="s">
        <v>147</v>
      </c>
      <c r="E112" s="4" t="s">
        <v>175</v>
      </c>
      <c r="F112" s="4" t="s">
        <v>147</v>
      </c>
      <c r="I112" s="793" t="s">
        <v>802</v>
      </c>
      <c r="J112" s="674" t="s">
        <v>798</v>
      </c>
      <c r="K112" s="674">
        <v>1000</v>
      </c>
      <c r="M112" s="849" t="s">
        <v>803</v>
      </c>
      <c r="N112" s="1345">
        <f>Allgemein!C40</f>
        <v>0</v>
      </c>
      <c r="O112" s="1346">
        <f>IF(Wärmepumpe!I30="Ja",'Datenbank-Preise'!$K$115*N112,0)</f>
        <v>0</v>
      </c>
      <c r="P112" s="1345">
        <f>Allgemein!C40</f>
        <v>0</v>
      </c>
      <c r="Q112" s="1346">
        <f>IF(Wärmepumpe!J30="Ja",'Datenbank-Preise'!$K$115*P112,0)</f>
        <v>0</v>
      </c>
      <c r="R112" s="1345">
        <f>Allgemein!C40</f>
        <v>0</v>
      </c>
      <c r="S112" s="1346">
        <f>IF(Wärmepumpe!K30="Ja",'Datenbank-Preise'!$K$115*R112,0)</f>
        <v>0</v>
      </c>
    </row>
    <row r="113" spans="2:19">
      <c r="B113" s="6" t="s">
        <v>804</v>
      </c>
      <c r="C113" s="4" t="s">
        <v>175</v>
      </c>
      <c r="D113" s="4" t="s">
        <v>147</v>
      </c>
      <c r="E113" s="4" t="s">
        <v>147</v>
      </c>
      <c r="F113" s="4" t="s">
        <v>147</v>
      </c>
      <c r="I113" s="793" t="s">
        <v>805</v>
      </c>
      <c r="J113" s="674" t="s">
        <v>798</v>
      </c>
      <c r="K113" s="674">
        <v>1000</v>
      </c>
      <c r="M113" s="850" t="s">
        <v>795</v>
      </c>
      <c r="N113" s="744" t="s">
        <v>791</v>
      </c>
      <c r="O113" s="1347">
        <f>IF(Wärmepumpe!I35="Ja",'Datenbank-Preise'!$K$113,0)</f>
        <v>0</v>
      </c>
      <c r="P113" s="744" t="s">
        <v>791</v>
      </c>
      <c r="Q113" s="1347">
        <f>IF(Wärmepumpe!J35="Ja",'Datenbank-Preise'!$K$112,0)</f>
        <v>0</v>
      </c>
      <c r="R113" s="744" t="s">
        <v>791</v>
      </c>
      <c r="S113" s="1347">
        <f>IF(Wärmepumpe!K35="Ja",'Datenbank-Preise'!$K$112,0)</f>
        <v>0</v>
      </c>
    </row>
    <row r="114" spans="2:19">
      <c r="B114" s="746" t="s">
        <v>806</v>
      </c>
      <c r="C114" s="4" t="s">
        <v>175</v>
      </c>
      <c r="D114" s="4" t="s">
        <v>175</v>
      </c>
      <c r="E114" s="4" t="s">
        <v>175</v>
      </c>
      <c r="F114" s="4" t="s">
        <v>175</v>
      </c>
      <c r="I114" s="793" t="s">
        <v>807</v>
      </c>
      <c r="J114" s="674" t="s">
        <v>798</v>
      </c>
      <c r="K114" s="674">
        <v>2200</v>
      </c>
      <c r="M114" s="851"/>
      <c r="N114" s="1345"/>
      <c r="O114" s="1346"/>
      <c r="P114" s="1345"/>
      <c r="Q114" s="1346"/>
      <c r="R114" s="1345"/>
      <c r="S114" s="1346"/>
    </row>
    <row r="115" spans="2:19" ht="17.399999999999999" thickBot="1">
      <c r="B115" s="6" t="s">
        <v>808</v>
      </c>
      <c r="C115" s="4" t="s">
        <v>175</v>
      </c>
      <c r="D115" s="4" t="s">
        <v>175</v>
      </c>
      <c r="E115" s="4" t="s">
        <v>147</v>
      </c>
      <c r="F115" s="4" t="s">
        <v>175</v>
      </c>
      <c r="I115" s="793" t="s">
        <v>809</v>
      </c>
      <c r="J115" s="674" t="s">
        <v>99</v>
      </c>
      <c r="K115" s="674">
        <v>170</v>
      </c>
      <c r="M115" s="2" t="s">
        <v>810</v>
      </c>
      <c r="N115" s="4">
        <f>SUM(Wärmepumpe!C26:C27)</f>
        <v>0</v>
      </c>
      <c r="O115" s="54">
        <f>IF(Wärmepumpe!I24="Ja",'Datenbank-Preise'!$K$116*N115,0)</f>
        <v>0</v>
      </c>
      <c r="P115" s="4">
        <f>SUM(Wärmepumpe!C26:C27)</f>
        <v>0</v>
      </c>
      <c r="Q115" s="54">
        <f>IF(Wärmepumpe!J24="Ja",'Datenbank-Preise'!$K$116*P115,0)</f>
        <v>0</v>
      </c>
      <c r="R115" s="4">
        <f>SUM(Wärmepumpe!C26:C27)</f>
        <v>0</v>
      </c>
      <c r="S115" s="54">
        <f>IF(Wärmepumpe!K24="Ja",'Datenbank-Preise'!$K$116*R115,0)</f>
        <v>0</v>
      </c>
    </row>
    <row r="116" spans="2:19" ht="17.399999999999999" thickTop="1">
      <c r="B116" s="6" t="s">
        <v>174</v>
      </c>
      <c r="C116" s="744" t="s">
        <v>175</v>
      </c>
      <c r="D116" s="745" t="s">
        <v>147</v>
      </c>
      <c r="E116" s="4" t="s">
        <v>175</v>
      </c>
      <c r="F116" s="4" t="s">
        <v>175</v>
      </c>
      <c r="I116" s="793" t="s">
        <v>810</v>
      </c>
      <c r="J116" s="674" t="s">
        <v>798</v>
      </c>
      <c r="K116" s="674">
        <v>1500</v>
      </c>
      <c r="M116" s="852" t="s">
        <v>79</v>
      </c>
      <c r="N116" s="4"/>
      <c r="O116" s="1348">
        <f>SUBTOTAL(109,'Datenbank-Preise'!$O$108:$O$115)</f>
        <v>0</v>
      </c>
      <c r="P116" s="4"/>
      <c r="Q116" s="1348">
        <f>SUBTOTAL(109,'Datenbank-Preise'!$Q$108:$Q$115)</f>
        <v>0</v>
      </c>
      <c r="R116" s="4"/>
      <c r="S116" s="1349">
        <f>SUBTOTAL(109,'Datenbank-Preise'!$S$108:$S$115)</f>
        <v>0</v>
      </c>
    </row>
    <row r="117" spans="2:19">
      <c r="B117" s="6" t="s">
        <v>811</v>
      </c>
      <c r="C117" s="4" t="s">
        <v>175</v>
      </c>
      <c r="D117" s="4" t="s">
        <v>147</v>
      </c>
      <c r="E117" s="4" t="s">
        <v>147</v>
      </c>
      <c r="F117" s="4" t="s">
        <v>175</v>
      </c>
    </row>
    <row r="118" spans="2:19">
      <c r="B118" s="9" t="s">
        <v>812</v>
      </c>
      <c r="C118" s="4" t="s">
        <v>147</v>
      </c>
      <c r="D118" s="4" t="s">
        <v>147</v>
      </c>
      <c r="E118" s="4" t="s">
        <v>147</v>
      </c>
      <c r="F118" s="4" t="s">
        <v>147</v>
      </c>
    </row>
    <row r="119" spans="2:19">
      <c r="B119" s="6" t="s">
        <v>759</v>
      </c>
      <c r="C119" s="4" t="s">
        <v>147</v>
      </c>
      <c r="D119" s="4" t="s">
        <v>147</v>
      </c>
      <c r="E119" s="4" t="s">
        <v>147</v>
      </c>
      <c r="F119" s="4" t="s">
        <v>147</v>
      </c>
    </row>
    <row r="120" spans="2:19">
      <c r="B120" s="6">
        <f>Allgemein!C50</f>
        <v>0</v>
      </c>
      <c r="C120" s="4"/>
      <c r="D120" s="4"/>
      <c r="E120" s="4"/>
      <c r="F120" s="4"/>
    </row>
    <row r="121" spans="2:19">
      <c r="B121" s="6">
        <f>Allgemein!C66</f>
        <v>0</v>
      </c>
      <c r="C121" s="4"/>
      <c r="D121" s="4"/>
      <c r="E121" s="4"/>
      <c r="F121" s="4"/>
    </row>
    <row r="122" spans="2:19">
      <c r="B122" s="6">
        <f>Allgemein!C82</f>
        <v>0</v>
      </c>
      <c r="C122" s="4"/>
      <c r="D122" s="4"/>
      <c r="E122" s="4"/>
      <c r="F122" s="4"/>
    </row>
    <row r="123" spans="2:19">
      <c r="B123" s="6"/>
      <c r="C123" s="4"/>
      <c r="D123" s="4"/>
      <c r="E123" s="4"/>
      <c r="F123" s="4"/>
    </row>
    <row r="124" spans="2:19">
      <c r="B124" s="6"/>
      <c r="C124" s="4"/>
      <c r="D124" s="4"/>
      <c r="E124" s="4"/>
      <c r="F124" s="4"/>
    </row>
    <row r="125" spans="2:19">
      <c r="B125" s="6"/>
      <c r="C125" s="4"/>
      <c r="D125" s="4"/>
      <c r="E125" s="4"/>
      <c r="F125" s="4"/>
    </row>
    <row r="126" spans="2:19">
      <c r="B126" s="6"/>
      <c r="C126" s="4"/>
      <c r="D126" s="4"/>
      <c r="E126" s="4"/>
      <c r="F126" s="4"/>
    </row>
    <row r="128" spans="2:19">
      <c r="B128" s="4" t="s">
        <v>813</v>
      </c>
      <c r="C128" s="4" t="s">
        <v>801</v>
      </c>
      <c r="D128" s="4" t="s">
        <v>803</v>
      </c>
      <c r="E128" s="4" t="s">
        <v>814</v>
      </c>
    </row>
    <row r="129" spans="2:20">
      <c r="B129" s="4" t="s">
        <v>815</v>
      </c>
      <c r="C129" s="4" t="s">
        <v>175</v>
      </c>
      <c r="D129" s="4" t="s">
        <v>147</v>
      </c>
      <c r="E129" s="4" t="s">
        <v>147</v>
      </c>
    </row>
    <row r="130" spans="2:20">
      <c r="B130" s="4" t="s">
        <v>136</v>
      </c>
      <c r="C130" s="4" t="s">
        <v>147</v>
      </c>
      <c r="D130" s="4" t="s">
        <v>147</v>
      </c>
      <c r="E130" s="4" t="s">
        <v>175</v>
      </c>
    </row>
    <row r="131" spans="2:20">
      <c r="B131" s="4" t="s">
        <v>168</v>
      </c>
      <c r="C131" s="4" t="s">
        <v>147</v>
      </c>
      <c r="D131" s="4" t="s">
        <v>175</v>
      </c>
      <c r="E131" s="4" t="s">
        <v>147</v>
      </c>
    </row>
    <row r="132" spans="2:20">
      <c r="B132" s="4" t="s">
        <v>816</v>
      </c>
      <c r="C132" s="4" t="s">
        <v>147</v>
      </c>
      <c r="D132" s="4" t="s">
        <v>147</v>
      </c>
      <c r="E132" s="4" t="s">
        <v>147</v>
      </c>
    </row>
    <row r="133" spans="2:20">
      <c r="B133" s="4">
        <f>Allgemein!D50</f>
        <v>0</v>
      </c>
      <c r="C133" s="4"/>
      <c r="D133" s="4"/>
      <c r="E133" s="4"/>
    </row>
    <row r="134" spans="2:20">
      <c r="B134" s="4">
        <f>Allgemein!D66</f>
        <v>0</v>
      </c>
      <c r="C134" s="4"/>
      <c r="D134" s="4"/>
      <c r="E134" s="4"/>
    </row>
    <row r="135" spans="2:20">
      <c r="B135" s="4">
        <f>Allgemein!D82</f>
        <v>0</v>
      </c>
      <c r="C135" s="4"/>
      <c r="D135" s="4"/>
      <c r="E135" s="4"/>
    </row>
    <row r="136" spans="2:20">
      <c r="B136" s="4"/>
      <c r="C136" s="4"/>
      <c r="D136" s="4"/>
      <c r="E136" s="4"/>
    </row>
    <row r="137" spans="2:20" s="907" customFormat="1" ht="17.399999999999999" thickBot="1"/>
    <row r="138" spans="2:20" ht="70.2">
      <c r="B138" s="924" t="s">
        <v>63</v>
      </c>
    </row>
    <row r="139" spans="2:20">
      <c r="B139" s="926" t="s">
        <v>488</v>
      </c>
      <c r="C139" s="926" t="s">
        <v>817</v>
      </c>
      <c r="E139" s="926" t="s">
        <v>760</v>
      </c>
      <c r="F139" s="926" t="s">
        <v>817</v>
      </c>
      <c r="H139" s="926" t="s">
        <v>765</v>
      </c>
      <c r="I139" s="926" t="s">
        <v>817</v>
      </c>
      <c r="K139" s="926" t="s">
        <v>818</v>
      </c>
      <c r="L139" s="926" t="s">
        <v>819</v>
      </c>
      <c r="N139" s="926" t="s">
        <v>820</v>
      </c>
      <c r="O139" s="926" t="s">
        <v>821</v>
      </c>
      <c r="Q139" s="926" t="s">
        <v>490</v>
      </c>
      <c r="R139" s="926" t="s">
        <v>822</v>
      </c>
      <c r="S139" s="926" t="s">
        <v>823</v>
      </c>
      <c r="T139" s="926" t="s">
        <v>79</v>
      </c>
    </row>
    <row r="140" spans="2:20">
      <c r="B140" s="928" t="s">
        <v>824</v>
      </c>
      <c r="C140" s="929">
        <v>270</v>
      </c>
      <c r="E140" s="928" t="s">
        <v>71</v>
      </c>
      <c r="F140" s="929">
        <v>108</v>
      </c>
      <c r="H140" s="928" t="str">
        <f>_xlfn.TEXTJOIN(" ",,"Fenster",IF(Fenster!J15&gt;=1,"und Tür",""),"einfach auswechseln (zweifach-verglast)")</f>
        <v>Fenster einfach auswechseln (zweifach-verglast)</v>
      </c>
      <c r="I140" s="928">
        <v>1000</v>
      </c>
      <c r="K140" s="928" t="s">
        <v>77</v>
      </c>
      <c r="L140" s="939">
        <v>15000</v>
      </c>
      <c r="N140" s="928" t="s">
        <v>825</v>
      </c>
      <c r="O140" s="928">
        <v>3000</v>
      </c>
      <c r="Q140" s="928" t="s">
        <v>75</v>
      </c>
      <c r="R140" s="928">
        <v>750</v>
      </c>
      <c r="S140" s="928">
        <v>300</v>
      </c>
      <c r="T140" s="928"/>
    </row>
    <row r="141" spans="2:20">
      <c r="B141" s="928" t="s">
        <v>68</v>
      </c>
      <c r="C141" s="738">
        <v>0</v>
      </c>
      <c r="E141" s="928" t="s">
        <v>68</v>
      </c>
      <c r="F141" s="930">
        <v>0</v>
      </c>
      <c r="H141" s="928" t="s">
        <v>68</v>
      </c>
      <c r="I141" s="738">
        <v>0</v>
      </c>
      <c r="K141" s="2" t="s">
        <v>826</v>
      </c>
      <c r="L141" s="937">
        <v>40000</v>
      </c>
      <c r="N141" s="928" t="s">
        <v>68</v>
      </c>
      <c r="O141" s="738">
        <v>0</v>
      </c>
      <c r="Q141" s="928" t="s">
        <v>68</v>
      </c>
      <c r="R141" s="738">
        <v>0</v>
      </c>
      <c r="S141" s="738">
        <v>0</v>
      </c>
      <c r="T141" s="738"/>
    </row>
    <row r="142" spans="2:20">
      <c r="B142" s="674" t="s">
        <v>69</v>
      </c>
      <c r="C142" s="938">
        <v>50</v>
      </c>
      <c r="E142" s="928" t="s">
        <v>827</v>
      </c>
      <c r="F142" s="931">
        <v>100</v>
      </c>
      <c r="H142" s="928" t="str">
        <f>Allgemein!J28</f>
        <v>-</v>
      </c>
      <c r="I142" s="806"/>
      <c r="K142" s="928" t="s">
        <v>68</v>
      </c>
      <c r="L142" s="738">
        <v>0</v>
      </c>
      <c r="N142" s="928"/>
      <c r="O142" s="806"/>
      <c r="Q142" s="928" t="str">
        <f>Allgemein!J30</f>
        <v>-</v>
      </c>
      <c r="R142" s="806">
        <v>0</v>
      </c>
      <c r="S142" s="806">
        <v>0</v>
      </c>
      <c r="T142" s="806"/>
    </row>
    <row r="143" spans="2:20">
      <c r="B143" s="738" t="str">
        <f>Allgemein!J26</f>
        <v>-</v>
      </c>
      <c r="C143" s="738"/>
      <c r="E143" s="738" t="str">
        <f>Allgemein!J27</f>
        <v>-</v>
      </c>
      <c r="F143" s="930"/>
      <c r="H143" s="738"/>
      <c r="I143" s="738"/>
      <c r="K143" s="738" t="str">
        <f>Allgemein!J31</f>
        <v>-</v>
      </c>
      <c r="L143" s="738"/>
      <c r="N143" s="738"/>
      <c r="O143" s="738"/>
      <c r="Q143" s="738"/>
      <c r="R143" s="738"/>
      <c r="S143" s="738"/>
      <c r="T143" s="738"/>
    </row>
    <row r="144" spans="2:20">
      <c r="B144" s="928"/>
      <c r="C144" s="928"/>
      <c r="E144" s="928"/>
      <c r="F144" s="929"/>
      <c r="H144" s="928"/>
      <c r="I144" s="928"/>
      <c r="K144" s="928"/>
      <c r="L144" s="928"/>
      <c r="N144" s="928"/>
      <c r="O144" s="928"/>
      <c r="Q144" s="928"/>
      <c r="R144" s="928"/>
      <c r="S144" s="928"/>
      <c r="T144" s="928"/>
    </row>
    <row r="145" spans="2:20">
      <c r="B145" s="738"/>
      <c r="C145" s="738"/>
      <c r="E145" s="738"/>
      <c r="F145" s="930"/>
      <c r="H145" s="738"/>
      <c r="I145" s="738"/>
      <c r="K145" s="738"/>
      <c r="L145" s="738"/>
      <c r="N145" s="738"/>
      <c r="O145" s="738"/>
      <c r="Q145" s="738"/>
      <c r="R145" s="738"/>
      <c r="S145" s="738"/>
      <c r="T145" s="738"/>
    </row>
    <row r="146" spans="2:20">
      <c r="B146" s="928"/>
      <c r="C146" s="928"/>
      <c r="E146" s="928"/>
      <c r="F146" s="929"/>
      <c r="H146" s="928"/>
      <c r="I146" s="928"/>
      <c r="K146" s="928"/>
      <c r="L146" s="928"/>
      <c r="N146" s="928"/>
      <c r="O146" s="928"/>
      <c r="Q146" s="928"/>
      <c r="R146" s="928"/>
      <c r="S146" s="928"/>
      <c r="T146" s="928"/>
    </row>
    <row r="147" spans="2:20">
      <c r="B147" s="738"/>
      <c r="C147" s="738"/>
      <c r="E147" s="738"/>
      <c r="F147" s="930"/>
      <c r="H147" s="738"/>
      <c r="I147" s="738"/>
      <c r="K147" s="738"/>
      <c r="L147" s="738"/>
      <c r="N147" s="738"/>
      <c r="O147" s="738"/>
      <c r="Q147" s="738"/>
      <c r="R147" s="738"/>
      <c r="S147" s="738"/>
      <c r="T147" s="738"/>
    </row>
    <row r="148" spans="2:20">
      <c r="B148" s="928"/>
      <c r="C148" s="928"/>
      <c r="E148" s="928"/>
      <c r="F148" s="929"/>
      <c r="H148" s="928"/>
      <c r="I148" s="928"/>
      <c r="K148" s="928"/>
      <c r="L148" s="928"/>
      <c r="N148" s="928"/>
      <c r="O148" s="928"/>
      <c r="Q148" s="928"/>
      <c r="R148" s="928"/>
      <c r="S148" s="928"/>
      <c r="T148" s="928"/>
    </row>
    <row r="149" spans="2:20">
      <c r="B149" s="927"/>
      <c r="C149" s="927"/>
    </row>
    <row r="153" spans="2:20">
      <c r="R153" s="674"/>
      <c r="S153" s="4"/>
    </row>
    <row r="154" spans="2:20">
      <c r="Q154" s="9"/>
      <c r="R154" s="4"/>
      <c r="S154" s="674"/>
    </row>
    <row r="155" spans="2:20" s="907" customFormat="1" ht="17.399999999999999" thickBot="1">
      <c r="Q155" s="1129"/>
      <c r="R155" s="1127"/>
      <c r="S155" s="1127"/>
    </row>
    <row r="156" spans="2:20" ht="70.2">
      <c r="B156" s="924" t="s">
        <v>828</v>
      </c>
    </row>
    <row r="165" spans="2:36" ht="34.799999999999997">
      <c r="B165" s="925" t="s">
        <v>488</v>
      </c>
      <c r="D165" s="925" t="s">
        <v>490</v>
      </c>
      <c r="G165" s="925" t="s">
        <v>760</v>
      </c>
      <c r="J165" s="925" t="s">
        <v>829</v>
      </c>
      <c r="R165" s="925" t="s">
        <v>765</v>
      </c>
      <c r="X165" s="925" t="s">
        <v>491</v>
      </c>
      <c r="AJ165" s="925" t="s">
        <v>830</v>
      </c>
    </row>
    <row r="167" spans="2:36">
      <c r="B167" s="2" t="s">
        <v>488</v>
      </c>
      <c r="D167" s="2" t="s">
        <v>831</v>
      </c>
      <c r="E167" s="2" t="s">
        <v>832</v>
      </c>
      <c r="G167" s="768" t="s">
        <v>760</v>
      </c>
      <c r="H167" s="768" t="s">
        <v>832</v>
      </c>
      <c r="J167" s="674" t="s">
        <v>833</v>
      </c>
      <c r="K167" s="674" t="s">
        <v>834</v>
      </c>
      <c r="L167" s="674" t="s">
        <v>204</v>
      </c>
      <c r="M167" s="674" t="s">
        <v>832</v>
      </c>
      <c r="O167" s="2" t="s">
        <v>835</v>
      </c>
      <c r="P167" s="2" t="s">
        <v>832</v>
      </c>
      <c r="R167" s="2" t="s">
        <v>836</v>
      </c>
      <c r="T167" s="2" t="s">
        <v>755</v>
      </c>
      <c r="V167" s="2" t="s">
        <v>837</v>
      </c>
      <c r="X167" s="2" t="s">
        <v>805</v>
      </c>
      <c r="AA167" s="2" t="s">
        <v>838</v>
      </c>
      <c r="AC167" s="2" t="s">
        <v>839</v>
      </c>
      <c r="AD167" s="2" t="s">
        <v>840</v>
      </c>
      <c r="AE167" s="2" t="s">
        <v>841</v>
      </c>
      <c r="AF167" s="2" t="s">
        <v>842</v>
      </c>
      <c r="AG167" s="2" t="s">
        <v>843</v>
      </c>
      <c r="AH167" s="2" t="s">
        <v>844</v>
      </c>
      <c r="AJ167" s="2" t="s">
        <v>845</v>
      </c>
    </row>
    <row r="168" spans="2:36">
      <c r="B168" s="2" t="s">
        <v>68</v>
      </c>
      <c r="D168" s="2" t="s">
        <v>68</v>
      </c>
      <c r="G168" s="767" t="s">
        <v>68</v>
      </c>
      <c r="H168" s="844">
        <v>0</v>
      </c>
      <c r="J168" s="674" t="s">
        <v>68</v>
      </c>
      <c r="K168" s="674" t="s">
        <v>68</v>
      </c>
      <c r="L168" s="674" t="s">
        <v>68</v>
      </c>
      <c r="M168" s="674" t="s">
        <v>68</v>
      </c>
      <c r="O168" s="2" t="s">
        <v>68</v>
      </c>
      <c r="P168" s="2">
        <v>0</v>
      </c>
      <c r="R168" s="2" t="s">
        <v>846</v>
      </c>
      <c r="T168" s="2" t="s">
        <v>847</v>
      </c>
      <c r="V168" s="2" t="s">
        <v>848</v>
      </c>
      <c r="X168" s="2" t="s">
        <v>849</v>
      </c>
      <c r="AA168" s="2" t="s">
        <v>850</v>
      </c>
      <c r="AC168" s="2" t="s">
        <v>851</v>
      </c>
      <c r="AD168" s="2" t="s">
        <v>852</v>
      </c>
      <c r="AE168" s="2" t="s">
        <v>853</v>
      </c>
      <c r="AF168" s="2" t="s">
        <v>854</v>
      </c>
      <c r="AG168" s="2" t="s">
        <v>855</v>
      </c>
      <c r="AH168" s="2" t="s">
        <v>856</v>
      </c>
      <c r="AJ168" s="10" t="s">
        <v>857</v>
      </c>
    </row>
    <row r="169" spans="2:36">
      <c r="B169" s="2" t="s">
        <v>858</v>
      </c>
      <c r="D169" s="2" t="s">
        <v>858</v>
      </c>
      <c r="E169" s="2">
        <v>100</v>
      </c>
      <c r="G169" s="114" t="s">
        <v>124</v>
      </c>
      <c r="H169" s="845">
        <v>225</v>
      </c>
      <c r="J169" s="674">
        <v>12</v>
      </c>
      <c r="K169" s="674">
        <f>ROUND(PVGröße[[#This Row],[PV Module]]*Allgemein!$I$121/1000,2)</f>
        <v>5.28</v>
      </c>
      <c r="L169" s="674" t="str">
        <f>_xlfn.TEXTJOIN(,,PVGröße[[#This Row],[Spalte1]]," kWp")</f>
        <v>5,28 kWp</v>
      </c>
      <c r="M169" s="674">
        <v>12500</v>
      </c>
      <c r="O169" s="2" t="s">
        <v>170</v>
      </c>
      <c r="P169" s="2">
        <v>4000</v>
      </c>
      <c r="T169" s="2" t="s">
        <v>859</v>
      </c>
      <c r="X169" s="2" t="s">
        <v>860</v>
      </c>
      <c r="AA169" s="2" t="s">
        <v>861</v>
      </c>
      <c r="AC169" s="2" t="s">
        <v>841</v>
      </c>
      <c r="AD169" s="2" t="s">
        <v>862</v>
      </c>
      <c r="AJ169" s="10" t="s">
        <v>863</v>
      </c>
    </row>
    <row r="170" spans="2:36">
      <c r="B170" s="2" t="s">
        <v>864</v>
      </c>
      <c r="D170" s="2" t="s">
        <v>864</v>
      </c>
      <c r="E170" s="2">
        <v>100</v>
      </c>
      <c r="G170" s="114" t="s">
        <v>865</v>
      </c>
      <c r="H170" s="845">
        <v>230</v>
      </c>
      <c r="J170" s="674">
        <v>13</v>
      </c>
      <c r="K170" s="674">
        <f>ROUND(PVGröße[[#This Row],[PV Module]]*Allgemein!$I$121/1000,2)</f>
        <v>5.72</v>
      </c>
      <c r="L170" s="674" t="str">
        <f>_xlfn.TEXTJOIN(,,PVGröße[[#This Row],[Spalte1]]," kWp")</f>
        <v>5,72 kWp</v>
      </c>
      <c r="M170" s="674">
        <v>12800</v>
      </c>
      <c r="O170" s="2" t="s">
        <v>139</v>
      </c>
      <c r="P170" s="2">
        <v>6500</v>
      </c>
      <c r="T170" s="2" t="s">
        <v>866</v>
      </c>
      <c r="X170" s="2" t="s">
        <v>68</v>
      </c>
      <c r="AA170" s="2" t="s">
        <v>867</v>
      </c>
      <c r="AC170" s="2" t="s">
        <v>842</v>
      </c>
      <c r="AD170" s="2" t="s">
        <v>868</v>
      </c>
      <c r="AJ170" s="10" t="s">
        <v>869</v>
      </c>
    </row>
    <row r="171" spans="2:36">
      <c r="B171" s="2" t="s">
        <v>870</v>
      </c>
      <c r="D171" s="2" t="s">
        <v>870</v>
      </c>
      <c r="E171" s="2">
        <v>100</v>
      </c>
      <c r="G171" s="114" t="s">
        <v>162</v>
      </c>
      <c r="H171" s="845">
        <v>235</v>
      </c>
      <c r="J171" s="674">
        <v>14</v>
      </c>
      <c r="K171" s="674">
        <f>ROUND(PVGröße[[#This Row],[PV Module]]*Allgemein!$I$121/1000,2)</f>
        <v>6.16</v>
      </c>
      <c r="L171" s="674" t="str">
        <f>_xlfn.TEXTJOIN(,,PVGröße[[#This Row],[Spalte1]]," kWp")</f>
        <v>6,16 kWp</v>
      </c>
      <c r="M171" s="674">
        <v>13100</v>
      </c>
      <c r="O171" s="2" t="s">
        <v>871</v>
      </c>
      <c r="P171" s="2">
        <v>9000</v>
      </c>
      <c r="T171" s="2" t="s">
        <v>872</v>
      </c>
      <c r="AC171" s="2" t="s">
        <v>843</v>
      </c>
      <c r="AD171" s="2" t="s">
        <v>873</v>
      </c>
      <c r="AJ171" s="10" t="s">
        <v>874</v>
      </c>
    </row>
    <row r="172" spans="2:36">
      <c r="B172" s="2" t="s">
        <v>875</v>
      </c>
      <c r="D172" s="2" t="s">
        <v>875</v>
      </c>
      <c r="E172" s="2">
        <v>100</v>
      </c>
      <c r="G172" s="114" t="s">
        <v>876</v>
      </c>
      <c r="H172" s="845">
        <v>240</v>
      </c>
      <c r="J172" s="674">
        <v>15</v>
      </c>
      <c r="K172" s="674">
        <f>ROUND(PVGröße[[#This Row],[PV Module]]*Allgemein!$I$121/1000,2)</f>
        <v>6.6</v>
      </c>
      <c r="L172" s="674" t="str">
        <f>_xlfn.TEXTJOIN(,,PVGröße[[#This Row],[Spalte1]]," kWp")</f>
        <v>6,6 kWp</v>
      </c>
      <c r="M172" s="674">
        <v>13400</v>
      </c>
      <c r="O172" s="2" t="s">
        <v>877</v>
      </c>
      <c r="P172" s="2">
        <v>12500</v>
      </c>
      <c r="T172" s="2" t="s">
        <v>878</v>
      </c>
      <c r="AC172" s="2" t="s">
        <v>844</v>
      </c>
      <c r="AD172" t="s">
        <v>879</v>
      </c>
      <c r="AJ172" s="10" t="s">
        <v>880</v>
      </c>
    </row>
    <row r="173" spans="2:36">
      <c r="B173" s="2" t="s">
        <v>124</v>
      </c>
      <c r="D173" s="2" t="s">
        <v>124</v>
      </c>
      <c r="E173" s="2">
        <v>100</v>
      </c>
      <c r="G173" s="114" t="s">
        <v>881</v>
      </c>
      <c r="H173" s="845">
        <v>245</v>
      </c>
      <c r="J173" s="674">
        <v>16</v>
      </c>
      <c r="K173" s="674">
        <f>ROUND(PVGröße[[#This Row],[PV Module]]*Allgemein!$I$121/1000,2)</f>
        <v>7.04</v>
      </c>
      <c r="L173" s="674" t="str">
        <f>_xlfn.TEXTJOIN(,,PVGröße[[#This Row],[Spalte1]]," kWp")</f>
        <v>7,04 kWp</v>
      </c>
      <c r="M173" s="674">
        <v>13700</v>
      </c>
      <c r="O173" s="2" t="s">
        <v>1180</v>
      </c>
      <c r="P173" s="2">
        <v>5200</v>
      </c>
      <c r="AD173" t="s">
        <v>882</v>
      </c>
      <c r="AJ173" s="10" t="s">
        <v>883</v>
      </c>
    </row>
    <row r="174" spans="2:36">
      <c r="B174" s="2" t="s">
        <v>884</v>
      </c>
      <c r="D174" s="2" t="s">
        <v>884</v>
      </c>
      <c r="E174" s="2">
        <v>100</v>
      </c>
      <c r="G174" s="767" t="s">
        <v>885</v>
      </c>
      <c r="H174" s="845">
        <v>250</v>
      </c>
      <c r="J174" s="674">
        <v>17</v>
      </c>
      <c r="K174" s="674">
        <f>ROUND(PVGröße[[#This Row],[PV Module]]*Allgemein!$I$121/1000,2)</f>
        <v>7.48</v>
      </c>
      <c r="L174" s="674" t="str">
        <f>_xlfn.TEXTJOIN(,,PVGröße[[#This Row],[Spalte1]]," kWp")</f>
        <v>7,48 kWp</v>
      </c>
      <c r="M174" s="674">
        <v>14000</v>
      </c>
      <c r="O174" s="2" t="s">
        <v>1181</v>
      </c>
      <c r="P174" s="2">
        <v>9000</v>
      </c>
      <c r="AD174" s="2" t="s">
        <v>886</v>
      </c>
      <c r="AJ174" s="10" t="s">
        <v>887</v>
      </c>
    </row>
    <row r="175" spans="2:36">
      <c r="B175" s="2" t="s">
        <v>865</v>
      </c>
      <c r="D175" s="2" t="s">
        <v>865</v>
      </c>
      <c r="E175" s="2">
        <v>100</v>
      </c>
      <c r="G175" s="767" t="s">
        <v>888</v>
      </c>
      <c r="H175" s="1189">
        <v>255</v>
      </c>
      <c r="J175" s="674">
        <v>18</v>
      </c>
      <c r="K175" s="674">
        <f>ROUND(PVGröße[[#This Row],[PV Module]]*Allgemein!$I$121/1000,2)</f>
        <v>7.92</v>
      </c>
      <c r="L175" s="674" t="str">
        <f>_xlfn.TEXTJOIN(,,PVGröße[[#This Row],[Spalte1]]," kWp")</f>
        <v>7,92 kWp</v>
      </c>
      <c r="M175" s="674">
        <v>14300</v>
      </c>
      <c r="O175" s="2" t="s">
        <v>1182</v>
      </c>
      <c r="P175" s="2">
        <v>12500</v>
      </c>
      <c r="AD175" s="2" t="s">
        <v>889</v>
      </c>
    </row>
    <row r="176" spans="2:36">
      <c r="B176" s="2" t="s">
        <v>890</v>
      </c>
      <c r="D176" s="2" t="s">
        <v>890</v>
      </c>
      <c r="E176" s="2">
        <v>100</v>
      </c>
      <c r="G176" s="114" t="s">
        <v>121</v>
      </c>
      <c r="H176" s="845">
        <v>260</v>
      </c>
      <c r="J176" s="674">
        <v>19</v>
      </c>
      <c r="K176" s="674">
        <f>ROUND(PVGröße[[#This Row],[PV Module]]*Allgemein!$I$121/1000,2)</f>
        <v>8.36</v>
      </c>
      <c r="L176" s="674" t="str">
        <f>_xlfn.TEXTJOIN(,,PVGröße[[#This Row],[Spalte1]]," kWp")</f>
        <v>8,36 kWp</v>
      </c>
      <c r="M176" s="674">
        <v>14600</v>
      </c>
      <c r="AD176" s="2" t="s">
        <v>891</v>
      </c>
    </row>
    <row r="177" spans="2:30">
      <c r="B177" s="2" t="s">
        <v>162</v>
      </c>
      <c r="D177" s="2" t="s">
        <v>162</v>
      </c>
      <c r="E177" s="2">
        <v>100</v>
      </c>
      <c r="G177" s="114" t="s">
        <v>892</v>
      </c>
      <c r="H177" s="845">
        <v>205</v>
      </c>
      <c r="J177" s="674">
        <v>20</v>
      </c>
      <c r="K177" s="674">
        <f>ROUND(PVGröße[[#This Row],[PV Module]]*Allgemein!$I$121/1000,2)</f>
        <v>8.8000000000000007</v>
      </c>
      <c r="L177" s="674" t="str">
        <f>_xlfn.TEXTJOIN(,,PVGröße[[#This Row],[Spalte1]]," kWp")</f>
        <v>8,8 kWp</v>
      </c>
      <c r="M177" s="674">
        <v>14900</v>
      </c>
      <c r="AD177" s="2" t="s">
        <v>893</v>
      </c>
    </row>
    <row r="178" spans="2:30">
      <c r="B178" s="2" t="s">
        <v>172</v>
      </c>
      <c r="D178" s="2" t="s">
        <v>172</v>
      </c>
      <c r="E178" s="2">
        <v>100</v>
      </c>
      <c r="G178" s="114" t="s">
        <v>894</v>
      </c>
      <c r="H178" s="845">
        <v>210</v>
      </c>
      <c r="J178" s="674">
        <v>21</v>
      </c>
      <c r="K178" s="674">
        <f>ROUND(PVGröße[[#This Row],[PV Module]]*Allgemein!$I$121/1000,2)</f>
        <v>9.24</v>
      </c>
      <c r="L178" s="674" t="str">
        <f>_xlfn.TEXTJOIN(,,PVGröße[[#This Row],[Spalte1]]," kWp")</f>
        <v>9,24 kWp</v>
      </c>
      <c r="M178" s="674">
        <v>15200</v>
      </c>
      <c r="AD178" s="2" t="s">
        <v>895</v>
      </c>
    </row>
    <row r="179" spans="2:30">
      <c r="B179" s="2" t="s">
        <v>876</v>
      </c>
      <c r="D179" s="2" t="s">
        <v>876</v>
      </c>
      <c r="E179" s="2">
        <v>100</v>
      </c>
      <c r="G179" s="114" t="s">
        <v>896</v>
      </c>
      <c r="H179" s="845">
        <v>215</v>
      </c>
      <c r="J179" s="674">
        <v>22</v>
      </c>
      <c r="K179" s="674">
        <f>ROUND(PVGröße[[#This Row],[PV Module]]*Allgemein!$I$121/1000,2)</f>
        <v>9.68</v>
      </c>
      <c r="L179" s="674" t="str">
        <f>_xlfn.TEXTJOIN(,,PVGröße[[#This Row],[Spalte1]]," kWp")</f>
        <v>9,68 kWp</v>
      </c>
      <c r="M179" s="674">
        <v>15500</v>
      </c>
      <c r="AD179" s="769" t="s">
        <v>897</v>
      </c>
    </row>
    <row r="180" spans="2:30">
      <c r="B180" s="2" t="s">
        <v>898</v>
      </c>
      <c r="D180" s="2" t="s">
        <v>899</v>
      </c>
      <c r="E180" s="2">
        <v>80</v>
      </c>
      <c r="G180" s="767" t="s">
        <v>900</v>
      </c>
      <c r="H180" s="845">
        <v>220</v>
      </c>
      <c r="J180" s="674">
        <v>23</v>
      </c>
      <c r="K180" s="674">
        <f>ROUND(PVGröße[[#This Row],[PV Module]]*Allgemein!$I$121/1000,2)</f>
        <v>10.119999999999999</v>
      </c>
      <c r="L180" s="674" t="str">
        <f>_xlfn.TEXTJOIN(,,PVGröße[[#This Row],[Spalte1]]," kWp")</f>
        <v>10,12 kWp</v>
      </c>
      <c r="M180" s="674">
        <v>15800</v>
      </c>
    </row>
    <row r="181" spans="2:30">
      <c r="B181" s="2" t="s">
        <v>881</v>
      </c>
      <c r="D181" s="2" t="s">
        <v>901</v>
      </c>
      <c r="E181" s="2">
        <v>80</v>
      </c>
      <c r="G181" s="767" t="s">
        <v>902</v>
      </c>
      <c r="H181" s="845">
        <v>225</v>
      </c>
      <c r="J181" s="674">
        <v>24</v>
      </c>
      <c r="K181" s="674">
        <f>ROUND(PVGröße[[#This Row],[PV Module]]*Allgemein!$I$121/1000,2)</f>
        <v>10.56</v>
      </c>
      <c r="L181" s="674" t="str">
        <f>_xlfn.TEXTJOIN(,,PVGröße[[#This Row],[Spalte1]]," kWp")</f>
        <v>10,56 kWp</v>
      </c>
      <c r="M181" s="674">
        <v>16100</v>
      </c>
      <c r="P181" s="2" t="s">
        <v>829</v>
      </c>
    </row>
    <row r="182" spans="2:30">
      <c r="B182" s="2" t="s">
        <v>903</v>
      </c>
      <c r="D182" s="2" t="s">
        <v>130</v>
      </c>
      <c r="E182" s="2">
        <v>80</v>
      </c>
      <c r="G182" s="114" t="s">
        <v>904</v>
      </c>
      <c r="H182" s="845">
        <v>230</v>
      </c>
      <c r="J182" s="674">
        <v>25</v>
      </c>
      <c r="K182" s="674">
        <f>ROUND(PVGröße[[#This Row],[PV Module]]*Allgemein!$I$121/1000,2)</f>
        <v>11</v>
      </c>
      <c r="L182" s="674" t="str">
        <f>_xlfn.TEXTJOIN(,,PVGröße[[#This Row],[Spalte1]]," kWp")</f>
        <v>11 kWp</v>
      </c>
      <c r="M182" s="674">
        <v>16400</v>
      </c>
      <c r="P182" s="2">
        <v>430</v>
      </c>
    </row>
    <row r="183" spans="2:30">
      <c r="B183" s="2" t="s">
        <v>885</v>
      </c>
      <c r="D183" s="2" t="s">
        <v>166</v>
      </c>
      <c r="E183" s="2">
        <v>80</v>
      </c>
      <c r="G183" s="114" t="s">
        <v>905</v>
      </c>
      <c r="H183" s="1189">
        <v>235</v>
      </c>
      <c r="J183" s="674">
        <v>26</v>
      </c>
      <c r="K183" s="674">
        <f>ROUND(PVGröße[[#This Row],[PV Module]]*Allgemein!$I$121/1000,2)</f>
        <v>11.44</v>
      </c>
      <c r="L183" s="674" t="str">
        <f>_xlfn.TEXTJOIN(,,PVGröße[[#This Row],[Spalte1]]," kWp")</f>
        <v>11,44 kWp</v>
      </c>
      <c r="M183" s="674">
        <v>16700</v>
      </c>
      <c r="P183" s="2">
        <v>435</v>
      </c>
    </row>
    <row r="184" spans="2:30">
      <c r="B184" s="2" t="s">
        <v>906</v>
      </c>
      <c r="D184" s="2" t="s">
        <v>892</v>
      </c>
      <c r="E184" s="2">
        <v>80</v>
      </c>
      <c r="G184" s="767"/>
      <c r="H184" s="767"/>
      <c r="J184" s="674">
        <v>27</v>
      </c>
      <c r="K184" s="674">
        <f>ROUND(PVGröße[[#This Row],[PV Module]]*Allgemein!$I$121/1000,2)</f>
        <v>11.88</v>
      </c>
      <c r="L184" s="674" t="str">
        <f>_xlfn.TEXTJOIN(,,PVGröße[[#This Row],[Spalte1]]," kWp")</f>
        <v>11,88 kWp</v>
      </c>
      <c r="M184" s="674">
        <v>17000</v>
      </c>
      <c r="P184" s="2">
        <v>440</v>
      </c>
    </row>
    <row r="185" spans="2:30">
      <c r="B185" s="2" t="s">
        <v>888</v>
      </c>
      <c r="D185" s="2" t="s">
        <v>128</v>
      </c>
      <c r="E185" s="2">
        <v>80</v>
      </c>
      <c r="G185" s="769"/>
      <c r="H185" s="769"/>
      <c r="J185" s="674">
        <v>28</v>
      </c>
      <c r="K185" s="674">
        <f>ROUND(PVGröße[[#This Row],[PV Module]]*Allgemein!$I$121/1000,2)</f>
        <v>12.32</v>
      </c>
      <c r="L185" s="674" t="str">
        <f>_xlfn.TEXTJOIN(,,PVGröße[[#This Row],[Spalte1]]," kWp")</f>
        <v>12,32 kWp</v>
      </c>
      <c r="M185" s="674">
        <v>17300</v>
      </c>
      <c r="P185" s="2">
        <v>445</v>
      </c>
    </row>
    <row r="186" spans="2:30">
      <c r="B186" s="2" t="s">
        <v>907</v>
      </c>
      <c r="D186" s="2" t="s">
        <v>894</v>
      </c>
      <c r="E186" s="2">
        <v>80</v>
      </c>
      <c r="J186" s="674">
        <v>29</v>
      </c>
      <c r="K186" s="674">
        <f>ROUND(PVGröße[[#This Row],[PV Module]]*Allgemein!$I$121/1000,2)</f>
        <v>12.76</v>
      </c>
      <c r="L186" s="674" t="str">
        <f>_xlfn.TEXTJOIN(,,PVGröße[[#This Row],[Spalte1]]," kWp")</f>
        <v>12,76 kWp</v>
      </c>
      <c r="M186" s="674">
        <v>17600</v>
      </c>
      <c r="P186" s="2">
        <v>450</v>
      </c>
    </row>
    <row r="187" spans="2:30">
      <c r="B187" s="2" t="s">
        <v>121</v>
      </c>
      <c r="D187" s="2" t="s">
        <v>908</v>
      </c>
      <c r="E187" s="2">
        <v>80</v>
      </c>
      <c r="J187" s="674">
        <v>30</v>
      </c>
      <c r="K187" s="674">
        <f>ROUND(PVGröße[[#This Row],[PV Module]]*Allgemein!$I$121/1000,2)</f>
        <v>13.2</v>
      </c>
      <c r="L187" s="674" t="str">
        <f>_xlfn.TEXTJOIN(,,PVGröße[[#This Row],[Spalte1]]," kWp")</f>
        <v>13,2 kWp</v>
      </c>
      <c r="M187" s="674">
        <v>17900</v>
      </c>
    </row>
    <row r="188" spans="2:30">
      <c r="B188" s="2" t="s">
        <v>161</v>
      </c>
      <c r="D188" s="2" t="s">
        <v>896</v>
      </c>
      <c r="E188" s="2">
        <v>80</v>
      </c>
      <c r="J188" s="674">
        <v>31</v>
      </c>
      <c r="K188" s="674">
        <f>ROUND(PVGröße[[#This Row],[PV Module]]*Allgemein!$I$121/1000,2)</f>
        <v>13.64</v>
      </c>
      <c r="L188" s="674" t="str">
        <f>_xlfn.TEXTJOIN(,,PVGröße[[#This Row],[Spalte1]]," kWp")</f>
        <v>13,64 kWp</v>
      </c>
      <c r="M188" s="674">
        <v>18200</v>
      </c>
    </row>
    <row r="189" spans="2:30">
      <c r="B189" s="2" t="s">
        <v>909</v>
      </c>
      <c r="D189" s="2" t="s">
        <v>910</v>
      </c>
      <c r="E189" s="2">
        <v>80</v>
      </c>
      <c r="J189" s="674">
        <v>32</v>
      </c>
      <c r="K189" s="674">
        <f>ROUND(PVGröße[[#This Row],[PV Module]]*Allgemein!$I$121/1000,2)</f>
        <v>14.08</v>
      </c>
      <c r="L189" s="674" t="str">
        <f>_xlfn.TEXTJOIN(,,PVGröße[[#This Row],[Spalte1]]," kWp")</f>
        <v>14,08 kWp</v>
      </c>
      <c r="M189" s="674">
        <v>18500</v>
      </c>
    </row>
    <row r="190" spans="2:30">
      <c r="B190" s="2" t="s">
        <v>911</v>
      </c>
      <c r="D190" s="2" t="s">
        <v>900</v>
      </c>
      <c r="E190" s="2">
        <v>80</v>
      </c>
      <c r="J190" s="674">
        <v>33</v>
      </c>
      <c r="K190" s="674">
        <f>ROUND(PVGröße[[#This Row],[PV Module]]*Allgemein!$I$121/1000,2)</f>
        <v>14.52</v>
      </c>
      <c r="L190" s="674" t="str">
        <f>_xlfn.TEXTJOIN(,,PVGröße[[#This Row],[Spalte1]]," kWp")</f>
        <v>14,52 kWp</v>
      </c>
      <c r="M190" s="674">
        <v>18800</v>
      </c>
    </row>
    <row r="191" spans="2:30">
      <c r="B191" s="2" t="s">
        <v>912</v>
      </c>
      <c r="J191" s="674">
        <v>34</v>
      </c>
      <c r="K191" s="674">
        <f>ROUND(PVGröße[[#This Row],[PV Module]]*Allgemein!$I$121/1000,2)</f>
        <v>14.96</v>
      </c>
      <c r="L191" s="674" t="str">
        <f>_xlfn.TEXTJOIN(,,PVGröße[[#This Row],[Spalte1]]," kWp")</f>
        <v>14,96 kWp</v>
      </c>
      <c r="M191" s="674">
        <v>19100</v>
      </c>
    </row>
    <row r="192" spans="2:30">
      <c r="B192" s="2" t="s">
        <v>913</v>
      </c>
      <c r="J192" s="674">
        <v>35</v>
      </c>
      <c r="K192" s="674">
        <f>ROUND(PVGröße[[#This Row],[PV Module]]*Allgemein!$I$121/1000,2)</f>
        <v>15.4</v>
      </c>
      <c r="L192" s="674" t="str">
        <f>_xlfn.TEXTJOIN(,,PVGröße[[#This Row],[Spalte1]]," kWp")</f>
        <v>15,4 kWp</v>
      </c>
      <c r="M192" s="674">
        <v>19400</v>
      </c>
    </row>
    <row r="193" spans="2:13">
      <c r="B193" s="2" t="s">
        <v>914</v>
      </c>
      <c r="J193" s="674">
        <v>36</v>
      </c>
      <c r="K193" s="674">
        <f>ROUND(PVGröße[[#This Row],[PV Module]]*Allgemein!$I$121/1000,2)</f>
        <v>15.84</v>
      </c>
      <c r="L193" s="674" t="str">
        <f>_xlfn.TEXTJOIN(,,PVGröße[[#This Row],[Spalte1]]," kWp")</f>
        <v>15,84 kWp</v>
      </c>
      <c r="M193" s="674">
        <v>19700</v>
      </c>
    </row>
    <row r="194" spans="2:13">
      <c r="B194" s="2" t="s">
        <v>915</v>
      </c>
      <c r="J194" s="674">
        <v>37</v>
      </c>
      <c r="K194" s="674">
        <f>ROUND(PVGröße[[#This Row],[PV Module]]*Allgemein!$I$121/1000,2)</f>
        <v>16.28</v>
      </c>
      <c r="L194" s="674" t="str">
        <f>_xlfn.TEXTJOIN(,,PVGröße[[#This Row],[Spalte1]]," kWp")</f>
        <v>16,28 kWp</v>
      </c>
      <c r="M194" s="674">
        <v>20000</v>
      </c>
    </row>
    <row r="195" spans="2:13">
      <c r="B195" s="2" t="s">
        <v>916</v>
      </c>
      <c r="J195" s="674">
        <v>38</v>
      </c>
      <c r="K195" s="674">
        <f>ROUND(PVGröße[[#This Row],[PV Module]]*Allgemein!$I$121/1000,2)</f>
        <v>16.72</v>
      </c>
      <c r="L195" s="674" t="str">
        <f>_xlfn.TEXTJOIN(,,PVGröße[[#This Row],[Spalte1]]," kWp")</f>
        <v>16,72 kWp</v>
      </c>
      <c r="M195" s="674">
        <v>20300</v>
      </c>
    </row>
    <row r="196" spans="2:13">
      <c r="J196" s="674">
        <v>39</v>
      </c>
      <c r="K196" s="674">
        <f>ROUND(PVGröße[[#This Row],[PV Module]]*Allgemein!$I$121/1000,2)</f>
        <v>17.16</v>
      </c>
      <c r="L196" s="674" t="str">
        <f>_xlfn.TEXTJOIN(,,PVGröße[[#This Row],[Spalte1]]," kWp")</f>
        <v>17,16 kWp</v>
      </c>
      <c r="M196" s="674">
        <v>20600</v>
      </c>
    </row>
    <row r="197" spans="2:13">
      <c r="J197" s="674">
        <v>40</v>
      </c>
      <c r="K197" s="674">
        <f>ROUND(PVGröße[[#This Row],[PV Module]]*Allgemein!$I$121/1000,2)</f>
        <v>17.600000000000001</v>
      </c>
      <c r="L197" s="674" t="str">
        <f>_xlfn.TEXTJOIN(,,PVGröße[[#This Row],[Spalte1]]," kWp")</f>
        <v>17,6 kWp</v>
      </c>
      <c r="M197" s="674">
        <v>20900</v>
      </c>
    </row>
    <row r="198" spans="2:13">
      <c r="J198" s="674">
        <v>41</v>
      </c>
      <c r="K198" s="674">
        <f>ROUND(PVGröße[[#This Row],[PV Module]]*Allgemein!$I$121/1000,2)</f>
        <v>18.04</v>
      </c>
      <c r="L198" s="674" t="str">
        <f>_xlfn.TEXTJOIN(,,PVGröße[[#This Row],[Spalte1]]," kWp")</f>
        <v>18,04 kWp</v>
      </c>
      <c r="M198" s="674">
        <v>21200</v>
      </c>
    </row>
    <row r="199" spans="2:13">
      <c r="J199" s="674">
        <v>42</v>
      </c>
      <c r="K199" s="674">
        <f>ROUND(PVGröße[[#This Row],[PV Module]]*Allgemein!$I$121/1000,2)</f>
        <v>18.48</v>
      </c>
      <c r="L199" s="674" t="str">
        <f>_xlfn.TEXTJOIN(,,PVGröße[[#This Row],[Spalte1]]," kWp")</f>
        <v>18,48 kWp</v>
      </c>
      <c r="M199" s="674">
        <v>21500</v>
      </c>
    </row>
    <row r="200" spans="2:13">
      <c r="J200" s="674">
        <v>43</v>
      </c>
      <c r="K200" s="674">
        <f>ROUND(PVGröße[[#This Row],[PV Module]]*Allgemein!$I$121/1000,2)</f>
        <v>18.920000000000002</v>
      </c>
      <c r="L200" s="674" t="str">
        <f>_xlfn.TEXTJOIN(,,PVGröße[[#This Row],[Spalte1]]," kWp")</f>
        <v>18,92 kWp</v>
      </c>
      <c r="M200" s="674">
        <v>21800</v>
      </c>
    </row>
    <row r="201" spans="2:13">
      <c r="J201" s="674">
        <v>44</v>
      </c>
      <c r="K201" s="674">
        <f>ROUND(PVGröße[[#This Row],[PV Module]]*Allgemein!$I$121/1000,2)</f>
        <v>19.36</v>
      </c>
      <c r="L201" s="674" t="str">
        <f>_xlfn.TEXTJOIN(,,PVGröße[[#This Row],[Spalte1]]," kWp")</f>
        <v>19,36 kWp</v>
      </c>
      <c r="M201" s="674">
        <v>22100</v>
      </c>
    </row>
    <row r="202" spans="2:13">
      <c r="J202" s="674">
        <v>45</v>
      </c>
      <c r="K202" s="674">
        <f>ROUND(PVGröße[[#This Row],[PV Module]]*Allgemein!$I$121/1000,2)</f>
        <v>19.8</v>
      </c>
      <c r="L202" s="674" t="str">
        <f>_xlfn.TEXTJOIN(,,PVGröße[[#This Row],[Spalte1]]," kWp")</f>
        <v>19,8 kWp</v>
      </c>
      <c r="M202" s="674">
        <v>22400</v>
      </c>
    </row>
    <row r="203" spans="2:13">
      <c r="J203" s="674">
        <v>46</v>
      </c>
      <c r="K203" s="674">
        <f>ROUND(PVGröße[[#This Row],[PV Module]]*Allgemein!$I$121/1000,2)</f>
        <v>20.239999999999998</v>
      </c>
      <c r="L203" s="674" t="str">
        <f>_xlfn.TEXTJOIN(,,PVGröße[[#This Row],[Spalte1]]," kWp")</f>
        <v>20,24 kWp</v>
      </c>
      <c r="M203" s="674">
        <v>22700</v>
      </c>
    </row>
    <row r="204" spans="2:13">
      <c r="J204" s="674">
        <v>47</v>
      </c>
      <c r="K204" s="674">
        <f>ROUND(PVGröße[[#This Row],[PV Module]]*Allgemein!$I$121/1000,2)</f>
        <v>20.68</v>
      </c>
      <c r="L204" s="674" t="str">
        <f>_xlfn.TEXTJOIN(,,PVGröße[[#This Row],[Spalte1]]," kWp")</f>
        <v>20,68 kWp</v>
      </c>
      <c r="M204" s="674">
        <v>23000</v>
      </c>
    </row>
    <row r="205" spans="2:13">
      <c r="J205" s="674">
        <v>48</v>
      </c>
      <c r="K205" s="674">
        <f>ROUND(PVGröße[[#This Row],[PV Module]]*Allgemein!$I$121/1000,2)</f>
        <v>21.12</v>
      </c>
      <c r="L205" s="674" t="str">
        <f>_xlfn.TEXTJOIN(,,PVGröße[[#This Row],[Spalte1]]," kWp")</f>
        <v>21,12 kWp</v>
      </c>
      <c r="M205" s="674">
        <v>23300</v>
      </c>
    </row>
    <row r="206" spans="2:13">
      <c r="J206" s="674">
        <v>49</v>
      </c>
      <c r="K206" s="674">
        <f>ROUND(PVGröße[[#This Row],[PV Module]]*Allgemein!$I$121/1000,2)</f>
        <v>21.56</v>
      </c>
      <c r="L206" s="674" t="str">
        <f>_xlfn.TEXTJOIN(,,PVGröße[[#This Row],[Spalte1]]," kWp")</f>
        <v>21,56 kWp</v>
      </c>
      <c r="M206" s="674">
        <v>23600</v>
      </c>
    </row>
    <row r="207" spans="2:13">
      <c r="J207" s="674">
        <v>50</v>
      </c>
      <c r="K207" s="674">
        <f>ROUND(PVGröße[[#This Row],[PV Module]]*Allgemein!$I$121/1000,2)</f>
        <v>22</v>
      </c>
      <c r="L207" s="674" t="str">
        <f>_xlfn.TEXTJOIN(,,PVGröße[[#This Row],[Spalte1]]," kWp")</f>
        <v>22 kWp</v>
      </c>
      <c r="M207" s="674">
        <v>23900</v>
      </c>
    </row>
    <row r="208" spans="2:13">
      <c r="J208" s="674">
        <v>51</v>
      </c>
      <c r="K208" s="674">
        <f>ROUND(PVGröße[[#This Row],[PV Module]]*Allgemein!$I$121/1000,2)</f>
        <v>22.44</v>
      </c>
      <c r="L208" s="674" t="str">
        <f>_xlfn.TEXTJOIN(,,PVGröße[[#This Row],[Spalte1]]," kWp")</f>
        <v>22,44 kWp</v>
      </c>
      <c r="M208" s="674">
        <v>24200</v>
      </c>
    </row>
    <row r="209" spans="10:13">
      <c r="J209" s="674">
        <v>52</v>
      </c>
      <c r="K209" s="674">
        <f>ROUND(PVGröße[[#This Row],[PV Module]]*Allgemein!$I$121/1000,2)</f>
        <v>22.88</v>
      </c>
      <c r="L209" s="674" t="str">
        <f>_xlfn.TEXTJOIN(,,PVGröße[[#This Row],[Spalte1]]," kWp")</f>
        <v>22,88 kWp</v>
      </c>
      <c r="M209" s="674">
        <v>24500</v>
      </c>
    </row>
    <row r="210" spans="10:13">
      <c r="J210" s="674">
        <v>53</v>
      </c>
      <c r="K210" s="674">
        <f>ROUND(PVGröße[[#This Row],[PV Module]]*Allgemein!$I$121/1000,2)</f>
        <v>23.32</v>
      </c>
      <c r="L210" s="674" t="str">
        <f>_xlfn.TEXTJOIN(,,PVGröße[[#This Row],[Spalte1]]," kWp")</f>
        <v>23,32 kWp</v>
      </c>
      <c r="M210" s="674">
        <v>24800</v>
      </c>
    </row>
    <row r="211" spans="10:13">
      <c r="J211" s="674">
        <v>54</v>
      </c>
      <c r="K211" s="674">
        <f>ROUND(PVGröße[[#This Row],[PV Module]]*Allgemein!$I$121/1000,2)</f>
        <v>23.76</v>
      </c>
      <c r="L211" s="674" t="str">
        <f>_xlfn.TEXTJOIN(,,PVGröße[[#This Row],[Spalte1]]," kWp")</f>
        <v>23,76 kWp</v>
      </c>
      <c r="M211" s="674">
        <v>25100</v>
      </c>
    </row>
    <row r="212" spans="10:13">
      <c r="J212" s="674">
        <v>55</v>
      </c>
      <c r="K212" s="674">
        <f>ROUND(PVGröße[[#This Row],[PV Module]]*Allgemein!$I$121/1000,2)</f>
        <v>24.2</v>
      </c>
      <c r="L212" s="674" t="str">
        <f>_xlfn.TEXTJOIN(,,PVGröße[[#This Row],[Spalte1]]," kWp")</f>
        <v>24,2 kWp</v>
      </c>
      <c r="M212" s="674">
        <v>25400</v>
      </c>
    </row>
    <row r="213" spans="10:13">
      <c r="J213" s="674">
        <v>56</v>
      </c>
      <c r="K213" s="674">
        <f>ROUND(PVGröße[[#This Row],[PV Module]]*Allgemein!$I$121/1000,2)</f>
        <v>24.64</v>
      </c>
      <c r="L213" s="674" t="str">
        <f>_xlfn.TEXTJOIN(,,PVGröße[[#This Row],[Spalte1]]," kWp")</f>
        <v>24,64 kWp</v>
      </c>
      <c r="M213" s="674">
        <v>25700</v>
      </c>
    </row>
    <row r="214" spans="10:13">
      <c r="J214" s="674">
        <v>57</v>
      </c>
      <c r="K214" s="674">
        <f>ROUND(PVGröße[[#This Row],[PV Module]]*Allgemein!$I$121/1000,2)</f>
        <v>25.08</v>
      </c>
      <c r="L214" s="674" t="str">
        <f>_xlfn.TEXTJOIN(,,PVGröße[[#This Row],[Spalte1]]," kWp")</f>
        <v>25,08 kWp</v>
      </c>
      <c r="M214" s="674">
        <v>26000</v>
      </c>
    </row>
    <row r="215" spans="10:13">
      <c r="J215" s="674">
        <v>58</v>
      </c>
      <c r="K215" s="674">
        <f>ROUND(PVGröße[[#This Row],[PV Module]]*Allgemein!$I$121/1000,2)</f>
        <v>25.52</v>
      </c>
      <c r="L215" s="674" t="str">
        <f>_xlfn.TEXTJOIN(,,PVGröße[[#This Row],[Spalte1]]," kWp")</f>
        <v>25,52 kWp</v>
      </c>
      <c r="M215" s="674">
        <v>26300</v>
      </c>
    </row>
    <row r="216" spans="10:13">
      <c r="J216" s="674">
        <v>59</v>
      </c>
      <c r="K216" s="674">
        <f>ROUND(PVGröße[[#This Row],[PV Module]]*Allgemein!$I$121/1000,2)</f>
        <v>25.96</v>
      </c>
      <c r="L216" s="674" t="str">
        <f>_xlfn.TEXTJOIN(,,PVGröße[[#This Row],[Spalte1]]," kWp")</f>
        <v>25,96 kWp</v>
      </c>
      <c r="M216" s="674">
        <v>26600</v>
      </c>
    </row>
    <row r="217" spans="10:13">
      <c r="J217" s="674">
        <v>60</v>
      </c>
      <c r="K217" s="674">
        <f>ROUND(PVGröße[[#This Row],[PV Module]]*Allgemein!$I$121/1000,2)</f>
        <v>26.4</v>
      </c>
      <c r="L217" s="674" t="str">
        <f>_xlfn.TEXTJOIN(,,PVGröße[[#This Row],[Spalte1]]," kWp")</f>
        <v>26,4 kWp</v>
      </c>
      <c r="M217" s="674">
        <v>26900</v>
      </c>
    </row>
    <row r="232" spans="2:11" s="907" customFormat="1" ht="17.399999999999999" thickBot="1"/>
    <row r="233" spans="2:11" ht="70.2">
      <c r="B233" s="924" t="s">
        <v>759</v>
      </c>
    </row>
    <row r="234" spans="2:11">
      <c r="B234" s="926" t="s">
        <v>759</v>
      </c>
      <c r="C234" s="926" t="s">
        <v>917</v>
      </c>
      <c r="E234" s="816" t="s">
        <v>762</v>
      </c>
      <c r="F234" s="1323" t="s">
        <v>747</v>
      </c>
      <c r="G234" s="1323" t="s">
        <v>106</v>
      </c>
      <c r="H234" s="1323" t="s">
        <v>747</v>
      </c>
      <c r="I234" s="1323" t="s">
        <v>159</v>
      </c>
      <c r="J234" s="1323" t="s">
        <v>747</v>
      </c>
      <c r="K234" s="1323" t="s">
        <v>171</v>
      </c>
    </row>
    <row r="235" spans="2:11">
      <c r="B235" s="928" t="s">
        <v>68</v>
      </c>
      <c r="C235" s="929">
        <v>0</v>
      </c>
      <c r="E235" s="813" t="s">
        <v>143</v>
      </c>
      <c r="F235" s="814">
        <f>Sonstiges!I12</f>
        <v>0</v>
      </c>
      <c r="G235" s="814">
        <f>C236*F235</f>
        <v>0</v>
      </c>
      <c r="H235" s="814">
        <f>Sonstiges!J12</f>
        <v>0</v>
      </c>
      <c r="I235" s="814">
        <f>C236*H235</f>
        <v>0</v>
      </c>
      <c r="J235" s="814">
        <f>Sonstiges!K12</f>
        <v>0</v>
      </c>
      <c r="K235" s="814">
        <f>C236*J235</f>
        <v>0</v>
      </c>
    </row>
    <row r="236" spans="2:11">
      <c r="B236" s="928" t="s">
        <v>143</v>
      </c>
      <c r="C236" s="929">
        <v>1780</v>
      </c>
      <c r="E236" s="824"/>
      <c r="F236" s="812"/>
      <c r="G236" s="812"/>
      <c r="H236" s="812"/>
      <c r="I236" s="812"/>
      <c r="J236" s="812"/>
      <c r="K236" s="812"/>
    </row>
    <row r="237" spans="2:11">
      <c r="B237" s="674" t="str">
        <f>Allgemein!C52</f>
        <v>-</v>
      </c>
      <c r="C237" s="938">
        <v>0</v>
      </c>
      <c r="E237" s="825" t="s">
        <v>79</v>
      </c>
      <c r="F237" s="826"/>
      <c r="G237" s="826">
        <f>SUM(G235:G236)</f>
        <v>0</v>
      </c>
      <c r="H237" s="826"/>
      <c r="I237" s="826">
        <f>SUM(I235:I236)</f>
        <v>0</v>
      </c>
      <c r="J237" s="826"/>
      <c r="K237" s="826">
        <f>SUM(K235:K236)</f>
        <v>0</v>
      </c>
    </row>
    <row r="238" spans="2:11">
      <c r="B238" s="738" t="str">
        <f>Allgemein!C68</f>
        <v>-</v>
      </c>
      <c r="C238" s="738">
        <v>0</v>
      </c>
    </row>
    <row r="239" spans="2:11">
      <c r="B239" s="928" t="str">
        <f>Allgemein!C84</f>
        <v>-</v>
      </c>
      <c r="C239" s="928">
        <v>0</v>
      </c>
    </row>
    <row r="240" spans="2:11">
      <c r="B240" s="738"/>
      <c r="C240" s="738"/>
    </row>
    <row r="241" spans="2:3">
      <c r="B241" s="928"/>
      <c r="C241" s="928"/>
    </row>
    <row r="242" spans="2:3">
      <c r="B242" s="738"/>
      <c r="C242" s="738"/>
    </row>
    <row r="243" spans="2:3">
      <c r="B243" s="928"/>
      <c r="C243" s="928"/>
    </row>
    <row r="244" spans="2:3">
      <c r="B244" s="927"/>
      <c r="C244" s="927"/>
    </row>
    <row r="260" spans="2:9" s="907" customFormat="1" ht="17.399999999999999" thickBot="1"/>
    <row r="261" spans="2:9" ht="70.2">
      <c r="B261" s="924" t="s">
        <v>918</v>
      </c>
    </row>
    <row r="264" spans="2:9">
      <c r="B264" s="926" t="s">
        <v>67</v>
      </c>
      <c r="C264" s="926" t="s">
        <v>70</v>
      </c>
      <c r="D264" s="926" t="s">
        <v>72</v>
      </c>
      <c r="E264" s="926" t="s">
        <v>73</v>
      </c>
      <c r="F264" s="926" t="s">
        <v>74</v>
      </c>
      <c r="G264" s="926" t="s">
        <v>76</v>
      </c>
      <c r="H264" s="926" t="s">
        <v>78</v>
      </c>
      <c r="I264" s="926" t="s">
        <v>142</v>
      </c>
    </row>
    <row r="265" spans="2:9">
      <c r="B265" s="928" t="s">
        <v>68</v>
      </c>
      <c r="C265" s="928" t="s">
        <v>68</v>
      </c>
      <c r="D265" s="928" t="s">
        <v>68</v>
      </c>
      <c r="E265" s="928" t="s">
        <v>68</v>
      </c>
      <c r="F265" s="928" t="s">
        <v>68</v>
      </c>
      <c r="G265" s="928" t="s">
        <v>68</v>
      </c>
      <c r="H265" s="928" t="s">
        <v>68</v>
      </c>
      <c r="I265" s="928" t="s">
        <v>68</v>
      </c>
    </row>
    <row r="266" spans="2:9">
      <c r="B266" s="928">
        <f>IF(r_VarianteEmpfehlung="iSFP",Allgemein!$C$44,IF(r_VarianteEmpfehlung="Variante 1",Allgemein!$C$60,IF(r_VarianteEmpfehlung="Variante 2",Allgemein!$C$76,0)))</f>
        <v>0</v>
      </c>
      <c r="C266" s="928">
        <f>IF(r_VarianteEmpfehlung="iSFP",Allgemein!$C$45,IF(r_VarianteEmpfehlung="Variante 1",Allgemein!$C$61,IF(r_VarianteEmpfehlung="Variante 2",Allgemein!$C$77,0)))</f>
        <v>0</v>
      </c>
      <c r="D266" s="928">
        <f>IF(r_VarianteEmpfehlung="iSFP",Allgemein!$C$46,IF(r_VarianteEmpfehlung="Variante 1",Allgemein!$C$62,IF(r_VarianteEmpfehlung="Variante 2",Allgemein!$C$78,0)))</f>
        <v>0</v>
      </c>
      <c r="E266" s="928">
        <f>IF(r_VarianteEmpfehlung="iSFP",Allgemein!$C$47,IF(r_VarianteEmpfehlung="Variante 1",Allgemein!$C$63,IF(r_VarianteEmpfehlung="Variante 2",Allgemein!$C$79,0)))</f>
        <v>0</v>
      </c>
      <c r="F266" s="928">
        <f>IF(r_VarianteEmpfehlung="iSFP",Allgemein!$C$48,IF(r_VarianteEmpfehlung="Variante 1",Allgemein!$C$64,IF(r_VarianteEmpfehlung="Variante 2",Allgemein!$C$80,0)))</f>
        <v>0</v>
      </c>
      <c r="G266" s="928">
        <f>IF(r_VarianteEmpfehlung="iSFP",Allgemein!$C$50,IF(r_VarianteEmpfehlung="Variante 1",Allgemein!$C$66,IF(r_VarianteEmpfehlung="Variante 2",Allgemein!$C$82,0)))</f>
        <v>0</v>
      </c>
      <c r="H266" s="928">
        <f>IF(r_VarianteEmpfehlung="iSFP",Allgemein!$C$51,IF(r_VarianteEmpfehlung="Variante 1",Allgemein!$C$67,IF(r_VarianteEmpfehlung="Variante 2",Allgemein!$C$83,0)))</f>
        <v>0</v>
      </c>
      <c r="I266" s="928">
        <f>IF(r_VarianteEmpfehlung="iSFP",Allgemein!$C$52,IF(r_VarianteEmpfehlung="Variante 1",Allgemein!$C$68,IF(r_VarianteEmpfehlung="Variante 2",Allgemein!$C$84,0)))</f>
        <v>0</v>
      </c>
    </row>
    <row r="267" spans="2:9">
      <c r="B267" s="928">
        <f>Allgemein!$C$94</f>
        <v>0</v>
      </c>
      <c r="C267" s="928">
        <f>Allgemein!$C$95</f>
        <v>0</v>
      </c>
      <c r="D267" s="928">
        <f>Allgemein!$C$96</f>
        <v>0</v>
      </c>
      <c r="E267" s="928">
        <f>Allgemein!$C$97</f>
        <v>0</v>
      </c>
      <c r="F267" s="928">
        <f>Allgemein!$C$98</f>
        <v>0</v>
      </c>
      <c r="G267" s="928">
        <f>Allgemein!$C$100</f>
        <v>0</v>
      </c>
      <c r="H267" s="928">
        <f>Allgemein!$C$101</f>
        <v>0</v>
      </c>
      <c r="I267" s="928">
        <f>Allgemein!$C$102</f>
        <v>0</v>
      </c>
    </row>
    <row r="270" spans="2:9">
      <c r="B270" s="1362"/>
    </row>
    <row r="271" spans="2:9">
      <c r="B271" s="926" t="s">
        <v>67</v>
      </c>
      <c r="C271" s="926" t="s">
        <v>70</v>
      </c>
      <c r="D271" s="926" t="s">
        <v>72</v>
      </c>
      <c r="E271" s="926" t="s">
        <v>73</v>
      </c>
      <c r="F271" s="926" t="s">
        <v>74</v>
      </c>
      <c r="G271" s="926" t="s">
        <v>76</v>
      </c>
      <c r="H271" s="926" t="s">
        <v>78</v>
      </c>
      <c r="I271" s="926" t="s">
        <v>142</v>
      </c>
    </row>
    <row r="272" spans="2:9">
      <c r="B272" s="928" t="s">
        <v>68</v>
      </c>
      <c r="C272" s="928" t="s">
        <v>68</v>
      </c>
      <c r="D272" s="928" t="s">
        <v>68</v>
      </c>
      <c r="E272" s="928" t="s">
        <v>68</v>
      </c>
      <c r="F272" s="928" t="s">
        <v>68</v>
      </c>
      <c r="G272" s="928" t="s">
        <v>68</v>
      </c>
      <c r="H272" s="928" t="s">
        <v>68</v>
      </c>
      <c r="I272" s="928" t="s">
        <v>68</v>
      </c>
    </row>
    <row r="273" spans="2:9">
      <c r="B273" s="928">
        <f>IF(r_VarianteEmpfehlung="iSFP",Allgemein!$D$44,IF(r_VarianteEmpfehlung="Variante 1",Allgemein!$D$60,IF(r_VarianteEmpfehlung="Variante 2",Allgemein!$D$76,0)))</f>
        <v>0</v>
      </c>
      <c r="C273" s="928">
        <f>IF(r_VarianteEmpfehlung="iSFP",Allgemein!$D$45,IF(r_VarianteEmpfehlung="Variante 1",Allgemein!$D$61,IF(r_VarianteEmpfehlung="Variante 2",Allgemein!$D$77,0)))</f>
        <v>0</v>
      </c>
      <c r="D273" s="928" t="str">
        <f>TEXT(IF(r_VarianteEmpfehlung="iSFP",Allgemein!$D$46,IF(r_VarianteEmpfehlung="Variante 1",Allgemein!$D$62,IF(r_VarianteEmpfehlung="Variante 2",Allgemein!$D$78,0))),)</f>
        <v/>
      </c>
      <c r="E273" s="928">
        <f>IF(r_VarianteEmpfehlung="iSFP",Allgemein!$D$47,IF(r_VarianteEmpfehlung="Variante 1",Allgemein!$D$63,IF(r_VarianteEmpfehlung="Variante 2",Allgemein!$D$79,0)))</f>
        <v>0</v>
      </c>
      <c r="F273" s="928">
        <f>IF(r_VarianteEmpfehlung="iSFP",Allgemein!$D$48,IF(r_VarianteEmpfehlung="Variante 1",Allgemein!$D$64,IF(r_VarianteEmpfehlung="Variante 2",Allgemein!$D$80,0)))</f>
        <v>0</v>
      </c>
      <c r="G273" s="928">
        <f>IF(r_VarianteEmpfehlung="iSFP",Allgemein!$D$50,IF(r_VarianteEmpfehlung="Variante 1",Allgemein!$D$66,IF(r_VarianteEmpfehlung="Variante 2",Allgemein!$D$82,0)))</f>
        <v>0</v>
      </c>
      <c r="H273" s="928">
        <f>IF(r_VarianteEmpfehlung="iSFP",Allgemein!$D$51,IF(r_VarianteEmpfehlung="Variante 1",Allgemein!$D$67,IF(r_VarianteEmpfehlung="Variante 2",Allgemein!$D$83,0)))</f>
        <v>0</v>
      </c>
      <c r="I273" s="928">
        <f>IF(r_VarianteEmpfehlung="iSFP",Allgemein!$D$52,IF(r_VarianteEmpfehlung="Variante 1",Allgemein!$D$68,IF(r_VarianteEmpfehlung="Variante 2",Allgemein!$D$84,0)))</f>
        <v>0</v>
      </c>
    </row>
    <row r="274" spans="2:9">
      <c r="B274" s="928">
        <f>Allgemein!$D$94</f>
        <v>0</v>
      </c>
      <c r="C274" s="928">
        <f>Allgemein!$D$95</f>
        <v>0</v>
      </c>
      <c r="D274" s="928" t="str">
        <f>Allgemein!$D$96</f>
        <v/>
      </c>
      <c r="E274" s="928">
        <f>Allgemein!$D$97</f>
        <v>0</v>
      </c>
      <c r="F274" s="928">
        <f>Allgemein!$D$98</f>
        <v>0</v>
      </c>
      <c r="G274" s="928">
        <f>Allgemein!$D$100</f>
        <v>0</v>
      </c>
      <c r="H274" s="928">
        <f>Allgemein!$D$101</f>
        <v>0</v>
      </c>
      <c r="I274" s="928">
        <f>Allgemein!$D$102</f>
        <v>0</v>
      </c>
    </row>
    <row r="278" spans="2:9">
      <c r="B278" s="926" t="s">
        <v>67</v>
      </c>
      <c r="C278" s="926" t="s">
        <v>70</v>
      </c>
      <c r="D278" s="926" t="s">
        <v>72</v>
      </c>
      <c r="E278" s="926" t="s">
        <v>73</v>
      </c>
      <c r="F278" s="926" t="s">
        <v>74</v>
      </c>
      <c r="G278" s="926" t="s">
        <v>76</v>
      </c>
      <c r="H278" s="926" t="s">
        <v>78</v>
      </c>
      <c r="I278" s="926" t="s">
        <v>142</v>
      </c>
    </row>
    <row r="279" spans="2:9">
      <c r="B279" s="928" t="s">
        <v>68</v>
      </c>
      <c r="C279" s="928" t="s">
        <v>68</v>
      </c>
      <c r="D279" s="928" t="s">
        <v>68</v>
      </c>
      <c r="E279" s="928" t="s">
        <v>68</v>
      </c>
      <c r="F279" s="928" t="s">
        <v>68</v>
      </c>
      <c r="G279" s="928" t="s">
        <v>68</v>
      </c>
      <c r="H279" s="928" t="s">
        <v>68</v>
      </c>
      <c r="I279" s="928" t="s">
        <v>68</v>
      </c>
    </row>
    <row r="280" spans="2:9">
      <c r="B280" s="928" t="str">
        <f>TEXT(IF(r_VarianteEmpfehlung="iSFP",Allgemein!$E$44,IF(r_VarianteEmpfehlung="Variante 1",Allgemein!$E$60,IF(r_VarianteEmpfehlung="Variante 2",Allgemein!$E$76,0))),)</f>
        <v/>
      </c>
      <c r="C280" s="928" t="str">
        <f>TEXT(IF(r_VarianteEmpfehlung="iSFP",Allgemein!$E$45,IF(r_VarianteEmpfehlung="Variante 1",Allgemein!$E$61,IF(r_VarianteEmpfehlung="Variante 2",Allgemein!$E$77,0))),)</f>
        <v/>
      </c>
      <c r="D280" s="928" t="str">
        <f>TEXT(IF(r_VarianteEmpfehlung="iSFP",Allgemein!$E$46,IF(r_VarianteEmpfehlung="Variante 1",Allgemein!$E$62,IF(r_VarianteEmpfehlung="Variante 2",Allgemein!$E$78,0))),)</f>
        <v/>
      </c>
      <c r="E280" s="928" t="str">
        <f>TEXT(IF(r_VarianteEmpfehlung="iSFP",Allgemein!$E$47,IF(r_VarianteEmpfehlung="Variante 1",Allgemein!$E$63,IF(r_VarianteEmpfehlung="Variante 2",Allgemein!$E$79,0))),)</f>
        <v/>
      </c>
      <c r="F280" s="928" t="str">
        <f>TEXT(IF(r_VarianteEmpfehlung="iSFP",Allgemein!$E$48,IF(r_VarianteEmpfehlung="Variante 1",Allgemein!$E$64,IF(r_VarianteEmpfehlung="Variante 2",Allgemein!$E$80,0))),)</f>
        <v/>
      </c>
      <c r="G280" s="928" t="str">
        <f>TEXT(IF(r_VarianteEmpfehlung="iSFP",Allgemein!$E$50,IF(r_VarianteEmpfehlung="Variante 1",Allgemein!$E$66,IF(r_VarianteEmpfehlung="Variante 2",Allgemein!$E$82,0))),)</f>
        <v/>
      </c>
      <c r="H280" s="928" t="str">
        <f>TEXT(IF(r_VarianteEmpfehlung="iSFP",Allgemein!$E$51,IF(r_VarianteEmpfehlung="Variante 1",Allgemein!$E$67,IF(r_VarianteEmpfehlung="Variante 2",Allgemein!$E$83,0))),)</f>
        <v/>
      </c>
      <c r="I280" s="928" t="str">
        <f>TEXT(IF(r_VarianteEmpfehlung="iSFP",Allgemein!$E$52,IF(r_VarianteEmpfehlung="Variante 1",Allgemein!$E$68,IF(r_VarianteEmpfehlung="Variante 2",Allgemein!$E$84,0))),)</f>
        <v/>
      </c>
    </row>
    <row r="281" spans="2:9">
      <c r="B281" s="928" t="str">
        <f>Allgemein!$E$94</f>
        <v/>
      </c>
      <c r="C281" s="928" t="str">
        <f>Allgemein!$E$95</f>
        <v/>
      </c>
      <c r="D281" s="928" t="str">
        <f>Allgemein!$E$96</f>
        <v/>
      </c>
      <c r="E281" s="928" t="str">
        <f>Allgemein!$E$97</f>
        <v/>
      </c>
      <c r="F281" s="928" t="str">
        <f>Allgemein!$E$98</f>
        <v/>
      </c>
      <c r="G281" s="928" t="str">
        <f>Allgemein!$E$100</f>
        <v/>
      </c>
      <c r="H281" s="928" t="str">
        <f>Allgemein!$E$101</f>
        <v/>
      </c>
      <c r="I281" s="928" t="str">
        <f>Allgemein!$E$102</f>
        <v/>
      </c>
    </row>
  </sheetData>
  <phoneticPr fontId="1" type="noConversion"/>
  <pageMargins left="0.7" right="0.7" top="0.78740157499999996" bottom="0.78740157499999996" header="0.3" footer="0.3"/>
  <tableParts count="2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F51E5-F674-4957-AF4C-2DF9BA77F648}">
  <dimension ref="A1:FH274"/>
  <sheetViews>
    <sheetView showGridLines="0" topLeftCell="BJ9" zoomScale="70" zoomScaleNormal="70" workbookViewId="0">
      <selection activeCell="BK36" sqref="BK36"/>
    </sheetView>
  </sheetViews>
  <sheetFormatPr baseColWidth="10" defaultColWidth="11.44140625" defaultRowHeight="16.8"/>
  <cols>
    <col min="1" max="1" width="11.44140625" style="2"/>
    <col min="2" max="2" width="32.5546875" style="2" customWidth="1"/>
    <col min="3" max="3" width="41.5546875" style="2" customWidth="1"/>
    <col min="4" max="4" width="33.6640625" style="2" customWidth="1"/>
    <col min="5" max="5" width="16.33203125" style="2" customWidth="1"/>
    <col min="6" max="6" width="13" style="2" customWidth="1"/>
    <col min="7" max="7" width="30" style="2" customWidth="1"/>
    <col min="8" max="8" width="19.44140625" style="2" customWidth="1"/>
    <col min="9" max="9" width="30.44140625" style="2" customWidth="1"/>
    <col min="10" max="10" width="30.33203125" style="2" customWidth="1"/>
    <col min="11" max="11" width="18.6640625" style="2" customWidth="1"/>
    <col min="12" max="12" width="12.33203125" style="2" bestFit="1" customWidth="1"/>
    <col min="13" max="15" width="11.44140625" style="2"/>
    <col min="16" max="16" width="20" style="2" customWidth="1"/>
    <col min="17" max="19" width="11.44140625" style="2"/>
    <col min="20" max="20" width="32.5546875" style="7" customWidth="1"/>
    <col min="21" max="21" width="41.5546875" style="2" customWidth="1"/>
    <col min="22" max="22" width="24.33203125" style="2" customWidth="1"/>
    <col min="23" max="23" width="16.33203125" style="2" customWidth="1"/>
    <col min="24" max="24" width="20.6640625" style="2" customWidth="1"/>
    <col min="25" max="25" width="30" style="2" customWidth="1"/>
    <col min="26" max="26" width="19.44140625" style="2" customWidth="1"/>
    <col min="27" max="27" width="25.5546875" style="2" customWidth="1"/>
    <col min="28" max="28" width="55.5546875" style="2" customWidth="1"/>
    <col min="29" max="29" width="39.33203125" style="2" customWidth="1"/>
    <col min="30" max="30" width="29.44140625" style="2" customWidth="1"/>
    <col min="31" max="31" width="11.44140625" style="2" customWidth="1"/>
    <col min="32" max="32" width="60.33203125" style="2" customWidth="1"/>
    <col min="33" max="33" width="23" style="2" customWidth="1"/>
    <col min="34" max="34" width="36.6640625" style="2" customWidth="1"/>
    <col min="35" max="35" width="13.33203125" style="2" customWidth="1"/>
    <col min="36" max="36" width="13.44140625" style="2" customWidth="1"/>
    <col min="37" max="37" width="58.33203125" style="2" customWidth="1"/>
    <col min="38" max="38" width="32.5546875" style="2" customWidth="1"/>
    <col min="39" max="39" width="41.5546875" style="2" customWidth="1"/>
    <col min="40" max="40" width="24.33203125" style="2" customWidth="1"/>
    <col min="41" max="41" width="36.5546875" style="2" customWidth="1"/>
    <col min="42" max="42" width="23.5546875" style="2" customWidth="1"/>
    <col min="43" max="43" width="30" style="2" customWidth="1"/>
    <col min="44" max="44" width="36.5546875" style="2" customWidth="1"/>
    <col min="45" max="45" width="25.5546875" style="2" customWidth="1"/>
    <col min="46" max="46" width="17" style="2" bestFit="1" customWidth="1"/>
    <col min="47" max="50" width="11.44140625" style="2"/>
    <col min="51" max="51" width="16.44140625" style="2" customWidth="1"/>
    <col min="52" max="53" width="11.44140625" style="2"/>
    <col min="54" max="54" width="11.44140625" style="7"/>
    <col min="55" max="55" width="17" style="2" bestFit="1" customWidth="1"/>
    <col min="56" max="59" width="11.44140625" style="2"/>
    <col min="60" max="60" width="15" style="2" customWidth="1"/>
    <col min="61" max="61" width="47.33203125" style="2" customWidth="1"/>
    <col min="62" max="62" width="136" style="2" customWidth="1"/>
    <col min="63" max="63" width="93.33203125" style="2" customWidth="1"/>
    <col min="64" max="64" width="30.6640625" style="2" customWidth="1"/>
    <col min="65" max="65" width="17" style="2" customWidth="1"/>
    <col min="66" max="69" width="11.44140625" style="2"/>
    <col min="70" max="70" width="31.6640625" style="2" customWidth="1"/>
    <col min="71" max="71" width="77.6640625" style="2" customWidth="1"/>
    <col min="72" max="72" width="20.33203125" style="2" customWidth="1"/>
    <col min="73" max="73" width="19.6640625" style="2" customWidth="1"/>
    <col min="74" max="74" width="32.6640625" style="2" customWidth="1"/>
    <col min="75" max="75" width="46.33203125" style="2" customWidth="1"/>
    <col min="76" max="76" width="21" style="2" customWidth="1"/>
    <col min="77" max="77" width="12.44140625" style="2" customWidth="1"/>
    <col min="78" max="78" width="18" style="2" customWidth="1"/>
    <col min="79" max="79" width="11.44140625" style="2"/>
    <col min="80" max="80" width="43.5546875" style="2" customWidth="1"/>
    <col min="81" max="81" width="25.6640625" style="2" customWidth="1"/>
    <col min="82" max="84" width="11.44140625" style="2"/>
    <col min="85" max="85" width="62.33203125" style="2" customWidth="1"/>
    <col min="86" max="86" width="17" style="2" customWidth="1"/>
    <col min="87" max="93" width="11.44140625" style="2"/>
    <col min="94" max="94" width="11.44140625" style="7"/>
    <col min="95" max="16384" width="11.44140625" style="2"/>
  </cols>
  <sheetData>
    <row r="1" spans="2:84" ht="16.95" customHeight="1">
      <c r="B1" s="1571" t="s">
        <v>313</v>
      </c>
      <c r="C1" s="1571"/>
      <c r="D1" s="1571"/>
      <c r="E1" s="1571"/>
      <c r="F1" s="1571"/>
      <c r="G1" s="1571"/>
      <c r="H1" s="1571"/>
      <c r="I1" s="1571"/>
      <c r="J1" s="1571"/>
      <c r="AF1" s="1571" t="s">
        <v>314</v>
      </c>
      <c r="AG1" s="1571"/>
      <c r="AH1" s="1571"/>
      <c r="AI1" s="1571"/>
      <c r="AJ1" s="1571"/>
      <c r="AK1" s="1571"/>
      <c r="AL1" s="1571"/>
      <c r="AM1" s="1571"/>
      <c r="AN1" s="1571"/>
      <c r="BH1" s="1571" t="s">
        <v>315</v>
      </c>
      <c r="BI1" s="1571"/>
      <c r="BJ1" s="1571"/>
      <c r="BK1" s="1571"/>
      <c r="BL1" s="1571"/>
      <c r="BM1" s="1571"/>
      <c r="BN1" s="1571"/>
      <c r="BO1" s="1571"/>
      <c r="BP1" s="1571"/>
    </row>
    <row r="2" spans="2:84" ht="95.25" customHeight="1">
      <c r="B2" s="1572"/>
      <c r="C2" s="1572"/>
      <c r="D2" s="1572"/>
      <c r="E2" s="1572"/>
      <c r="F2" s="1572"/>
      <c r="G2" s="1572"/>
      <c r="H2" s="1572"/>
      <c r="I2" s="1572"/>
      <c r="J2" s="1572"/>
      <c r="AF2" s="1572"/>
      <c r="AG2" s="1572"/>
      <c r="AH2" s="1572"/>
      <c r="AI2" s="1572"/>
      <c r="AJ2" s="1572"/>
      <c r="AK2" s="1572"/>
      <c r="AL2" s="1572"/>
      <c r="AM2" s="1572"/>
      <c r="AN2" s="1572"/>
      <c r="BH2" s="1572"/>
      <c r="BI2" s="1572"/>
      <c r="BJ2" s="1572"/>
      <c r="BK2" s="1572"/>
      <c r="BL2" s="1572"/>
      <c r="BM2" s="1572"/>
      <c r="BN2" s="1572"/>
      <c r="BO2" s="1572"/>
      <c r="BP2" s="1572"/>
    </row>
    <row r="3" spans="2:84" ht="17.399999999999999" thickBot="1"/>
    <row r="4" spans="2:84" ht="25.2" customHeight="1" thickTop="1">
      <c r="C4" s="2" t="str">
        <f>Allgemein!B2</f>
        <v>Projektnummer:</v>
      </c>
      <c r="D4" s="1045">
        <f>Allgemein!C2</f>
        <v>0</v>
      </c>
    </row>
    <row r="5" spans="2:84" ht="25.2" customHeight="1" thickBot="1">
      <c r="C5" s="2" t="str">
        <f>Allgemein!B3</f>
        <v>Anrede:</v>
      </c>
      <c r="D5" s="1046">
        <f>Allgemein!C3</f>
        <v>0</v>
      </c>
    </row>
    <row r="6" spans="2:84" ht="25.2" customHeight="1">
      <c r="C6" s="2" t="str">
        <f>Allgemein!B4</f>
        <v>Vorname Nachname:</v>
      </c>
      <c r="D6" s="1046">
        <f>Allgemein!C4</f>
        <v>0</v>
      </c>
      <c r="BR6" s="1089" t="s">
        <v>316</v>
      </c>
      <c r="BS6" s="95"/>
      <c r="BT6" s="53"/>
      <c r="BV6" s="1089" t="s">
        <v>317</v>
      </c>
      <c r="BW6" s="95"/>
      <c r="BX6" s="53"/>
    </row>
    <row r="7" spans="2:84" ht="39" customHeight="1">
      <c r="C7" s="2" t="str">
        <f>Allgemein!B5</f>
        <v>Straße, Nr. (Objektadresse):</v>
      </c>
      <c r="D7" s="1046">
        <f>Allgemein!C5</f>
        <v>0</v>
      </c>
      <c r="BJ7" s="1415"/>
      <c r="BK7" s="1416"/>
      <c r="BL7" s="1415"/>
      <c r="BR7" s="1090" t="s">
        <v>319</v>
      </c>
      <c r="BS7" s="1">
        <f>Allgemein!C38</f>
        <v>0</v>
      </c>
      <c r="BT7" s="1091" t="s">
        <v>90</v>
      </c>
      <c r="BV7" s="1090" t="s">
        <v>319</v>
      </c>
      <c r="BW7" s="1">
        <f>Allgemein!G38</f>
        <v>0</v>
      </c>
      <c r="BX7" s="1091" t="s">
        <v>90</v>
      </c>
    </row>
    <row r="8" spans="2:84" ht="25.2" customHeight="1" thickBot="1">
      <c r="C8" s="2" t="str">
        <f>Allgemein!B6</f>
        <v>PLZ, Ort:</v>
      </c>
      <c r="D8" s="1047">
        <f>Allgemein!C6</f>
        <v>0</v>
      </c>
      <c r="BI8" s="603"/>
      <c r="BJ8" s="1417"/>
      <c r="BK8" s="603"/>
      <c r="BL8" s="1417"/>
      <c r="BR8" s="1092" t="s">
        <v>320</v>
      </c>
      <c r="BS8" s="1093">
        <f>Allgemein!C122</f>
        <v>0</v>
      </c>
      <c r="BT8" s="1094" t="s">
        <v>90</v>
      </c>
      <c r="BV8" s="1092" t="s">
        <v>320</v>
      </c>
      <c r="BW8" s="1093">
        <f>Allgemein!C123</f>
        <v>0</v>
      </c>
      <c r="BX8" s="1094" t="s">
        <v>90</v>
      </c>
    </row>
    <row r="9" spans="2:84" ht="25.2" customHeight="1" thickTop="1" thickBot="1">
      <c r="AQ9" s="604" t="s">
        <v>321</v>
      </c>
      <c r="BH9" s="63"/>
      <c r="BI9" s="1061"/>
      <c r="BJ9" s="1414" t="s">
        <v>318</v>
      </c>
      <c r="BK9" s="1414" t="s">
        <v>150</v>
      </c>
      <c r="CF9" s="1025"/>
    </row>
    <row r="10" spans="2:84" ht="25.2" customHeight="1">
      <c r="C10" s="1097" t="s">
        <v>322</v>
      </c>
      <c r="D10" s="95"/>
      <c r="E10" s="53"/>
      <c r="AC10" s="604" t="s">
        <v>106</v>
      </c>
      <c r="AG10" s="604" t="s">
        <v>159</v>
      </c>
      <c r="AL10" s="604" t="s">
        <v>171</v>
      </c>
      <c r="BH10" s="46"/>
      <c r="BI10" s="603" t="s">
        <v>67</v>
      </c>
      <c r="BJ10" s="1420" t="str">
        <f>_xlfn.TEXTJOIN(" ",,Allgemein!C94,Allgemein!D94,IF(Allgemein!E94="",,"+"),Allgemein!E94)</f>
        <v>0 0</v>
      </c>
      <c r="BK10" s="1067">
        <f>Allgemein!E108</f>
        <v>0</v>
      </c>
      <c r="BL10" s="1417"/>
    </row>
    <row r="11" spans="2:84" ht="25.2" customHeight="1">
      <c r="C11" s="1098" t="s">
        <v>323</v>
      </c>
      <c r="D11" s="1042">
        <f>Allgemein!C14</f>
        <v>0</v>
      </c>
      <c r="E11" s="47" t="s">
        <v>99</v>
      </c>
      <c r="BH11" s="46"/>
      <c r="BI11" s="603" t="s">
        <v>70</v>
      </c>
      <c r="BJ11" s="1420" t="str">
        <f>_xlfn.TEXTJOIN(" ",,Allgemein!C95,Allgemein!D95,IF(Allgemein!E95="",,"+"),Allgemein!E95)</f>
        <v>0 0</v>
      </c>
      <c r="BK11" s="1067">
        <f>Allgemein!E109</f>
        <v>0</v>
      </c>
    </row>
    <row r="12" spans="2:84" ht="25.2" customHeight="1" thickBot="1">
      <c r="C12" s="46" t="s">
        <v>324</v>
      </c>
      <c r="D12" s="2">
        <f>Allgemein!C40</f>
        <v>0</v>
      </c>
      <c r="E12" s="47" t="s">
        <v>99</v>
      </c>
      <c r="V12" s="604" t="s">
        <v>325</v>
      </c>
      <c r="BH12" s="46"/>
      <c r="BI12" s="2" t="s">
        <v>72</v>
      </c>
      <c r="BJ12" s="1420" t="str">
        <f>_xlfn.TEXTJOIN(" ",,Allgemein!C96,Allgemein!D96,IF(Allgemein!E96="",,"+"),Allgemein!E96)</f>
        <v>0</v>
      </c>
      <c r="BK12" s="1067">
        <f>Allgemein!E110</f>
        <v>0</v>
      </c>
      <c r="BL12" s="1417"/>
      <c r="BR12" s="604" t="s">
        <v>326</v>
      </c>
    </row>
    <row r="13" spans="2:84" ht="25.2" customHeight="1">
      <c r="C13" s="46" t="s">
        <v>35</v>
      </c>
      <c r="D13" s="144">
        <f>Allgemein!E14</f>
        <v>0</v>
      </c>
      <c r="E13" s="47"/>
      <c r="AC13" s="1573" t="s">
        <v>327</v>
      </c>
      <c r="AD13" s="1574"/>
      <c r="AG13" s="1573" t="s">
        <v>327</v>
      </c>
      <c r="AH13" s="1574"/>
      <c r="AL13" s="1573" t="s">
        <v>327</v>
      </c>
      <c r="AM13" s="1574"/>
      <c r="AQ13" s="1573" t="s">
        <v>327</v>
      </c>
      <c r="AR13" s="1574"/>
      <c r="BH13" s="46"/>
      <c r="BI13" s="2" t="s">
        <v>1172</v>
      </c>
      <c r="BJ13" s="1420" t="str">
        <f>_xlfn.TEXTJOIN(" ",,Allgemein!C97,Allgemein!D97,IF(Allgemein!E97="",,"+"),Allgemein!E97," / ",Allgemein!C98,Allgemein!D98,IF(Allgemein!E98="",,"+"),Allgemein!E98)</f>
        <v>0 0  /  0 0</v>
      </c>
      <c r="BK13" s="1067">
        <f>Allgemein!E112+Allgemein!E111</f>
        <v>0</v>
      </c>
      <c r="BR13" s="63" t="s">
        <v>328</v>
      </c>
      <c r="BS13" s="53"/>
      <c r="BV13" s="63" t="s">
        <v>329</v>
      </c>
      <c r="BW13" s="53"/>
    </row>
    <row r="14" spans="2:84" ht="25.2" customHeight="1" thickBot="1">
      <c r="C14" s="46" t="s">
        <v>202</v>
      </c>
      <c r="D14" s="1099">
        <f>Allgemein!G38</f>
        <v>0</v>
      </c>
      <c r="E14" s="47" t="s">
        <v>90</v>
      </c>
      <c r="AC14" s="906" t="s">
        <v>330</v>
      </c>
      <c r="AD14" s="1064" t="e">
        <f>Datenbank!AN104</f>
        <v>#DIV/0!</v>
      </c>
      <c r="AG14" s="906" t="s">
        <v>330</v>
      </c>
      <c r="AH14" s="1064" t="e">
        <f>Datenbank!AN214</f>
        <v>#DIV/0!</v>
      </c>
      <c r="AL14" s="906" t="s">
        <v>330</v>
      </c>
      <c r="AM14" s="1064" t="e">
        <f>Datenbank!AN331</f>
        <v>#DIV/0!</v>
      </c>
      <c r="AQ14" s="906" t="s">
        <v>330</v>
      </c>
      <c r="AR14" s="1064" t="e">
        <f>Datenbank!AN446</f>
        <v>#DIV/0!</v>
      </c>
      <c r="BH14" s="46"/>
      <c r="BI14" s="2" t="s">
        <v>76</v>
      </c>
      <c r="BJ14" s="1420" t="str">
        <f>_xlfn.TEXTJOIN(" ",,Allgemein!C100,IF(Allgemein!D100="",,"+"),Allgemein!D100,IF(Allgemein!E100="",,"+"),Allgemein!E100)</f>
        <v>0 + 0</v>
      </c>
      <c r="BK14" s="1067">
        <f>Allgemein!E114</f>
        <v>0</v>
      </c>
      <c r="BL14" s="1417"/>
      <c r="BR14" s="46" t="s">
        <v>206</v>
      </c>
      <c r="BS14" s="1067" t="s">
        <v>1170</v>
      </c>
      <c r="BV14" s="46" t="s">
        <v>199</v>
      </c>
      <c r="BW14" s="1067">
        <f>Allgemein!L122</f>
        <v>0</v>
      </c>
    </row>
    <row r="15" spans="2:84" ht="25.2" customHeight="1" thickBot="1">
      <c r="C15" s="906" t="s">
        <v>89</v>
      </c>
      <c r="D15" s="1100">
        <f>Allgemein!C38</f>
        <v>0</v>
      </c>
      <c r="E15" s="911" t="s">
        <v>90</v>
      </c>
      <c r="V15" s="63"/>
      <c r="W15" s="1061" t="s">
        <v>331</v>
      </c>
      <c r="X15" s="1061" t="s">
        <v>63</v>
      </c>
      <c r="Y15" s="1062" t="s">
        <v>64</v>
      </c>
      <c r="AD15" s="1065" t="e">
        <f>SUM(AD14)</f>
        <v>#DIV/0!</v>
      </c>
      <c r="AH15" s="1065" t="e">
        <f>SUM(AH14)</f>
        <v>#DIV/0!</v>
      </c>
      <c r="AM15" s="1065" t="e">
        <f>SUM(AM14)</f>
        <v>#DIV/0!</v>
      </c>
      <c r="AR15" s="1065" t="e">
        <f>SUM(AR14)</f>
        <v>#DIV/0!</v>
      </c>
      <c r="BH15" s="46"/>
      <c r="BI15" s="2" t="s">
        <v>1178</v>
      </c>
      <c r="BJ15" s="1420" t="str">
        <f>_xlfn.TEXTJOIN(" ",TRUE,Allgemein!C101,"PV-Anlage","mit",Allgemein!D101,"Speichersystem",IF(Allgemein!E101="",,"+"),Allgemein!E101)</f>
        <v>0 PV-Anlage mit 0 Speichersystem</v>
      </c>
      <c r="BK15" s="1067">
        <f>Allgemein!E115</f>
        <v>0</v>
      </c>
      <c r="BR15" s="46" t="s">
        <v>332</v>
      </c>
      <c r="BS15" s="1067">
        <f>Allgemein!L123</f>
        <v>0</v>
      </c>
      <c r="BV15" s="46" t="s">
        <v>333</v>
      </c>
      <c r="BW15" s="1146">
        <f>X74</f>
        <v>0</v>
      </c>
    </row>
    <row r="16" spans="2:84" ht="25.2" customHeight="1" thickBot="1">
      <c r="V16" s="46"/>
      <c r="W16" s="3" t="s">
        <v>67</v>
      </c>
      <c r="X16" s="1144">
        <f>Allgemein!I26</f>
        <v>0</v>
      </c>
      <c r="Y16" s="47" t="str">
        <f>Allgemein!J26</f>
        <v>-</v>
      </c>
      <c r="AB16" s="604"/>
      <c r="AD16" s="165"/>
      <c r="AH16" s="165"/>
      <c r="AM16" s="165"/>
      <c r="AR16" s="165"/>
      <c r="BH16" s="46"/>
      <c r="BI16" s="2" t="s">
        <v>142</v>
      </c>
      <c r="BJ16" s="1420" t="str">
        <f>_xlfn.TEXTJOIN(" ",,IF(Allgemein!C102="Dezentrale Lüftungsanlage",_xlfn.TEXTJOIN(" ",TRUE,Allgemein!C102,"("&amp;Allgemein!D102,")"),Allgemein!C102),IF(Allgemein!E102="",,"+"),Allgemein!E102)</f>
        <v>0</v>
      </c>
      <c r="BK16" s="1067">
        <f>Allgemein!E116</f>
        <v>0</v>
      </c>
      <c r="BR16" s="46" t="s">
        <v>152</v>
      </c>
      <c r="BS16" s="1067">
        <f>Allgemein!P123</f>
        <v>0</v>
      </c>
      <c r="BV16" s="46" t="s">
        <v>200</v>
      </c>
      <c r="BW16" s="47">
        <f>Allgemein!N122</f>
        <v>0</v>
      </c>
    </row>
    <row r="17" spans="3:84" ht="25.2" customHeight="1" thickTop="1" thickBot="1">
      <c r="C17" s="1575" t="s">
        <v>334</v>
      </c>
      <c r="D17" s="1576"/>
      <c r="E17" s="1577"/>
      <c r="G17" s="1575" t="s">
        <v>335</v>
      </c>
      <c r="H17" s="1576"/>
      <c r="I17" s="1577"/>
      <c r="V17" s="46"/>
      <c r="W17" s="3" t="s">
        <v>70</v>
      </c>
      <c r="X17" s="1144">
        <f>Allgemein!I27</f>
        <v>0</v>
      </c>
      <c r="Y17" s="47" t="str">
        <f>Allgemein!J27</f>
        <v>-</v>
      </c>
      <c r="Z17" s="46"/>
      <c r="AC17" s="1060" t="s">
        <v>336</v>
      </c>
      <c r="AD17" s="1066"/>
      <c r="AG17" s="1060" t="s">
        <v>336</v>
      </c>
      <c r="AH17" s="1066"/>
      <c r="AL17" s="1060" t="s">
        <v>336</v>
      </c>
      <c r="AM17" s="1066"/>
      <c r="AQ17" s="1060" t="s">
        <v>336</v>
      </c>
      <c r="AR17" s="1066"/>
      <c r="BH17" s="906"/>
      <c r="BI17" s="907" t="s">
        <v>1179</v>
      </c>
      <c r="BJ17" s="1421" t="s">
        <v>1173</v>
      </c>
      <c r="BK17" s="1067">
        <f>Allgemein!E117</f>
        <v>0</v>
      </c>
      <c r="BR17" s="906"/>
      <c r="BS17" s="1064">
        <f>SUM(BS14:BS16)</f>
        <v>0</v>
      </c>
      <c r="BV17" s="906"/>
      <c r="BW17" s="1064">
        <f>SUM(BW14,BW16)</f>
        <v>0</v>
      </c>
    </row>
    <row r="18" spans="3:84" ht="25.2" customHeight="1">
      <c r="C18" s="1041" t="s">
        <v>337</v>
      </c>
      <c r="D18" s="1042">
        <f>Allgemein!L16</f>
        <v>0</v>
      </c>
      <c r="E18" s="7"/>
      <c r="G18" s="1043" t="s">
        <v>338</v>
      </c>
      <c r="H18" s="1054">
        <f>Allgemein!O14</f>
        <v>0</v>
      </c>
      <c r="I18" s="7" t="s">
        <v>339</v>
      </c>
      <c r="V18" s="46"/>
      <c r="W18" s="3" t="s">
        <v>72</v>
      </c>
      <c r="X18" s="1144">
        <f>Allgemein!I28</f>
        <v>0</v>
      </c>
      <c r="Y18" s="47" t="str">
        <f>Allgemein!J28</f>
        <v>-</v>
      </c>
      <c r="Z18" s="46"/>
      <c r="AC18" s="46" t="s">
        <v>340</v>
      </c>
      <c r="AD18" s="1067">
        <f>Allgemein!G53</f>
        <v>0</v>
      </c>
      <c r="AF18" s="604"/>
      <c r="AG18" s="46" t="s">
        <v>340</v>
      </c>
      <c r="AH18" s="1067">
        <f>Allgemein!G69</f>
        <v>0</v>
      </c>
      <c r="AL18" s="46" t="s">
        <v>340</v>
      </c>
      <c r="AM18" s="1067">
        <f>Allgemein!G85</f>
        <v>0</v>
      </c>
      <c r="AQ18" s="46" t="s">
        <v>340</v>
      </c>
      <c r="AR18" s="1067">
        <f>Allgemein!E118</f>
        <v>0</v>
      </c>
      <c r="BH18" s="46"/>
      <c r="BI18" s="1418" t="s">
        <v>347</v>
      </c>
      <c r="BK18" s="1067">
        <f>Allgemein!E118</f>
        <v>0</v>
      </c>
      <c r="BL18" s="1417"/>
    </row>
    <row r="19" spans="3:84" ht="25.2" customHeight="1" thickBot="1">
      <c r="C19" s="1041" t="s">
        <v>1174</v>
      </c>
      <c r="D19" s="1048">
        <f>Allgemein!L17</f>
        <v>0</v>
      </c>
      <c r="E19" s="7" t="str">
        <f>_xlfn.TEXTJOIN(,,Allgemein!O16,"/a")</f>
        <v>/a</v>
      </c>
      <c r="G19" s="1041" t="s">
        <v>341</v>
      </c>
      <c r="H19" s="1042">
        <f>Allgemein!O40</f>
        <v>0</v>
      </c>
      <c r="I19" s="7" t="s">
        <v>342</v>
      </c>
      <c r="V19" s="46"/>
      <c r="W19" s="1029" t="s">
        <v>74</v>
      </c>
      <c r="X19" s="1144">
        <f>Allgemein!I30</f>
        <v>0</v>
      </c>
      <c r="Y19" s="47" t="str">
        <f>Allgemein!J30</f>
        <v>-</v>
      </c>
      <c r="Z19" s="46"/>
      <c r="AC19" s="46" t="s">
        <v>343</v>
      </c>
      <c r="AD19" s="1067">
        <f>-Allgemein!O54</f>
        <v>0</v>
      </c>
      <c r="AG19" s="46" t="s">
        <v>343</v>
      </c>
      <c r="AH19" s="1067">
        <f>-Allgemein!O70</f>
        <v>0</v>
      </c>
      <c r="AL19" s="46" t="s">
        <v>343</v>
      </c>
      <c r="AM19" s="1067">
        <f>-Allgemein!O86</f>
        <v>0</v>
      </c>
      <c r="AQ19" s="46" t="s">
        <v>343</v>
      </c>
      <c r="AR19" s="1067">
        <f>-Allgemein!N118</f>
        <v>0</v>
      </c>
      <c r="BH19" s="906"/>
      <c r="BI19" s="1422"/>
      <c r="BJ19" s="1423"/>
      <c r="BK19" s="1424"/>
    </row>
    <row r="20" spans="3:84" ht="25.2" customHeight="1" thickBot="1">
      <c r="C20" s="1049" t="s">
        <v>1175</v>
      </c>
      <c r="D20" s="1050" t="e">
        <f>Allgemein!K38</f>
        <v>#DIV/0!</v>
      </c>
      <c r="E20" s="7" t="s">
        <v>93</v>
      </c>
      <c r="G20" s="1049" t="s">
        <v>96</v>
      </c>
      <c r="H20" s="1054" t="e">
        <f>Allgemein!K39</f>
        <v>#DIV/0!</v>
      </c>
      <c r="I20" s="7" t="s">
        <v>339</v>
      </c>
      <c r="V20" s="46"/>
      <c r="W20" s="3" t="s">
        <v>76</v>
      </c>
      <c r="X20" s="1144">
        <f>Allgemein!I31</f>
        <v>0</v>
      </c>
      <c r="Y20" s="47" t="str">
        <f>Allgemein!J31</f>
        <v>-</v>
      </c>
      <c r="AC20" s="906"/>
      <c r="AD20" s="1064">
        <f>SUM(AD18:AD19)</f>
        <v>0</v>
      </c>
      <c r="AG20" s="906"/>
      <c r="AH20" s="1064">
        <f>SUM(AH18:AH19)</f>
        <v>0</v>
      </c>
      <c r="AL20" s="906"/>
      <c r="AM20" s="1064">
        <f>SUM(AM18:AM19)</f>
        <v>0</v>
      </c>
      <c r="AQ20" s="906"/>
      <c r="AR20" s="1064">
        <f>SUM(AR18:AR19)</f>
        <v>0</v>
      </c>
      <c r="BI20" s="1085"/>
      <c r="BJ20" s="1085"/>
      <c r="BK20" s="603"/>
      <c r="BL20" s="1417"/>
    </row>
    <row r="21" spans="3:84" ht="25.2" customHeight="1" thickBot="1">
      <c r="C21" s="1049" t="s">
        <v>1176</v>
      </c>
      <c r="D21" s="1051" t="e">
        <f>ROUNDUP(Allgemein!G40,0)</f>
        <v>#DIV/0!</v>
      </c>
      <c r="E21" s="7" t="s">
        <v>90</v>
      </c>
      <c r="G21" s="1041" t="s">
        <v>346</v>
      </c>
      <c r="H21" s="1048" t="e">
        <f>Allgemein!K40</f>
        <v>#DIV/0!</v>
      </c>
      <c r="I21" s="7" t="s">
        <v>342</v>
      </c>
      <c r="V21" s="906"/>
      <c r="W21" s="1063" t="s">
        <v>347</v>
      </c>
      <c r="X21" s="1145">
        <f>SUM(X16:X20)</f>
        <v>0</v>
      </c>
      <c r="Y21" s="911"/>
      <c r="AD21" s="165"/>
      <c r="AH21" s="165"/>
      <c r="AM21" s="165"/>
      <c r="AR21" s="165"/>
      <c r="BI21" s="603"/>
      <c r="BJ21" s="1417"/>
      <c r="BK21" s="1085"/>
    </row>
    <row r="22" spans="3:84" ht="25.2" customHeight="1" thickBot="1">
      <c r="C22" s="1052" t="s">
        <v>221</v>
      </c>
      <c r="D22" s="1053">
        <f>Allgemein!L14</f>
        <v>0</v>
      </c>
      <c r="E22" s="1044" t="s">
        <v>93</v>
      </c>
      <c r="G22" s="1052" t="s">
        <v>348</v>
      </c>
      <c r="H22" s="1053" t="e">
        <f>Allgemein!K40+Allgemein!O40</f>
        <v>#DIV/0!</v>
      </c>
      <c r="I22" s="1044" t="s">
        <v>342</v>
      </c>
      <c r="AC22" s="1060" t="s">
        <v>349</v>
      </c>
      <c r="AD22" s="1066"/>
      <c r="AF22" s="604"/>
      <c r="AG22" s="1060" t="s">
        <v>349</v>
      </c>
      <c r="AH22" s="1066"/>
      <c r="AL22" s="1060" t="s">
        <v>349</v>
      </c>
      <c r="AM22" s="1066"/>
      <c r="AQ22" s="1060" t="s">
        <v>350</v>
      </c>
      <c r="AR22" s="1066"/>
      <c r="BK22" s="603"/>
      <c r="BL22" s="1417"/>
      <c r="BT22" s="165"/>
    </row>
    <row r="23" spans="3:84" ht="25.2" customHeight="1" thickTop="1" thickBot="1">
      <c r="AC23" s="46" t="s">
        <v>351</v>
      </c>
      <c r="AD23" s="1067">
        <f>AD20</f>
        <v>0</v>
      </c>
      <c r="AG23" s="46" t="s">
        <v>351</v>
      </c>
      <c r="AH23" s="1067">
        <f>AH20</f>
        <v>0</v>
      </c>
      <c r="AL23" s="46" t="s">
        <v>351</v>
      </c>
      <c r="AM23" s="1067">
        <f>AM20</f>
        <v>0</v>
      </c>
      <c r="AQ23" s="46" t="s">
        <v>351</v>
      </c>
      <c r="AR23" s="1067">
        <f>AR20</f>
        <v>0</v>
      </c>
      <c r="BI23" s="9"/>
      <c r="BJ23" s="9"/>
      <c r="BK23" s="9"/>
      <c r="BR23" s="1095" t="s">
        <v>352</v>
      </c>
      <c r="BS23" s="1096" t="str">
        <f>BJ10</f>
        <v>0 0</v>
      </c>
    </row>
    <row r="24" spans="3:84" ht="25.2" customHeight="1" thickBot="1">
      <c r="C24" s="63"/>
      <c r="D24" s="95"/>
      <c r="E24" s="95"/>
      <c r="F24" s="95"/>
      <c r="G24" s="95"/>
      <c r="H24" s="95"/>
      <c r="I24" s="95" t="s">
        <v>353</v>
      </c>
      <c r="J24" s="95" t="s">
        <v>354</v>
      </c>
      <c r="K24" s="95" t="s">
        <v>355</v>
      </c>
      <c r="L24" s="53"/>
      <c r="AC24" s="906" t="s">
        <v>356</v>
      </c>
      <c r="AD24" s="1147">
        <f>-X34</f>
        <v>0</v>
      </c>
      <c r="AG24" s="906" t="s">
        <v>356</v>
      </c>
      <c r="AH24" s="1147">
        <f>-X46</f>
        <v>0</v>
      </c>
      <c r="AK24" s="604"/>
      <c r="AL24" s="906" t="s">
        <v>356</v>
      </c>
      <c r="AM24" s="1147">
        <f>-X60</f>
        <v>0</v>
      </c>
      <c r="AP24" s="604"/>
      <c r="AQ24" s="906" t="s">
        <v>356</v>
      </c>
      <c r="AR24" s="1147">
        <f>-Allgemein!P122</f>
        <v>0</v>
      </c>
      <c r="BI24" s="603"/>
      <c r="BJ24" s="1417"/>
      <c r="BK24" s="603"/>
      <c r="BL24" s="1417"/>
      <c r="BR24" s="1095" t="s">
        <v>352</v>
      </c>
      <c r="BS24" s="1096" t="str">
        <f>BJ11</f>
        <v>0 0</v>
      </c>
    </row>
    <row r="25" spans="3:84" ht="25.2" customHeight="1" thickBot="1">
      <c r="C25" s="1055" t="s">
        <v>357</v>
      </c>
      <c r="D25" s="604"/>
      <c r="E25" s="604" t="str">
        <f>_xlfn.TEXTJOIN(,,H25," t")</f>
        <v>0 t</v>
      </c>
      <c r="G25" s="604"/>
      <c r="H25" s="2">
        <f>ROUNDUP(Allgemein!L17*30*Allgemein!L19*Allgemein!O19/(1000*1000),0)</f>
        <v>0</v>
      </c>
      <c r="I25" s="186">
        <f>H25*1000/0.12</f>
        <v>0</v>
      </c>
      <c r="J25" s="4" t="str">
        <f>_xlfn.TEXTJOIN("",,ROUNDUP(I25/40075,0)," x")</f>
        <v>0 x</v>
      </c>
      <c r="K25" s="4" t="str">
        <f>_xlfn.TEXTJOIN("",,ROUNDUP(H25/0.364,0), " x")</f>
        <v>0 x</v>
      </c>
      <c r="L25" s="47"/>
      <c r="V25" s="604" t="s">
        <v>358</v>
      </c>
      <c r="AD25" s="1065">
        <f>SUM(AD23:AD24)</f>
        <v>0</v>
      </c>
      <c r="AH25" s="1065">
        <f>SUM(AH23:AH24)</f>
        <v>0</v>
      </c>
      <c r="AM25" s="1065">
        <f>SUM(AM23:AM24)</f>
        <v>0</v>
      </c>
      <c r="AR25" s="1065">
        <f>SUM(AR23:AR24)</f>
        <v>0</v>
      </c>
      <c r="BI25" s="9"/>
      <c r="BJ25" s="9"/>
      <c r="BK25" s="9"/>
      <c r="BR25" s="1095" t="s">
        <v>352</v>
      </c>
      <c r="BS25" s="1096" t="str">
        <f>BJ12</f>
        <v>0</v>
      </c>
    </row>
    <row r="26" spans="3:84" ht="25.2" customHeight="1" thickBot="1">
      <c r="C26" s="1056" t="s">
        <v>359</v>
      </c>
      <c r="D26" s="1057"/>
      <c r="E26" s="1057" t="str">
        <f>_xlfn.TEXTJOIN(,,H26," t")</f>
        <v>0 t</v>
      </c>
      <c r="F26" s="907"/>
      <c r="G26" s="1057"/>
      <c r="H26" s="1057">
        <f>ROUNDUP(IF(Allgemein!C132="JA",H25,H25-Allgemein!O19*Allgemein!C124*Allgemein!C14*30/(1000*1000)),0)</f>
        <v>0</v>
      </c>
      <c r="I26" s="1059">
        <f>H26*1000/0.12</f>
        <v>0</v>
      </c>
      <c r="J26" s="1058" t="str">
        <f>_xlfn.TEXTJOIN(" ",,ROUNDUP(I26/40075,0),"x")</f>
        <v>0 x</v>
      </c>
      <c r="K26" s="1058" t="str">
        <f>_xlfn.TEXTJOIN(" ",,ROUNDUP(H26/0.364,0),"x")</f>
        <v>0 x</v>
      </c>
      <c r="L26" s="911"/>
      <c r="AD26" s="165"/>
      <c r="AH26" s="165"/>
      <c r="AM26" s="165"/>
      <c r="AR26" s="165"/>
      <c r="BK26" s="1419"/>
      <c r="BL26" s="1419"/>
      <c r="BR26" s="1095" t="s">
        <v>352</v>
      </c>
      <c r="BS26" s="1096" t="str">
        <f>_xlfn.TEXTJOIN(" ",,Allgemein!C97,Allgemein!D97,IF(Allgemein!E97="",,"+"),Allgemein!E97)</f>
        <v>0 0</v>
      </c>
    </row>
    <row r="27" spans="3:84" ht="25.2" customHeight="1" thickBot="1">
      <c r="AC27" s="2" t="s">
        <v>328</v>
      </c>
      <c r="AD27" s="165" t="s">
        <v>329</v>
      </c>
      <c r="AG27" s="2" t="s">
        <v>328</v>
      </c>
      <c r="AH27" s="165" t="s">
        <v>329</v>
      </c>
      <c r="AL27" s="2" t="s">
        <v>328</v>
      </c>
      <c r="AM27" s="165" t="s">
        <v>329</v>
      </c>
      <c r="AQ27" s="2" t="s">
        <v>149</v>
      </c>
      <c r="AR27" s="165" t="s">
        <v>150</v>
      </c>
      <c r="BI27" s="9"/>
      <c r="BJ27" s="1419"/>
      <c r="BO27" s="166"/>
      <c r="BR27" s="1095" t="s">
        <v>352</v>
      </c>
      <c r="BS27" s="1096" t="str">
        <f>_xlfn.TEXTJOIN(" ",,Allgemein!C98,Allgemein!D98,IF(Allgemein!E98="",,"+"),Allgemein!E98)</f>
        <v>0 0</v>
      </c>
    </row>
    <row r="28" spans="3:84" ht="25.2" customHeight="1" thickBot="1">
      <c r="C28" s="604" t="s">
        <v>364</v>
      </c>
      <c r="V28" s="63"/>
      <c r="W28" s="1061" t="s">
        <v>331</v>
      </c>
      <c r="X28" s="1061" t="s">
        <v>63</v>
      </c>
      <c r="Y28" s="1062" t="s">
        <v>64</v>
      </c>
      <c r="AB28" s="144" t="s">
        <v>150</v>
      </c>
      <c r="AD28" s="165">
        <f>AD25</f>
        <v>0</v>
      </c>
      <c r="AF28" s="144" t="s">
        <v>150</v>
      </c>
      <c r="AG28" s="144"/>
      <c r="AH28" s="165">
        <f>AH25</f>
        <v>0</v>
      </c>
      <c r="AK28" s="144" t="s">
        <v>150</v>
      </c>
      <c r="AL28" s="144"/>
      <c r="AM28" s="165">
        <f>AM25</f>
        <v>0</v>
      </c>
      <c r="AP28" s="144" t="s">
        <v>150</v>
      </c>
      <c r="AR28" s="165">
        <f>AR25</f>
        <v>0</v>
      </c>
      <c r="BR28" s="1095" t="s">
        <v>352</v>
      </c>
      <c r="BS28" s="1096" t="str">
        <f>Allgemein!C99</f>
        <v>nicht festgelegt</v>
      </c>
      <c r="BT28" s="617"/>
      <c r="BU28" s="617"/>
      <c r="BV28" s="617"/>
      <c r="BW28" s="617"/>
      <c r="BX28" s="617"/>
      <c r="BY28" s="617"/>
      <c r="BZ28" s="617"/>
      <c r="CA28" s="617"/>
      <c r="CB28" s="617"/>
      <c r="CC28" s="617"/>
      <c r="CD28" s="617"/>
      <c r="CE28" s="617"/>
      <c r="CF28" s="617"/>
    </row>
    <row r="29" spans="3:84" ht="25.2" customHeight="1" thickBot="1">
      <c r="D29" s="2" t="s">
        <v>366</v>
      </c>
      <c r="E29" s="185">
        <f>IF(Allgemein!G38&gt;250,250,Allgemein!G38)</f>
        <v>0</v>
      </c>
      <c r="F29" s="2">
        <v>0</v>
      </c>
      <c r="V29" s="46"/>
      <c r="W29" s="3" t="s">
        <v>67</v>
      </c>
      <c r="X29" s="1144">
        <f>IF(OR(Allgemein!C44="-",Allgemein!C44=""),0,Allgemein!$I$26)</f>
        <v>0</v>
      </c>
      <c r="Y29" s="47" t="str">
        <f>IF(OR(Allgemein!C44="-",Allgemein!C44=""),"",Allgemein!$J$26)</f>
        <v/>
      </c>
      <c r="AB29" s="617" t="s">
        <v>149</v>
      </c>
      <c r="AC29" s="182" t="e">
        <f>Datenbank!AN104</f>
        <v>#DIV/0!</v>
      </c>
      <c r="AD29" s="165"/>
      <c r="AE29" s="617"/>
      <c r="AF29" s="617" t="s">
        <v>149</v>
      </c>
      <c r="AG29" s="182" t="e">
        <f>Datenbank!AN214</f>
        <v>#DIV/0!</v>
      </c>
      <c r="AH29" s="165"/>
      <c r="AK29" s="617" t="s">
        <v>149</v>
      </c>
      <c r="AL29" s="182" t="e">
        <f>Datenbank!AN331</f>
        <v>#DIV/0!</v>
      </c>
      <c r="AM29" s="165"/>
      <c r="AP29" s="617" t="s">
        <v>149</v>
      </c>
      <c r="AQ29" s="182" t="e">
        <f>Datenbank!AN446</f>
        <v>#DIV/0!</v>
      </c>
      <c r="AR29" s="165"/>
      <c r="BR29" s="1095" t="s">
        <v>352</v>
      </c>
      <c r="BS29" s="1096" t="str">
        <f>BJ14</f>
        <v>0 + 0</v>
      </c>
      <c r="BT29" s="617"/>
      <c r="BU29" s="617"/>
      <c r="BV29" s="617"/>
      <c r="BW29" s="617"/>
      <c r="BX29" s="617"/>
      <c r="BY29" s="617"/>
      <c r="BZ29" s="617"/>
      <c r="CA29" s="617"/>
      <c r="CB29" s="617"/>
      <c r="CC29" s="617"/>
      <c r="CD29" s="617"/>
      <c r="CE29" s="617"/>
      <c r="CF29" s="617"/>
    </row>
    <row r="30" spans="3:84" ht="25.2" customHeight="1" thickBot="1">
      <c r="V30" s="46"/>
      <c r="W30" s="3" t="s">
        <v>70</v>
      </c>
      <c r="X30" s="1144">
        <f>IF(OR(Allgemein!C45="-",Allgemein!C45=""),0,Allgemein!$I$27)</f>
        <v>0</v>
      </c>
      <c r="Y30" s="47" t="str">
        <f>IF(OR(Allgemein!C45="-",Allgemein!C45=""),"",Allgemein!$J$27)</f>
        <v/>
      </c>
      <c r="AD30" s="165"/>
      <c r="AE30" s="617"/>
      <c r="AF30" s="604"/>
      <c r="AH30" s="165"/>
      <c r="AM30" s="165"/>
      <c r="AR30" s="165"/>
      <c r="BI30" s="1074" t="s">
        <v>360</v>
      </c>
      <c r="BJ30" s="1075" t="s">
        <v>150</v>
      </c>
      <c r="BK30" s="1075" t="s">
        <v>361</v>
      </c>
      <c r="BL30" s="1075" t="s">
        <v>362</v>
      </c>
      <c r="BM30" s="1076" t="s">
        <v>363</v>
      </c>
      <c r="BR30" s="1095" t="s">
        <v>352</v>
      </c>
      <c r="BS30" s="1096" t="str">
        <f>BJ15</f>
        <v>0 PV-Anlage mit 0 Speichersystem</v>
      </c>
      <c r="BT30" s="617"/>
      <c r="BW30" s="617"/>
      <c r="BX30" s="617"/>
      <c r="BY30" s="617"/>
      <c r="BZ30" s="617"/>
      <c r="CA30" s="617"/>
      <c r="CB30" s="617"/>
      <c r="CC30" s="617"/>
      <c r="CD30" s="617"/>
      <c r="CE30" s="617"/>
      <c r="CF30" s="617"/>
    </row>
    <row r="31" spans="3:84" ht="25.2" customHeight="1" thickBot="1">
      <c r="I31" s="6" t="s">
        <v>367</v>
      </c>
      <c r="J31" s="1086" t="e">
        <f>Datenbank!AJ460</f>
        <v>#DIV/0!</v>
      </c>
      <c r="V31" s="46"/>
      <c r="W31" s="3" t="s">
        <v>72</v>
      </c>
      <c r="X31" s="1144">
        <f>IF(OR(Allgemein!C46="-",Allgemein!C46=""),0,Allgemein!$I$28)</f>
        <v>0</v>
      </c>
      <c r="Y31" s="47" t="str">
        <f>IF(OR(Allgemein!C46="-",Allgemein!C46=""),"",Allgemein!$J$28)</f>
        <v/>
      </c>
      <c r="Z31" s="46"/>
      <c r="AC31" s="1068" t="s">
        <v>206</v>
      </c>
      <c r="AD31" s="1069" t="e">
        <f>AD15</f>
        <v>#DIV/0!</v>
      </c>
      <c r="AE31" s="617"/>
      <c r="AG31" s="1068" t="s">
        <v>206</v>
      </c>
      <c r="AH31" s="1069" t="e">
        <f>AH15</f>
        <v>#DIV/0!</v>
      </c>
      <c r="AL31" s="1068" t="s">
        <v>206</v>
      </c>
      <c r="AM31" s="1069" t="e">
        <f>AM15</f>
        <v>#DIV/0!</v>
      </c>
      <c r="AQ31" s="1068" t="s">
        <v>206</v>
      </c>
      <c r="AR31" s="1069" t="e">
        <f>AR15</f>
        <v>#DIV/0!</v>
      </c>
      <c r="BI31" s="1077" t="s">
        <v>365</v>
      </c>
      <c r="BJ31" s="165">
        <f>Allgemein!E113</f>
        <v>0</v>
      </c>
      <c r="BK31" s="183">
        <f>Allgemein!G113</f>
        <v>0</v>
      </c>
      <c r="BL31" s="165">
        <f>Allgemein!H113</f>
        <v>0</v>
      </c>
      <c r="BM31" s="1067">
        <f>Allgemein!I113</f>
        <v>0</v>
      </c>
      <c r="BR31" s="1095" t="s">
        <v>352</v>
      </c>
      <c r="BS31" s="1096" t="str">
        <f>BJ16</f>
        <v>0</v>
      </c>
      <c r="BT31" s="617"/>
      <c r="BW31" s="617"/>
      <c r="BX31" s="617"/>
      <c r="BY31" s="617"/>
      <c r="BZ31" s="617"/>
      <c r="CA31" s="617"/>
      <c r="CB31" s="617"/>
      <c r="CC31" s="617"/>
      <c r="CD31" s="617"/>
      <c r="CE31" s="617"/>
      <c r="CF31" s="617"/>
    </row>
    <row r="32" spans="3:84" ht="25.2" customHeight="1" thickBot="1">
      <c r="I32" s="6"/>
      <c r="J32" s="1087">
        <f>Allgemein!C126</f>
        <v>0</v>
      </c>
      <c r="U32" s="1265"/>
      <c r="W32" s="1029" t="s">
        <v>74</v>
      </c>
      <c r="X32" s="1144">
        <f>IF(OR(Allgemein!C48="-",Allgemein!C48=""),0,Allgemein!$I$30)</f>
        <v>0</v>
      </c>
      <c r="Y32" s="47" t="str">
        <f>IF(OR(Allgemein!C48="-",Allgemein!C48=""),"",Allgemein!$J$30)</f>
        <v/>
      </c>
      <c r="AB32" s="604"/>
      <c r="AC32" s="1068" t="s">
        <v>199</v>
      </c>
      <c r="AD32" s="1069">
        <f>-AD25</f>
        <v>0</v>
      </c>
      <c r="AE32" s="617"/>
      <c r="AG32" s="1068" t="s">
        <v>199</v>
      </c>
      <c r="AH32" s="1069">
        <f>-AH25</f>
        <v>0</v>
      </c>
      <c r="AL32" s="1068" t="s">
        <v>199</v>
      </c>
      <c r="AM32" s="1069">
        <f>-AM25</f>
        <v>0</v>
      </c>
      <c r="AQ32" s="1068" t="s">
        <v>199</v>
      </c>
      <c r="AR32" s="1069">
        <f>-AR25</f>
        <v>0</v>
      </c>
      <c r="BI32" s="1078" t="s">
        <v>67</v>
      </c>
      <c r="BJ32" s="165"/>
      <c r="BK32" s="615" cm="1">
        <f t="array" ref="BK32:BK35">Allgemein!G108:G111</f>
        <v>0</v>
      </c>
      <c r="BL32" s="616" cm="1">
        <f t="array" ref="BL32:BL35">Allgemein!H108:H111</f>
        <v>0</v>
      </c>
      <c r="BM32" s="1079" cm="1">
        <f t="array" ref="BM32:BM35">Allgemein!I108:I111</f>
        <v>0</v>
      </c>
      <c r="BS32" s="617"/>
      <c r="BT32" s="617"/>
      <c r="BW32" s="617"/>
      <c r="BX32" s="617"/>
      <c r="BY32" s="617"/>
      <c r="BZ32" s="617"/>
      <c r="CA32" s="617"/>
      <c r="CB32" s="617"/>
      <c r="CC32" s="617"/>
      <c r="CD32" s="617"/>
      <c r="CE32" s="617"/>
      <c r="CF32" s="617"/>
    </row>
    <row r="33" spans="3:155" ht="25.2" customHeight="1" thickBot="1">
      <c r="D33" s="1021"/>
      <c r="E33" s="1021"/>
      <c r="F33" s="1021"/>
      <c r="G33" s="1021"/>
      <c r="H33" s="1021"/>
      <c r="I33" s="6" t="s">
        <v>368</v>
      </c>
      <c r="J33" s="1088" t="e">
        <f>Datenbank!AI447</f>
        <v>#DIV/0!</v>
      </c>
      <c r="V33" s="46"/>
      <c r="W33" s="3" t="s">
        <v>76</v>
      </c>
      <c r="X33" s="1144">
        <f>IF(OR(Allgemein!C50="-",Allgemein!C50=""),0,Allgemein!$I$31)</f>
        <v>0</v>
      </c>
      <c r="Y33" s="47" t="str">
        <f>IF(OR(Allgemein!C50="-",Allgemein!C50=""),"",Allgemein!$J$31)</f>
        <v/>
      </c>
      <c r="AC33" s="1068" t="s">
        <v>369</v>
      </c>
      <c r="AD33" s="1069" t="e">
        <f>AD15-AD25</f>
        <v>#DIV/0!</v>
      </c>
      <c r="AE33" s="617"/>
      <c r="AG33" s="1068" t="s">
        <v>369</v>
      </c>
      <c r="AH33" s="1069" t="e">
        <f>AH15-AH25</f>
        <v>#DIV/0!</v>
      </c>
      <c r="AL33" s="1068" t="s">
        <v>369</v>
      </c>
      <c r="AM33" s="1069" t="e">
        <f>AM15-AM25</f>
        <v>#DIV/0!</v>
      </c>
      <c r="AQ33" s="1068" t="s">
        <v>369</v>
      </c>
      <c r="AR33" s="1069" t="e">
        <f>AR15-r_tatKostenEinzelnEMPF</f>
        <v>#DIV/0!</v>
      </c>
      <c r="BI33" s="1078" t="s">
        <v>70</v>
      </c>
      <c r="BJ33" s="165"/>
      <c r="BK33" s="615">
        <v>0</v>
      </c>
      <c r="BL33" s="165">
        <v>0</v>
      </c>
      <c r="BM33" s="1067">
        <v>0</v>
      </c>
      <c r="BN33" s="165"/>
      <c r="BS33" s="617"/>
      <c r="BT33" s="617"/>
      <c r="BW33" s="617"/>
      <c r="BX33" s="617"/>
      <c r="BY33" s="617"/>
      <c r="BZ33" s="617"/>
      <c r="CA33" s="617"/>
      <c r="CB33" s="617"/>
      <c r="CC33" s="617"/>
      <c r="CD33" s="617"/>
      <c r="CE33" s="617"/>
      <c r="CF33" s="617"/>
    </row>
    <row r="34" spans="3:155" ht="33" customHeight="1" thickBot="1">
      <c r="C34" s="1021"/>
      <c r="D34" s="1021"/>
      <c r="E34" s="1021"/>
      <c r="F34" s="1021"/>
      <c r="G34" s="1021"/>
      <c r="H34" s="1021"/>
      <c r="I34" s="6" t="s">
        <v>371</v>
      </c>
      <c r="J34" s="1065" t="e">
        <f>Datenbank!AI460</f>
        <v>#DIV/0!</v>
      </c>
      <c r="V34" s="906"/>
      <c r="W34" s="1063" t="s">
        <v>347</v>
      </c>
      <c r="X34" s="1145">
        <f>SUM(X29:X33)</f>
        <v>0</v>
      </c>
      <c r="Y34" s="911"/>
      <c r="AE34" s="617"/>
      <c r="BI34" s="1078" t="s">
        <v>72</v>
      </c>
      <c r="BJ34" s="165"/>
      <c r="BK34" s="615">
        <v>0</v>
      </c>
      <c r="BL34" s="165">
        <v>0</v>
      </c>
      <c r="BM34" s="1067">
        <v>0</v>
      </c>
      <c r="BR34" s="1039" t="s">
        <v>373</v>
      </c>
      <c r="BW34" s="1039" t="s">
        <v>373</v>
      </c>
      <c r="BZ34" s="617"/>
      <c r="CA34" s="617"/>
      <c r="CB34" s="617"/>
      <c r="CC34" s="617"/>
      <c r="CD34" s="617"/>
      <c r="CE34" s="617"/>
      <c r="CF34" s="617"/>
    </row>
    <row r="35" spans="3:155" ht="25.2" customHeight="1">
      <c r="C35" s="1021"/>
      <c r="D35" s="1021"/>
      <c r="E35" s="1021"/>
      <c r="F35" s="1021"/>
      <c r="G35" s="1021"/>
      <c r="H35" s="1021"/>
      <c r="I35" s="1021"/>
      <c r="J35" s="1021"/>
      <c r="K35" s="1021"/>
      <c r="AB35" s="617"/>
      <c r="AC35" s="617"/>
      <c r="AD35" s="617"/>
      <c r="AF35" s="617"/>
      <c r="AG35" s="617"/>
      <c r="BI35" s="46" t="s">
        <v>73</v>
      </c>
      <c r="BK35" s="183">
        <v>0</v>
      </c>
      <c r="BL35" s="165">
        <v>0</v>
      </c>
      <c r="BM35" s="1067">
        <v>0</v>
      </c>
      <c r="BS35" s="1101" t="s">
        <v>374</v>
      </c>
      <c r="BT35" s="1101" t="s">
        <v>375</v>
      </c>
      <c r="BW35" s="2" t="s">
        <v>376</v>
      </c>
      <c r="BX35" s="1040" t="s">
        <v>377</v>
      </c>
      <c r="BZ35" s="617"/>
      <c r="CA35" s="617"/>
      <c r="CB35" s="617"/>
      <c r="CC35" s="617"/>
      <c r="CD35" s="617"/>
      <c r="CE35" s="617"/>
      <c r="CF35" s="617"/>
    </row>
    <row r="36" spans="3:155" ht="25.2" customHeight="1">
      <c r="AB36" s="617"/>
      <c r="AC36" s="617"/>
      <c r="AD36" s="617"/>
      <c r="AE36" s="617"/>
      <c r="AF36" s="617"/>
      <c r="AG36" s="617"/>
      <c r="BI36" s="1078" t="s">
        <v>74</v>
      </c>
      <c r="BJ36" s="165"/>
      <c r="BK36" s="183">
        <f>Allgemein!G112</f>
        <v>0</v>
      </c>
      <c r="BL36" s="165">
        <f>Allgemein!H112</f>
        <v>0</v>
      </c>
      <c r="BM36" s="1067">
        <f>Allgemein!I112</f>
        <v>0</v>
      </c>
      <c r="BR36" s="2" t="s">
        <v>199</v>
      </c>
      <c r="BS36" s="24">
        <f>Allgemein!P122</f>
        <v>0</v>
      </c>
      <c r="BT36" s="24">
        <f>AR20</f>
        <v>0</v>
      </c>
      <c r="BW36" s="144" t="s">
        <v>382</v>
      </c>
      <c r="BZ36" s="617"/>
      <c r="CA36" s="617"/>
      <c r="CB36" s="617"/>
      <c r="CC36" s="617"/>
      <c r="CD36" s="617"/>
      <c r="CE36" s="617"/>
      <c r="CF36" s="617"/>
    </row>
    <row r="37" spans="3:155" ht="25.2" customHeight="1">
      <c r="V37" s="604" t="s">
        <v>383</v>
      </c>
      <c r="AB37" s="617"/>
      <c r="AC37" s="617"/>
      <c r="AD37" s="617"/>
      <c r="AE37" s="617"/>
      <c r="AF37" s="617"/>
      <c r="AG37" s="617"/>
      <c r="BI37" s="1077" t="s">
        <v>370</v>
      </c>
      <c r="BJ37" s="165">
        <f>Allgemein!E114</f>
        <v>0</v>
      </c>
      <c r="BK37" s="183">
        <f>Allgemein!G114</f>
        <v>0</v>
      </c>
      <c r="BL37" s="165">
        <f>Allgemein!H114</f>
        <v>0</v>
      </c>
      <c r="BM37" s="1067">
        <f>Allgemein!I114</f>
        <v>0</v>
      </c>
      <c r="BR37" s="2" t="s">
        <v>384</v>
      </c>
      <c r="BS37" s="24" t="e">
        <f>Datenbank!D448</f>
        <v>#DIV/0!</v>
      </c>
      <c r="BT37" s="24" t="e">
        <f>Datenbank!D458</f>
        <v>#DIV/0!</v>
      </c>
      <c r="BW37" s="144" t="s">
        <v>385</v>
      </c>
      <c r="BZ37" s="617"/>
      <c r="CA37" s="617"/>
      <c r="CB37" s="617"/>
      <c r="CC37" s="617"/>
      <c r="CD37" s="617"/>
      <c r="CE37" s="617"/>
      <c r="CF37" s="617"/>
    </row>
    <row r="38" spans="3:155" ht="42.75" customHeight="1" thickBot="1">
      <c r="AB38" s="617"/>
      <c r="AC38" s="617"/>
      <c r="AD38" s="617"/>
      <c r="AE38" s="617"/>
      <c r="AF38" s="617"/>
      <c r="AG38" s="617"/>
      <c r="BI38" s="1580" t="s">
        <v>372</v>
      </c>
      <c r="BJ38" s="1581"/>
      <c r="BK38" s="1581"/>
      <c r="BL38" s="1578">
        <f>Allgemein!I118</f>
        <v>0</v>
      </c>
      <c r="BM38" s="1579"/>
      <c r="BR38" s="2" t="s">
        <v>386</v>
      </c>
      <c r="BS38" s="24">
        <f>BS36*0.058/12</f>
        <v>0</v>
      </c>
      <c r="BT38" s="24">
        <f>BT36*0.058/12</f>
        <v>0</v>
      </c>
      <c r="BW38" s="144" t="s">
        <v>387</v>
      </c>
      <c r="BZ38" s="617"/>
      <c r="CA38" s="617"/>
      <c r="CB38" s="617"/>
      <c r="CC38" s="617"/>
      <c r="CD38" s="617"/>
      <c r="CE38" s="617"/>
      <c r="CF38" s="617"/>
    </row>
    <row r="39" spans="3:155" ht="25.2" customHeight="1" thickBot="1">
      <c r="AB39" s="617"/>
      <c r="AC39" s="617"/>
      <c r="AD39" s="617"/>
      <c r="AE39" s="617"/>
      <c r="AF39" s="617"/>
      <c r="AG39" s="617"/>
      <c r="BR39" s="2" t="s">
        <v>388</v>
      </c>
      <c r="BS39" s="24" t="e">
        <f>SUM(BS37:BS38)</f>
        <v>#DIV/0!</v>
      </c>
      <c r="BT39" s="24" t="e">
        <f>SUM(BT37:BT38)</f>
        <v>#DIV/0!</v>
      </c>
      <c r="BW39" s="144" t="s">
        <v>389</v>
      </c>
      <c r="BZ39" s="617"/>
      <c r="CA39" s="617"/>
      <c r="CB39" s="617"/>
      <c r="CC39" s="617"/>
      <c r="CD39" s="617"/>
      <c r="CE39" s="617"/>
      <c r="CF39" s="617"/>
      <c r="CT39" s="21"/>
      <c r="CU39" s="21"/>
      <c r="CV39" s="21"/>
      <c r="CW39" s="21"/>
      <c r="CX39" s="21"/>
      <c r="CY39" s="21"/>
      <c r="CZ39" s="21"/>
    </row>
    <row r="40" spans="3:155" ht="25.2" customHeight="1" thickBot="1">
      <c r="V40" s="63"/>
      <c r="W40" s="1061" t="s">
        <v>331</v>
      </c>
      <c r="X40" s="1061" t="s">
        <v>63</v>
      </c>
      <c r="Y40" s="1062" t="s">
        <v>64</v>
      </c>
      <c r="AB40" s="617"/>
      <c r="AC40" s="617"/>
      <c r="AD40" s="617"/>
      <c r="AE40" s="617"/>
      <c r="AF40" s="617"/>
      <c r="AG40" s="617"/>
      <c r="BW40" s="144" t="s">
        <v>390</v>
      </c>
      <c r="BZ40" s="617"/>
      <c r="CA40" s="617"/>
      <c r="CB40" s="617"/>
      <c r="CC40" s="617"/>
      <c r="CD40" s="617"/>
      <c r="CE40" s="617"/>
      <c r="CF40" s="617"/>
    </row>
    <row r="41" spans="3:155" ht="25.2" customHeight="1">
      <c r="V41" s="46"/>
      <c r="W41" s="3" t="s">
        <v>67</v>
      </c>
      <c r="X41" s="1144">
        <f>IF(OR(Allgemein!C60="-",Allgemein!C60=""),0,Allgemein!$I$26)</f>
        <v>0</v>
      </c>
      <c r="Y41" s="47" t="str">
        <f>IF(OR(Allgemein!C60="-",Allgemein!C60=""),"",Allgemein!$J$26)</f>
        <v/>
      </c>
      <c r="AB41" s="617"/>
      <c r="AC41" s="617"/>
      <c r="AD41" s="617"/>
      <c r="AE41" s="617"/>
      <c r="AF41" s="617"/>
      <c r="AG41" s="617"/>
      <c r="BI41" s="1074" t="s">
        <v>378</v>
      </c>
      <c r="BJ41" s="1075" t="s">
        <v>362</v>
      </c>
      <c r="BK41" s="1075" t="s">
        <v>379</v>
      </c>
      <c r="BL41" s="1075" t="s">
        <v>380</v>
      </c>
      <c r="BM41" s="1076" t="s">
        <v>381</v>
      </c>
    </row>
    <row r="42" spans="3:155" ht="25.2" customHeight="1">
      <c r="F42" s="118" t="s">
        <v>391</v>
      </c>
      <c r="V42" s="46"/>
      <c r="W42" s="3" t="s">
        <v>70</v>
      </c>
      <c r="X42" s="1144">
        <f>IF(OR(Allgemein!C61="-",Allgemein!C61=""),0,Allgemein!$I$27)</f>
        <v>0</v>
      </c>
      <c r="Y42" s="47" t="str">
        <f>IF(OR(Allgemein!C61="-",Allgemein!C61=""),"",Allgemein!$J$27)</f>
        <v/>
      </c>
      <c r="AB42" s="617"/>
      <c r="AC42" s="617"/>
      <c r="AD42" s="617"/>
      <c r="AE42" s="617"/>
      <c r="AF42" s="617"/>
      <c r="AG42" s="617"/>
      <c r="BI42" s="1080">
        <f>Allgemein!K108</f>
        <v>0</v>
      </c>
      <c r="BJ42" s="1072">
        <f>Allgemein!H115</f>
        <v>0</v>
      </c>
      <c r="BK42" s="1072">
        <f>Allgemein!K110</f>
        <v>0</v>
      </c>
      <c r="BL42" s="1073">
        <f>Allgemein!K112</f>
        <v>0</v>
      </c>
      <c r="BM42" s="1081">
        <f>Allgemein!K113</f>
        <v>0</v>
      </c>
    </row>
    <row r="43" spans="3:155" ht="25.2" customHeight="1" thickBot="1">
      <c r="V43" s="46"/>
      <c r="W43" s="3" t="s">
        <v>72</v>
      </c>
      <c r="X43" s="1144">
        <f>IF(OR(Allgemein!C62="-",Allgemein!C62=""),0,Allgemein!$I$28)</f>
        <v>0</v>
      </c>
      <c r="Y43" s="47" t="str">
        <f>IF(OR(Allgemein!C62="-",Allgemein!C62=""),"",Allgemein!$J$28)</f>
        <v/>
      </c>
      <c r="AB43" s="617"/>
      <c r="AC43" s="617"/>
      <c r="AD43" s="617"/>
      <c r="AE43" s="617"/>
      <c r="AF43" s="617"/>
      <c r="AG43" s="617"/>
      <c r="BI43" s="1582" t="s">
        <v>129</v>
      </c>
      <c r="BJ43" s="1583"/>
      <c r="BK43" s="1082">
        <f>Allgemein!K111</f>
        <v>0</v>
      </c>
      <c r="BL43" s="1584">
        <f>Allgemein!K118</f>
        <v>0</v>
      </c>
      <c r="BM43" s="1585"/>
    </row>
    <row r="44" spans="3:155" ht="25.2" customHeight="1" thickBot="1">
      <c r="U44" s="1265"/>
      <c r="W44" s="1029" t="s">
        <v>74</v>
      </c>
      <c r="X44" s="1144">
        <f>IF(OR(Allgemein!C64="-",Allgemein!C64=""),0,Allgemein!$I$30)</f>
        <v>0</v>
      </c>
      <c r="Y44" s="47" t="str">
        <f>IF(OR(Allgemein!C64="-",Allgemein!C64=""),"",Allgemein!$J$30)</f>
        <v/>
      </c>
      <c r="Z44" s="46"/>
      <c r="AB44" s="617"/>
      <c r="AC44" s="617"/>
      <c r="AD44" s="617"/>
      <c r="AE44" s="617"/>
      <c r="AF44" s="617"/>
      <c r="AG44" s="617"/>
    </row>
    <row r="45" spans="3:155" ht="25.2" customHeight="1" thickBot="1">
      <c r="V45" s="46"/>
      <c r="W45" s="3" t="s">
        <v>76</v>
      </c>
      <c r="X45" s="1144">
        <f>IF(OR(Allgemein!C66="-",Allgemein!C66=""),0,Allgemein!$I$31)</f>
        <v>0</v>
      </c>
      <c r="Y45" s="47" t="str">
        <f>IF(OR(Allgemein!C66="-",Allgemein!C66=""),"",Allgemein!$J$31)</f>
        <v/>
      </c>
      <c r="BI45" s="1083" t="s">
        <v>187</v>
      </c>
      <c r="BJ45" s="1084">
        <f>Allgemein!N118</f>
        <v>0</v>
      </c>
      <c r="EY45" s="617"/>
    </row>
    <row r="46" spans="3:155" ht="25.2" customHeight="1" thickBot="1">
      <c r="V46" s="906"/>
      <c r="W46" s="1063" t="s">
        <v>347</v>
      </c>
      <c r="X46" s="1145">
        <f>SUM(X41:X45)</f>
        <v>0</v>
      </c>
      <c r="Y46" s="911"/>
      <c r="AQ46" s="1068" t="s">
        <v>369</v>
      </c>
      <c r="AR46" s="1069">
        <f>IF(r_VarianteEmpfehlung="Variante 1",AD33,IF(r_VarianteEmpfehlung="Variante 2",AH33,IF(r_VarianteEmpfehlung="Variante 3",AM33,0)))</f>
        <v>0</v>
      </c>
      <c r="EY46" s="617"/>
    </row>
    <row r="47" spans="3:155" ht="25.2" customHeight="1">
      <c r="Y47" s="617"/>
      <c r="DY47" s="118"/>
      <c r="DZ47" s="118"/>
      <c r="EA47" s="118"/>
      <c r="EB47" s="118"/>
      <c r="EC47" s="118"/>
      <c r="ED47" s="118"/>
      <c r="EY47" s="617"/>
    </row>
    <row r="48" spans="3:155" ht="25.2" customHeight="1" thickBot="1">
      <c r="Y48" s="617"/>
      <c r="DB48" s="24"/>
      <c r="DF48" s="118"/>
      <c r="DG48" s="598"/>
      <c r="DH48" s="1026"/>
      <c r="DI48" s="600"/>
      <c r="DJ48" s="600"/>
      <c r="DK48" s="600"/>
      <c r="DY48" s="118"/>
      <c r="DZ48" s="118"/>
      <c r="EA48" s="118"/>
      <c r="EB48" s="118"/>
      <c r="EC48" s="118"/>
      <c r="ED48" s="118"/>
      <c r="EY48" s="617"/>
    </row>
    <row r="49" spans="1:164" ht="25.2" customHeight="1">
      <c r="Y49" s="617"/>
      <c r="AC49" s="2" t="s">
        <v>106</v>
      </c>
      <c r="AQ49" s="63"/>
      <c r="AR49" s="53" t="s">
        <v>331</v>
      </c>
      <c r="DB49" s="24"/>
      <c r="EY49" s="617"/>
    </row>
    <row r="50" spans="1:164" ht="30" customHeight="1">
      <c r="C50" s="118"/>
      <c r="D50" s="118"/>
      <c r="E50" s="118"/>
      <c r="G50" s="118"/>
      <c r="H50" s="118"/>
      <c r="I50" s="118"/>
      <c r="J50" s="118"/>
      <c r="K50" s="118"/>
      <c r="L50" s="118"/>
      <c r="M50" s="118"/>
      <c r="Y50" s="617"/>
      <c r="AG50" s="622"/>
      <c r="AI50" s="622"/>
      <c r="AJ50" s="622"/>
      <c r="AK50" s="622"/>
      <c r="AL50" s="622"/>
      <c r="AM50" s="622"/>
      <c r="AN50" s="622"/>
      <c r="AQ50" s="46"/>
      <c r="AR50" s="47" t="e">
        <f>#REF!</f>
        <v>#REF!</v>
      </c>
      <c r="DA50" s="24"/>
      <c r="EY50" s="617"/>
    </row>
    <row r="51" spans="1:164" ht="31.5" customHeight="1">
      <c r="C51" s="118"/>
      <c r="D51" s="118"/>
      <c r="E51" s="118"/>
      <c r="F51" s="118"/>
      <c r="G51" s="118"/>
      <c r="H51" s="118"/>
      <c r="I51" s="118"/>
      <c r="J51" s="118"/>
      <c r="K51" s="118"/>
      <c r="L51" s="118"/>
      <c r="M51" s="118"/>
      <c r="V51" s="604" t="s">
        <v>392</v>
      </c>
      <c r="AC51" s="3" t="s">
        <v>331</v>
      </c>
      <c r="AF51" s="622"/>
      <c r="AG51" s="622"/>
      <c r="AH51" s="1021" t="s">
        <v>393</v>
      </c>
      <c r="AI51" s="622"/>
      <c r="AJ51" s="622"/>
      <c r="AK51" s="622"/>
      <c r="AL51" s="622"/>
      <c r="AM51" s="622"/>
      <c r="AN51" s="622"/>
      <c r="AQ51" s="46"/>
      <c r="AR51" s="47" t="str">
        <f>BJ10</f>
        <v>0 0</v>
      </c>
      <c r="DA51" s="24"/>
      <c r="EY51" s="617"/>
    </row>
    <row r="52" spans="1:164" ht="25.2" customHeight="1">
      <c r="C52" s="118"/>
      <c r="D52" s="118"/>
      <c r="E52" s="118"/>
      <c r="F52" s="118"/>
      <c r="G52" s="118"/>
      <c r="H52" s="118"/>
      <c r="I52" s="118"/>
      <c r="J52" s="118"/>
      <c r="K52" s="118"/>
      <c r="L52" s="118"/>
      <c r="M52" s="118"/>
      <c r="AC52" s="603" t="s">
        <v>67</v>
      </c>
      <c r="AF52" s="622"/>
      <c r="AG52" s="622"/>
      <c r="AJ52" s="622"/>
      <c r="AK52" s="622"/>
      <c r="AL52" s="622"/>
      <c r="AM52" s="622"/>
      <c r="AN52" s="622"/>
      <c r="AQ52" s="46"/>
      <c r="AR52" s="47" t="str">
        <f>BI11</f>
        <v>Fassade:</v>
      </c>
      <c r="BV52" s="118" t="s">
        <v>394</v>
      </c>
      <c r="DA52" s="109"/>
      <c r="EY52" s="617"/>
    </row>
    <row r="53" spans="1:164" ht="25.2" customHeight="1" thickBot="1">
      <c r="C53" s="118"/>
      <c r="D53" s="118"/>
      <c r="E53" s="118"/>
      <c r="F53" s="118"/>
      <c r="G53" s="118"/>
      <c r="H53" s="118"/>
      <c r="I53" s="118"/>
      <c r="J53" s="118"/>
      <c r="K53" s="118"/>
      <c r="L53" s="118"/>
      <c r="M53" s="118"/>
      <c r="AC53" s="2" t="str">
        <f>_xlfn.TEXTJOIN(" ",,Allgemein!C44,Allgemein!D44,IF(Allgemein!E44="",,"+"),Allgemein!E44)</f>
        <v>- -</v>
      </c>
      <c r="AQ53" s="46"/>
      <c r="AR53" s="47" t="str">
        <f>BJ13</f>
        <v>0 0  /  0 0</v>
      </c>
      <c r="BR53" s="118"/>
      <c r="BZ53" s="118"/>
      <c r="CA53" s="118"/>
      <c r="DA53" s="24"/>
      <c r="DC53" s="1570"/>
      <c r="DD53" s="1570"/>
      <c r="DE53" s="1570"/>
      <c r="DF53" s="1570"/>
      <c r="DG53" s="1570"/>
      <c r="DH53" s="1570"/>
      <c r="DI53" s="1570"/>
      <c r="DJ53" s="1570"/>
      <c r="DK53" s="1570"/>
      <c r="DY53" s="118"/>
      <c r="DZ53" s="118"/>
      <c r="EA53" s="118"/>
      <c r="EB53" s="118"/>
      <c r="EC53" s="118"/>
      <c r="ED53" s="118"/>
      <c r="EY53" s="617"/>
    </row>
    <row r="54" spans="1:164" ht="25.2" customHeight="1">
      <c r="C54" s="118"/>
      <c r="D54" s="118"/>
      <c r="E54" s="118"/>
      <c r="F54" s="118"/>
      <c r="G54" s="118"/>
      <c r="H54" s="118"/>
      <c r="I54" s="118"/>
      <c r="J54" s="118"/>
      <c r="K54" s="118"/>
      <c r="L54" s="118"/>
      <c r="M54" s="118"/>
      <c r="V54" s="63"/>
      <c r="W54" s="1061" t="s">
        <v>331</v>
      </c>
      <c r="X54" s="1061" t="s">
        <v>63</v>
      </c>
      <c r="Y54" s="1062" t="s">
        <v>64</v>
      </c>
      <c r="AC54" s="603" t="s">
        <v>70</v>
      </c>
      <c r="AG54" s="2" t="s">
        <v>106</v>
      </c>
      <c r="AH54" s="185">
        <f>IF(Allgemein!D54&gt;250,250,Allgemein!D54)</f>
        <v>0</v>
      </c>
      <c r="AI54" s="2">
        <v>0</v>
      </c>
      <c r="AQ54" s="46"/>
      <c r="AR54" s="47" t="e">
        <f>#REF!</f>
        <v>#REF!</v>
      </c>
      <c r="BR54" s="118"/>
      <c r="BZ54" s="118"/>
      <c r="CA54" s="118"/>
      <c r="DA54" s="24"/>
      <c r="DC54" s="1570"/>
      <c r="DD54" s="1570"/>
      <c r="DE54" s="1570"/>
      <c r="DF54" s="1570"/>
      <c r="DG54" s="1570"/>
      <c r="DH54" s="1570"/>
      <c r="DI54" s="1570"/>
      <c r="DJ54" s="1570"/>
      <c r="DK54" s="1570"/>
      <c r="DY54" s="118"/>
      <c r="DZ54" s="118"/>
      <c r="EA54" s="118"/>
      <c r="EB54" s="118"/>
      <c r="EC54" s="118"/>
      <c r="ED54" s="118"/>
      <c r="EY54" s="617"/>
    </row>
    <row r="55" spans="1:164" ht="25.2" customHeight="1">
      <c r="C55" s="118"/>
      <c r="D55" s="118"/>
      <c r="E55" s="118"/>
      <c r="F55" s="118"/>
      <c r="G55" s="118"/>
      <c r="H55" s="118"/>
      <c r="I55" s="118"/>
      <c r="J55" s="118"/>
      <c r="K55" s="118"/>
      <c r="L55" s="118"/>
      <c r="M55" s="118"/>
      <c r="V55" s="46"/>
      <c r="W55" s="3" t="s">
        <v>67</v>
      </c>
      <c r="X55" s="1144">
        <f>IF(OR(Allgemein!C76="-",Allgemein!C76=""),0,Allgemein!$I$26)</f>
        <v>0</v>
      </c>
      <c r="Y55" s="47" t="str">
        <f>IF(OR(Allgemein!C76="-",Allgemein!C76=""),"",Allgemein!$J$26)</f>
        <v/>
      </c>
      <c r="AC55" s="2" t="str">
        <f>_xlfn.TEXTJOIN(" ",,Allgemein!C45,Allgemein!D45,IF(Allgemein!E45="",,"+"),Allgemein!E45)</f>
        <v>- -</v>
      </c>
      <c r="AQ55" s="46"/>
      <c r="AR55" s="47" t="e">
        <f>#REF!</f>
        <v>#REF!</v>
      </c>
      <c r="BR55" s="118"/>
      <c r="BZ55" s="118"/>
      <c r="CA55" s="118"/>
      <c r="DC55" s="1570"/>
      <c r="DD55" s="1570"/>
      <c r="DE55" s="1570"/>
      <c r="DF55" s="1570"/>
      <c r="DG55" s="1570"/>
      <c r="DH55" s="1570"/>
      <c r="DI55" s="1570"/>
      <c r="DJ55" s="1570"/>
      <c r="DK55" s="1570"/>
      <c r="DN55" s="600"/>
      <c r="DO55" s="600"/>
      <c r="DP55" s="600"/>
      <c r="DQ55" s="598"/>
      <c r="DR55" s="118"/>
      <c r="DS55" s="118"/>
      <c r="DT55" s="118"/>
      <c r="DU55" s="118"/>
      <c r="DV55" s="118"/>
      <c r="DW55" s="118"/>
      <c r="DX55" s="118"/>
      <c r="DY55" s="118"/>
      <c r="DZ55" s="118"/>
      <c r="EA55" s="118"/>
      <c r="EB55" s="118"/>
      <c r="EC55" s="118"/>
      <c r="ED55" s="118"/>
      <c r="EY55" s="617"/>
    </row>
    <row r="56" spans="1:164" ht="25.2" customHeight="1" thickBot="1">
      <c r="A56" s="118"/>
      <c r="B56" s="118"/>
      <c r="C56" s="118"/>
      <c r="D56" s="118"/>
      <c r="E56" s="118"/>
      <c r="F56" s="118"/>
      <c r="G56" s="118"/>
      <c r="H56" s="118"/>
      <c r="I56" s="118"/>
      <c r="J56" s="118"/>
      <c r="K56" s="118"/>
      <c r="L56" s="118"/>
      <c r="M56" s="118"/>
      <c r="N56" s="118"/>
      <c r="O56" s="118"/>
      <c r="P56" s="118"/>
      <c r="Q56" s="118"/>
      <c r="R56" s="118"/>
      <c r="S56" s="118"/>
      <c r="T56" s="1023"/>
      <c r="U56" s="118"/>
      <c r="V56" s="46"/>
      <c r="W56" s="3" t="s">
        <v>70</v>
      </c>
      <c r="X56" s="1144">
        <f>IF(OR(Allgemein!C77="-",Allgemein!C77=""),0,Allgemein!$I$27)</f>
        <v>0</v>
      </c>
      <c r="Y56" s="47" t="str">
        <f>IF(OR(Allgemein!C77="-",Allgemein!C77=""),"",Allgemein!$J$27)</f>
        <v/>
      </c>
      <c r="AC56" s="603" t="s">
        <v>72</v>
      </c>
      <c r="AI56" s="118"/>
      <c r="AJ56" s="598"/>
      <c r="AK56" s="599"/>
      <c r="AL56" s="600"/>
      <c r="AM56" s="600"/>
      <c r="AN56" s="600"/>
      <c r="AQ56" s="46"/>
      <c r="AR56" s="47" t="str">
        <f>BJ16</f>
        <v>0</v>
      </c>
      <c r="BR56" s="118"/>
      <c r="BZ56" s="118"/>
      <c r="CA56" s="118"/>
      <c r="DE56" s="185"/>
      <c r="DN56" s="118"/>
      <c r="DO56" s="118"/>
      <c r="DP56" s="118"/>
      <c r="DQ56" s="1027"/>
      <c r="DR56" s="118"/>
      <c r="DS56" s="118"/>
      <c r="DT56" s="118"/>
      <c r="DU56" s="118"/>
      <c r="DV56" s="118"/>
      <c r="DW56" s="118"/>
      <c r="DX56" s="118"/>
      <c r="DY56" s="118"/>
      <c r="DZ56" s="118"/>
      <c r="EA56" s="118"/>
      <c r="EB56" s="118"/>
      <c r="EC56" s="118"/>
      <c r="ED56" s="118"/>
      <c r="EY56" s="617"/>
    </row>
    <row r="57" spans="1:164" ht="25.2" customHeight="1" thickBot="1">
      <c r="A57" s="118"/>
      <c r="L57" s="118"/>
      <c r="M57" s="118"/>
      <c r="N57" s="118"/>
      <c r="O57" s="118"/>
      <c r="P57" s="118"/>
      <c r="Q57" s="118"/>
      <c r="R57" s="118"/>
      <c r="S57" s="118"/>
      <c r="T57" s="1023"/>
      <c r="U57" s="118"/>
      <c r="V57" s="46"/>
      <c r="W57" s="3" t="s">
        <v>72</v>
      </c>
      <c r="X57" s="1144">
        <f>IF(OR(Allgemein!C78="-",Allgemein!C78=""),0,Allgemein!$I$28)</f>
        <v>0</v>
      </c>
      <c r="Y57" s="47" t="str">
        <f>IF(OR(Allgemein!C78="-",Allgemein!C78=""),"",Allgemein!$J$28)</f>
        <v/>
      </c>
      <c r="AC57" s="2" t="str">
        <f>_xlfn.TEXTJOIN(" ",,Allgemein!C46,Allgemein!D46,IF(Allgemein!E46="",,"+"),Allgemein!E46)</f>
        <v>-</v>
      </c>
      <c r="AG57" s="1070" t="str" cm="1">
        <f t="array" ref="AG57">_xlfn.IFS(AH54&lt;=30,"A+",AND(30&lt;=AH54,AH54&lt;50),"A",AND(50&lt;=AH54,AH54&lt;75),"B",AND(75&lt;=AH54,AH54&lt;100),"C",AND(100&lt;=AH54,AH54&lt;130),"D",AND(130&lt;=AH54,AH54&lt;160),"E",AND(160&lt;=AH54,AH54&lt;200),"F",AND(200&lt;=AH54,AH54&lt;250),"G",AH54&gt;=250,"H")</f>
        <v>A+</v>
      </c>
      <c r="AH57" s="1065" t="e">
        <f>Datenbank!AN104</f>
        <v>#DIV/0!</v>
      </c>
      <c r="AJ57" s="1071" t="str">
        <f>Allgemein!C56</f>
        <v>Nicht ausgefüllt</v>
      </c>
      <c r="AQ57" s="46"/>
      <c r="AR57" s="47" t="e">
        <f>#REF!</f>
        <v>#REF!</v>
      </c>
      <c r="BR57" s="118"/>
      <c r="BZ57" s="118"/>
      <c r="CA57" s="118"/>
      <c r="DF57" s="118"/>
      <c r="DG57" s="598"/>
      <c r="DH57" s="601"/>
      <c r="DI57" s="602"/>
      <c r="DJ57" s="600"/>
      <c r="DK57" s="600"/>
      <c r="DL57" s="600"/>
      <c r="DM57" s="600"/>
      <c r="DN57" s="118"/>
      <c r="DO57" s="118"/>
      <c r="DP57" s="118"/>
      <c r="DQ57" s="118"/>
      <c r="DR57" s="118"/>
      <c r="DS57" s="118"/>
      <c r="DT57" s="118"/>
      <c r="DU57" s="118"/>
      <c r="DV57" s="118"/>
      <c r="DW57" s="118"/>
      <c r="DX57" s="118"/>
      <c r="DY57" s="118"/>
      <c r="DZ57" s="118"/>
      <c r="EA57" s="118"/>
      <c r="EB57" s="118"/>
      <c r="EC57" s="118"/>
      <c r="ED57" s="118"/>
      <c r="EY57" s="617"/>
    </row>
    <row r="58" spans="1:164" ht="25.2" customHeight="1">
      <c r="A58" s="118"/>
      <c r="L58" s="118"/>
      <c r="M58" s="118"/>
      <c r="N58" s="597"/>
      <c r="O58" s="597"/>
      <c r="P58" s="597"/>
      <c r="Q58" s="597"/>
      <c r="R58" s="597"/>
      <c r="S58" s="597"/>
      <c r="T58" s="1024"/>
      <c r="U58" s="597"/>
      <c r="V58" s="46"/>
      <c r="W58" s="1029" t="s">
        <v>74</v>
      </c>
      <c r="X58" s="1144">
        <f>IF(OR(Allgemein!C80="-",Allgemein!C80=""),0,Allgemein!$I$30)</f>
        <v>0</v>
      </c>
      <c r="Y58" s="47" t="str">
        <f>IF(OR(Allgemein!C80="-",Allgemein!C80=""),"",Allgemein!$J$30)</f>
        <v/>
      </c>
      <c r="AC58" s="603" t="s">
        <v>1172</v>
      </c>
      <c r="AQ58" s="46"/>
      <c r="AR58" s="47">
        <f>BI19</f>
        <v>0</v>
      </c>
      <c r="BR58" s="118"/>
      <c r="BZ58" s="118"/>
      <c r="CA58" s="118"/>
      <c r="DB58" s="24"/>
      <c r="DF58" s="118"/>
      <c r="DG58" s="598"/>
      <c r="DH58" s="600"/>
      <c r="DI58" s="600"/>
      <c r="DJ58" s="600"/>
      <c r="DK58" s="600"/>
      <c r="DL58" s="600"/>
      <c r="DM58" s="600"/>
      <c r="DN58" s="118"/>
      <c r="DO58" s="118"/>
      <c r="DP58" s="118"/>
      <c r="DQ58" s="118"/>
      <c r="DR58" s="118"/>
      <c r="DS58" s="118"/>
      <c r="DT58" s="118"/>
      <c r="DU58" s="118"/>
      <c r="DV58" s="118"/>
      <c r="DW58" s="118"/>
      <c r="DX58" s="118"/>
      <c r="DY58" s="118"/>
      <c r="DZ58" s="118"/>
      <c r="EA58" s="118"/>
      <c r="EB58" s="118"/>
      <c r="EC58" s="118"/>
      <c r="ED58" s="118"/>
      <c r="EE58" s="118"/>
      <c r="EF58" s="118"/>
      <c r="EG58" s="118"/>
      <c r="EH58" s="617"/>
      <c r="EI58" s="617"/>
      <c r="EJ58" s="617"/>
      <c r="EK58" s="617"/>
      <c r="EL58" s="617"/>
      <c r="EM58" s="617"/>
      <c r="EN58" s="617"/>
      <c r="EO58" s="617"/>
      <c r="EP58" s="617"/>
      <c r="EQ58" s="617"/>
      <c r="ER58" s="617"/>
      <c r="ES58" s="617"/>
      <c r="ET58" s="617"/>
      <c r="EU58" s="617"/>
      <c r="EV58" s="617"/>
      <c r="EW58" s="617"/>
      <c r="EX58" s="617"/>
      <c r="EY58" s="617"/>
    </row>
    <row r="59" spans="1:164" ht="25.2" customHeight="1">
      <c r="A59" s="118"/>
      <c r="L59" s="118"/>
      <c r="M59" s="118"/>
      <c r="N59" s="597"/>
      <c r="O59" s="597"/>
      <c r="P59" s="597"/>
      <c r="Q59" s="597"/>
      <c r="R59" s="597"/>
      <c r="S59" s="597"/>
      <c r="T59" s="1024"/>
      <c r="U59" s="597"/>
      <c r="V59" s="46"/>
      <c r="W59" s="3" t="s">
        <v>76</v>
      </c>
      <c r="X59" s="1144">
        <f>IF(OR(Allgemein!C82="-",Allgemein!C82=""),0,Allgemein!$I$31)</f>
        <v>0</v>
      </c>
      <c r="Y59" s="47" t="str">
        <f>IF(OR(Allgemein!C82="-",Allgemein!C82=""),"",Allgemein!$J$31)</f>
        <v/>
      </c>
      <c r="AC59" s="2" t="str">
        <f>_xlfn.TEXTJOIN(" ",,Allgemein!C47,Allgemein!D47,IF(Allgemein!E47="",,"+"),Allgemein!E47," / ",Allgemein!C48,Allgemein!D48,IF(Allgemein!E48="",,"+"),Allgemein!E48)</f>
        <v>- -  /  - -</v>
      </c>
      <c r="AQ59" s="46"/>
      <c r="AR59" s="47">
        <f>BI20</f>
        <v>0</v>
      </c>
      <c r="BR59" s="118"/>
      <c r="BZ59" s="118"/>
      <c r="CA59" s="118"/>
      <c r="DF59" s="118"/>
      <c r="DG59" s="600"/>
      <c r="DH59" s="600"/>
      <c r="DI59" s="600"/>
      <c r="DJ59" s="600"/>
      <c r="DK59" s="600"/>
      <c r="DL59" s="600"/>
      <c r="DM59" s="600"/>
      <c r="DN59" s="118"/>
      <c r="DO59" s="118"/>
      <c r="DP59" s="118"/>
      <c r="DQ59" s="118"/>
      <c r="DR59" s="118"/>
      <c r="DS59" s="118"/>
      <c r="DT59" s="118"/>
      <c r="DU59" s="118"/>
      <c r="DV59" s="118"/>
      <c r="DW59" s="118"/>
      <c r="DX59" s="118"/>
      <c r="DY59" s="118"/>
      <c r="DZ59" s="118"/>
      <c r="EA59" s="118"/>
      <c r="EB59" s="118"/>
      <c r="EC59" s="118"/>
      <c r="ED59" s="118"/>
      <c r="EE59" s="118"/>
      <c r="EF59" s="118"/>
      <c r="EG59" s="118"/>
      <c r="EH59" s="617"/>
      <c r="EI59" s="617"/>
      <c r="EJ59" s="617"/>
      <c r="EK59" s="617"/>
      <c r="EL59" s="617"/>
      <c r="EM59" s="617"/>
      <c r="EN59" s="617"/>
      <c r="EO59" s="617"/>
      <c r="EP59" s="617"/>
      <c r="EQ59" s="617"/>
      <c r="ER59" s="617"/>
      <c r="ES59" s="617"/>
      <c r="ET59" s="617"/>
      <c r="EU59" s="617"/>
      <c r="EV59" s="617"/>
      <c r="EW59" s="617"/>
      <c r="EX59" s="617"/>
      <c r="EY59" s="617"/>
    </row>
    <row r="60" spans="1:164" ht="25.2" customHeight="1" thickBot="1">
      <c r="A60" s="118"/>
      <c r="L60" s="118"/>
      <c r="M60" s="118"/>
      <c r="N60" s="597"/>
      <c r="O60" s="597"/>
      <c r="P60" s="597"/>
      <c r="Q60" s="597"/>
      <c r="R60" s="597"/>
      <c r="S60" s="597"/>
      <c r="T60" s="1024"/>
      <c r="U60" s="597"/>
      <c r="V60" s="906"/>
      <c r="W60" s="1063" t="s">
        <v>347</v>
      </c>
      <c r="X60" s="1145">
        <f>SUM(X55:X59)</f>
        <v>0</v>
      </c>
      <c r="Y60" s="911"/>
      <c r="AC60" s="603" t="s">
        <v>76</v>
      </c>
      <c r="AQ60" s="46"/>
      <c r="AR60" s="47">
        <f>BI21</f>
        <v>0</v>
      </c>
      <c r="BR60" s="118"/>
      <c r="BZ60" s="118"/>
      <c r="CA60" s="118"/>
      <c r="DF60" s="118"/>
      <c r="DG60" s="600"/>
      <c r="DH60" s="600"/>
      <c r="DI60" s="600"/>
      <c r="DJ60" s="600"/>
      <c r="DK60" s="600"/>
      <c r="DL60" s="600"/>
      <c r="DM60" s="600"/>
      <c r="DN60" s="118"/>
      <c r="DO60" s="118"/>
      <c r="DP60" s="118"/>
      <c r="DQ60" s="118"/>
      <c r="DR60" s="118"/>
      <c r="DS60" s="118"/>
      <c r="DT60" s="118"/>
      <c r="DU60" s="118"/>
      <c r="DV60" s="118"/>
      <c r="DW60" s="118"/>
      <c r="DX60" s="118"/>
      <c r="DY60" s="118"/>
      <c r="DZ60" s="118"/>
      <c r="EA60" s="118"/>
      <c r="EB60" s="118"/>
      <c r="EC60" s="118"/>
      <c r="ED60" s="118"/>
      <c r="EE60" s="118"/>
      <c r="EF60" s="118"/>
      <c r="EG60" s="118"/>
      <c r="EH60" s="617"/>
      <c r="EI60" s="617"/>
      <c r="EJ60" s="617"/>
      <c r="EK60" s="617"/>
      <c r="EL60" s="617"/>
      <c r="EM60" s="617"/>
      <c r="EN60" s="617"/>
      <c r="EO60" s="617"/>
      <c r="EP60" s="617"/>
      <c r="EQ60" s="617"/>
      <c r="ER60" s="617"/>
      <c r="ES60" s="617"/>
      <c r="ET60" s="617"/>
      <c r="EU60" s="617"/>
      <c r="EV60" s="617"/>
      <c r="EW60" s="617"/>
      <c r="EX60" s="617"/>
      <c r="EY60" s="617"/>
    </row>
    <row r="61" spans="1:164" ht="25.2" customHeight="1">
      <c r="A61" s="118"/>
      <c r="L61" s="118"/>
      <c r="M61" s="118"/>
      <c r="N61" s="597"/>
      <c r="O61" s="597"/>
      <c r="P61" s="597"/>
      <c r="Q61" s="597"/>
      <c r="R61" s="597"/>
      <c r="S61" s="597"/>
      <c r="T61" s="1024"/>
      <c r="U61" s="597"/>
      <c r="AC61" s="2" t="str">
        <f>_xlfn.TEXTJOIN(" ",,Allgemein!C50,"+",Allgemein!D50,IF(Allgemein!E50="",,"+"),Allgemein!E50)</f>
        <v>+</v>
      </c>
      <c r="AP61" s="47"/>
      <c r="AR61" s="47">
        <f t="shared" ref="AR61" si="0">BI23</f>
        <v>0</v>
      </c>
      <c r="BR61" s="118"/>
      <c r="BZ61" s="118"/>
      <c r="CA61" s="118"/>
      <c r="DF61" s="118"/>
      <c r="DG61" s="118"/>
      <c r="DH61" s="118"/>
      <c r="DI61" s="118"/>
      <c r="DJ61" s="118"/>
      <c r="DK61" s="118"/>
      <c r="DL61" s="118"/>
      <c r="DM61" s="118"/>
      <c r="DN61" s="118"/>
      <c r="DO61" s="118"/>
      <c r="DP61" s="118"/>
      <c r="DQ61" s="118"/>
      <c r="DR61" s="118"/>
      <c r="DS61" s="118"/>
      <c r="DT61" s="118"/>
      <c r="DU61" s="118"/>
      <c r="DV61" s="118"/>
      <c r="DW61" s="118"/>
      <c r="DX61" s="118"/>
      <c r="DY61" s="118"/>
      <c r="DZ61" s="118"/>
      <c r="EA61" s="118"/>
      <c r="EB61" s="118"/>
      <c r="EC61" s="118"/>
      <c r="ED61" s="118"/>
      <c r="EE61" s="118"/>
      <c r="EF61" s="118"/>
      <c r="EG61" s="118"/>
      <c r="EH61" s="617"/>
      <c r="EI61" s="617"/>
      <c r="EJ61" s="617"/>
      <c r="EK61" s="617"/>
      <c r="EL61" s="617"/>
      <c r="EM61" s="617"/>
      <c r="EN61" s="617"/>
      <c r="EO61" s="617"/>
      <c r="EP61" s="617"/>
      <c r="EQ61" s="617"/>
      <c r="ER61" s="617"/>
      <c r="ES61" s="617"/>
      <c r="ET61" s="617"/>
      <c r="EU61" s="617"/>
      <c r="EV61" s="617"/>
      <c r="EW61" s="617"/>
      <c r="EX61" s="617"/>
      <c r="EY61" s="617"/>
    </row>
    <row r="62" spans="1:164" ht="25.2" customHeight="1">
      <c r="A62" s="118"/>
      <c r="L62" s="118"/>
      <c r="M62" s="118"/>
      <c r="N62" s="118"/>
      <c r="O62" s="118"/>
      <c r="P62" s="118"/>
      <c r="Q62" s="118"/>
      <c r="R62" s="118"/>
      <c r="S62" s="118"/>
      <c r="T62" s="1023"/>
      <c r="U62" s="118"/>
      <c r="AC62" s="603" t="s">
        <v>344</v>
      </c>
      <c r="AH62" s="604"/>
      <c r="AP62" s="47"/>
      <c r="AR62" s="47" t="s">
        <v>142</v>
      </c>
      <c r="BR62" s="118"/>
      <c r="BZ62" s="118"/>
      <c r="CA62" s="118"/>
      <c r="DO62" s="118"/>
      <c r="DP62" s="118"/>
      <c r="DQ62" s="118"/>
      <c r="DR62" s="118"/>
      <c r="DS62" s="118"/>
      <c r="DT62" s="118"/>
      <c r="DU62" s="118"/>
      <c r="DV62" s="118"/>
      <c r="DW62" s="118"/>
      <c r="DX62" s="118"/>
      <c r="DY62" s="118"/>
      <c r="DZ62" s="118"/>
      <c r="EA62" s="118"/>
      <c r="EB62" s="118"/>
      <c r="EC62" s="118"/>
      <c r="ED62" s="118"/>
      <c r="EE62" s="118"/>
      <c r="EF62" s="118"/>
      <c r="EG62" s="118"/>
      <c r="EH62" s="617"/>
      <c r="EI62" s="617"/>
      <c r="EJ62" s="617"/>
      <c r="EK62" s="617"/>
      <c r="EL62" s="617"/>
      <c r="EM62" s="617"/>
      <c r="EN62" s="617"/>
      <c r="EO62" s="617"/>
      <c r="EP62" s="617"/>
      <c r="EQ62" s="617"/>
      <c r="ER62" s="617"/>
      <c r="ES62" s="617"/>
      <c r="ET62" s="617"/>
      <c r="EU62" s="617"/>
      <c r="EV62" s="617"/>
      <c r="EW62" s="617"/>
      <c r="EX62" s="617"/>
      <c r="EY62" s="617"/>
    </row>
    <row r="63" spans="1:164" ht="25.2" customHeight="1" thickBot="1">
      <c r="A63" s="118"/>
      <c r="L63" s="118"/>
      <c r="M63" s="118"/>
      <c r="N63" s="118"/>
      <c r="O63" s="118"/>
      <c r="P63" s="118"/>
      <c r="Q63" s="118"/>
      <c r="R63" s="118"/>
      <c r="S63" s="118"/>
      <c r="T63" s="1023"/>
      <c r="U63" s="118"/>
      <c r="AC63" s="2" t="str">
        <f>_xlfn.TEXTJOIN(" ",TRUE,Allgemein!C51,"PV-Anlage","mit",Allgemein!D51,"Speichersystem",IF(Allgemein!E51="",,"+"),Allgemein!E51)</f>
        <v>- PV-Anlage mit - Speichersystem</v>
      </c>
      <c r="AP63" s="47"/>
      <c r="AQ63" s="906"/>
      <c r="AR63" s="911">
        <f>BI25</f>
        <v>0</v>
      </c>
      <c r="BR63" s="118"/>
      <c r="BZ63" s="118"/>
      <c r="CA63" s="118"/>
      <c r="DC63" s="1570"/>
      <c r="DD63" s="1570"/>
      <c r="DE63" s="1570"/>
      <c r="DF63" s="1570"/>
      <c r="DG63" s="1570"/>
      <c r="DH63" s="1570"/>
      <c r="DI63" s="1570"/>
      <c r="DJ63" s="1570"/>
      <c r="DK63" s="1570"/>
      <c r="DO63" s="118"/>
      <c r="DP63" s="118"/>
      <c r="DQ63" s="118"/>
      <c r="DR63" s="118"/>
      <c r="DS63" s="118"/>
      <c r="DT63" s="118"/>
      <c r="DU63" s="118"/>
      <c r="DV63" s="118"/>
      <c r="DW63" s="118"/>
      <c r="DX63" s="118"/>
      <c r="DY63" s="118"/>
      <c r="DZ63" s="118"/>
      <c r="EA63" s="118"/>
      <c r="EB63" s="118"/>
      <c r="EC63" s="118"/>
      <c r="ED63" s="118"/>
      <c r="EE63" s="118"/>
      <c r="EF63" s="118"/>
      <c r="EG63" s="118"/>
      <c r="EH63" s="617"/>
      <c r="EI63" s="617"/>
      <c r="EJ63" s="617"/>
      <c r="EK63" s="617"/>
      <c r="EL63" s="617"/>
      <c r="EM63" s="617"/>
      <c r="EN63" s="617"/>
      <c r="EO63" s="617"/>
      <c r="EP63" s="617"/>
      <c r="EQ63" s="617"/>
      <c r="ER63" s="617"/>
      <c r="ES63" s="617"/>
      <c r="ET63" s="617"/>
      <c r="EU63" s="617"/>
      <c r="EV63" s="617"/>
      <c r="EW63" s="617"/>
      <c r="EX63" s="617"/>
      <c r="EY63" s="617"/>
    </row>
    <row r="64" spans="1:164" ht="25.2" customHeight="1">
      <c r="A64" s="118"/>
      <c r="L64" s="118"/>
      <c r="M64" s="118"/>
      <c r="N64" s="118"/>
      <c r="O64" s="118"/>
      <c r="P64" s="118"/>
      <c r="Q64" s="118"/>
      <c r="R64" s="118"/>
      <c r="S64" s="118"/>
      <c r="T64" s="1023"/>
      <c r="U64" s="118"/>
      <c r="AC64" s="603" t="s">
        <v>142</v>
      </c>
      <c r="AY64" s="21"/>
      <c r="AZ64" s="21"/>
      <c r="BA64" s="21"/>
      <c r="BB64" s="1022"/>
      <c r="BR64" s="118"/>
      <c r="BZ64" s="118"/>
      <c r="CA64" s="118"/>
      <c r="DC64" s="1570"/>
      <c r="DD64" s="1570"/>
      <c r="DE64" s="1570"/>
      <c r="DF64" s="1570"/>
      <c r="DG64" s="1570"/>
      <c r="DH64" s="1570"/>
      <c r="DI64" s="1570"/>
      <c r="DJ64" s="1570"/>
      <c r="DK64" s="1570"/>
      <c r="DO64" s="118"/>
      <c r="DP64" s="118"/>
      <c r="DQ64" s="118"/>
      <c r="DR64" s="118"/>
      <c r="DS64" s="118"/>
      <c r="DT64" s="118"/>
      <c r="DU64" s="118"/>
      <c r="DV64" s="118"/>
      <c r="DW64" s="118"/>
      <c r="DX64" s="118"/>
      <c r="DY64" s="118"/>
      <c r="DZ64" s="118"/>
      <c r="EA64" s="118"/>
      <c r="EB64" s="118"/>
      <c r="EC64" s="118"/>
      <c r="ED64" s="118"/>
      <c r="EE64" s="118"/>
      <c r="EF64" s="118"/>
      <c r="EG64" s="118"/>
      <c r="EH64" s="617"/>
      <c r="EI64" s="617"/>
      <c r="EJ64" s="617"/>
      <c r="EK64" s="617"/>
      <c r="EL64" s="617"/>
      <c r="EM64" s="617"/>
      <c r="EN64" s="617"/>
      <c r="EO64" s="617"/>
      <c r="EP64" s="617"/>
      <c r="EQ64" s="617"/>
      <c r="ER64" s="617"/>
      <c r="ES64" s="617"/>
      <c r="ET64" s="617"/>
      <c r="EU64" s="617"/>
      <c r="EV64" s="617"/>
      <c r="EW64" s="617"/>
      <c r="EX64" s="617"/>
      <c r="EY64" s="617"/>
      <c r="EZ64" s="617"/>
      <c r="FA64" s="617"/>
      <c r="FB64" s="617"/>
      <c r="FC64" s="617"/>
      <c r="FD64" s="617"/>
      <c r="FE64" s="617"/>
      <c r="FF64" s="617"/>
      <c r="FG64" s="617"/>
      <c r="FH64" s="617"/>
    </row>
    <row r="65" spans="1:164" ht="25.2" customHeight="1">
      <c r="A65" s="118"/>
      <c r="L65" s="118"/>
      <c r="M65" s="118"/>
      <c r="N65" s="118"/>
      <c r="O65" s="118"/>
      <c r="P65" s="118"/>
      <c r="Q65" s="118"/>
      <c r="R65" s="118"/>
      <c r="S65" s="118"/>
      <c r="T65" s="1023"/>
      <c r="U65" s="118"/>
      <c r="V65" s="604" t="s">
        <v>395</v>
      </c>
      <c r="AC65" s="2" t="str">
        <f>_xlfn.TEXTJOIN(" ",,IF(Allgemein!C52="Dezentrale Lüftungsanlage",_xlfn.TEXTJOIN(" ",TRUE,Allgemein!C52,"("&amp;Allgemein!D52,")"),Allgemein!C52),IF(Allgemein!E52="",,"+"),Allgemein!E52)</f>
        <v>-</v>
      </c>
      <c r="BR65" s="118"/>
      <c r="BZ65" s="118"/>
      <c r="CA65" s="118"/>
      <c r="DC65" s="1570"/>
      <c r="DD65" s="1570"/>
      <c r="DE65" s="1570"/>
      <c r="DF65" s="1570"/>
      <c r="DG65" s="1570"/>
      <c r="DH65" s="1570"/>
      <c r="DI65" s="1570"/>
      <c r="DJ65" s="1570"/>
      <c r="DK65" s="1570"/>
      <c r="DO65" s="118"/>
      <c r="DP65" s="118"/>
      <c r="DQ65" s="118"/>
      <c r="DR65" s="118"/>
      <c r="DS65" s="118"/>
      <c r="DT65" s="118"/>
      <c r="DU65" s="118"/>
      <c r="DV65" s="118"/>
      <c r="DW65" s="118"/>
      <c r="DX65" s="118"/>
      <c r="DY65" s="118"/>
      <c r="DZ65" s="118"/>
      <c r="EA65" s="118"/>
      <c r="EB65" s="118"/>
      <c r="EC65" s="118"/>
      <c r="ED65" s="118"/>
      <c r="EE65" s="118"/>
      <c r="EF65" s="118"/>
      <c r="EG65" s="118"/>
      <c r="EH65" s="617"/>
      <c r="EI65" s="617"/>
      <c r="EJ65" s="617"/>
      <c r="EK65" s="617"/>
      <c r="EL65" s="617"/>
      <c r="EM65" s="617"/>
      <c r="EN65" s="617"/>
      <c r="EO65" s="617"/>
      <c r="EP65" s="617"/>
      <c r="EQ65" s="617"/>
      <c r="ER65" s="617"/>
      <c r="ES65" s="617"/>
      <c r="ET65" s="617"/>
      <c r="EU65" s="617"/>
      <c r="EV65" s="617"/>
      <c r="EW65" s="617"/>
      <c r="EX65" s="617"/>
      <c r="EY65" s="617"/>
      <c r="EZ65" s="617"/>
      <c r="FA65" s="617"/>
      <c r="FB65" s="617"/>
      <c r="FC65" s="617"/>
      <c r="FD65" s="617"/>
      <c r="FE65" s="617"/>
      <c r="FF65" s="617"/>
      <c r="FG65" s="617"/>
      <c r="FH65" s="617"/>
    </row>
    <row r="66" spans="1:164" ht="25.2" customHeight="1">
      <c r="A66" s="118"/>
      <c r="L66" s="118"/>
      <c r="M66" s="118"/>
      <c r="N66" s="118"/>
      <c r="O66" s="118"/>
      <c r="P66" s="118"/>
      <c r="Q66" s="118"/>
      <c r="R66" s="118"/>
      <c r="S66" s="118"/>
      <c r="T66" s="1023"/>
      <c r="U66" s="118"/>
      <c r="BR66" s="118"/>
      <c r="BZ66" s="118"/>
      <c r="CA66" s="118"/>
      <c r="DE66" s="185"/>
      <c r="DG66" s="118"/>
      <c r="DH66" s="118"/>
      <c r="DI66" s="118"/>
      <c r="DJ66" s="118"/>
      <c r="DK66" s="118"/>
      <c r="DL66" s="118"/>
      <c r="DM66" s="118"/>
      <c r="DN66" s="118"/>
      <c r="DO66" s="118"/>
      <c r="DP66" s="118"/>
      <c r="DQ66" s="118"/>
      <c r="DR66" s="118"/>
      <c r="DS66" s="118"/>
      <c r="DT66" s="118"/>
      <c r="DU66" s="118"/>
      <c r="DV66" s="118"/>
      <c r="DW66" s="118"/>
      <c r="DX66" s="118"/>
      <c r="DY66" s="118"/>
      <c r="DZ66" s="118"/>
      <c r="EA66" s="118"/>
      <c r="EB66" s="118"/>
      <c r="EC66" s="118"/>
      <c r="ED66" s="118"/>
      <c r="EE66" s="118"/>
      <c r="EF66" s="118"/>
      <c r="EG66" s="118"/>
      <c r="EH66" s="617"/>
      <c r="EI66" s="617"/>
      <c r="EJ66" s="617"/>
      <c r="EK66" s="617"/>
      <c r="EL66" s="617"/>
      <c r="EM66" s="617"/>
      <c r="EN66" s="617"/>
      <c r="EO66" s="617"/>
      <c r="EP66" s="617"/>
      <c r="EQ66" s="617"/>
      <c r="ER66" s="617"/>
      <c r="ES66" s="617"/>
      <c r="ET66" s="617"/>
      <c r="EU66" s="617"/>
      <c r="EV66" s="617"/>
      <c r="EW66" s="617"/>
      <c r="EX66" s="617"/>
      <c r="EY66" s="617"/>
      <c r="EZ66" s="617"/>
      <c r="FA66" s="617"/>
      <c r="FB66" s="617"/>
      <c r="FC66" s="617"/>
      <c r="FD66" s="617"/>
      <c r="FE66" s="617"/>
      <c r="FF66" s="617"/>
      <c r="FG66" s="617"/>
      <c r="FH66" s="617"/>
    </row>
    <row r="67" spans="1:164" ht="25.2" customHeight="1" thickBot="1">
      <c r="A67" s="118"/>
      <c r="L67" s="118"/>
      <c r="M67" s="118"/>
      <c r="N67" s="118"/>
      <c r="O67" s="118"/>
      <c r="P67" s="118"/>
      <c r="Q67" s="118"/>
      <c r="R67" s="118"/>
      <c r="S67" s="118"/>
      <c r="T67" s="1023"/>
      <c r="U67" s="118"/>
      <c r="AK67" s="165"/>
      <c r="BR67" s="118"/>
      <c r="BZ67" s="118"/>
      <c r="CA67" s="118"/>
      <c r="DF67" s="118"/>
      <c r="DG67" s="118"/>
      <c r="DH67" s="118"/>
      <c r="DI67" s="118"/>
      <c r="DJ67" s="118"/>
      <c r="DK67" s="118"/>
      <c r="DL67" s="118"/>
      <c r="DM67" s="118"/>
      <c r="DN67" s="118"/>
      <c r="DO67" s="118"/>
      <c r="DP67" s="118"/>
      <c r="DQ67" s="118"/>
      <c r="DR67" s="118"/>
      <c r="DS67" s="118"/>
      <c r="DT67" s="118"/>
      <c r="DU67" s="118"/>
      <c r="DV67" s="118"/>
      <c r="DW67" s="118"/>
      <c r="DX67" s="118"/>
      <c r="DY67" s="118"/>
      <c r="DZ67" s="118"/>
      <c r="EA67" s="118"/>
      <c r="EB67" s="118"/>
      <c r="EC67" s="118"/>
      <c r="ED67" s="118"/>
      <c r="EE67" s="118"/>
      <c r="EF67" s="118"/>
      <c r="EG67" s="118"/>
      <c r="EH67" s="617"/>
      <c r="EI67" s="617"/>
      <c r="EJ67" s="617"/>
      <c r="EK67" s="617"/>
      <c r="EL67" s="617"/>
      <c r="EM67" s="617"/>
      <c r="EN67" s="617"/>
      <c r="EO67" s="617"/>
      <c r="EP67" s="617"/>
      <c r="EQ67" s="617"/>
      <c r="ER67" s="617"/>
      <c r="ES67" s="617"/>
      <c r="ET67" s="617"/>
      <c r="EU67" s="617"/>
      <c r="EV67" s="617"/>
      <c r="EW67" s="617"/>
      <c r="EX67" s="617"/>
      <c r="EY67" s="617"/>
      <c r="EZ67" s="617"/>
      <c r="FA67" s="617"/>
      <c r="FB67" s="617"/>
      <c r="FC67" s="617"/>
      <c r="FD67" s="617"/>
      <c r="FE67" s="617"/>
      <c r="FF67" s="617"/>
      <c r="FG67" s="617"/>
      <c r="FH67" s="617"/>
    </row>
    <row r="68" spans="1:164" ht="25.2" customHeight="1">
      <c r="A68" s="118"/>
      <c r="L68" s="118"/>
      <c r="M68" s="118"/>
      <c r="N68" s="118"/>
      <c r="O68" s="118"/>
      <c r="P68" s="118"/>
      <c r="Q68" s="118"/>
      <c r="R68" s="118"/>
      <c r="S68" s="118"/>
      <c r="T68" s="1023"/>
      <c r="U68" s="118"/>
      <c r="V68" s="63"/>
      <c r="W68" s="1061" t="s">
        <v>331</v>
      </c>
      <c r="X68" s="1061" t="s">
        <v>63</v>
      </c>
      <c r="Y68" s="1062" t="s">
        <v>64</v>
      </c>
      <c r="AK68" s="165"/>
      <c r="AO68" s="165"/>
      <c r="BR68" s="118"/>
      <c r="BZ68" s="118"/>
      <c r="CA68" s="118"/>
      <c r="DF68" s="118"/>
      <c r="DG68" s="118"/>
      <c r="DH68" s="118"/>
      <c r="DI68" s="118"/>
      <c r="DJ68" s="118"/>
      <c r="DK68" s="118"/>
      <c r="DL68" s="118"/>
      <c r="DM68" s="118"/>
      <c r="DN68" s="118"/>
      <c r="DO68" s="118"/>
      <c r="DP68" s="118"/>
      <c r="DQ68" s="118"/>
      <c r="DR68" s="118"/>
      <c r="DS68" s="118"/>
      <c r="DT68" s="118"/>
      <c r="DU68" s="118"/>
      <c r="DV68" s="118"/>
      <c r="DW68" s="118"/>
      <c r="DX68" s="118"/>
      <c r="DY68" s="118"/>
      <c r="DZ68" s="118"/>
      <c r="EA68" s="118"/>
      <c r="EB68" s="118"/>
      <c r="EC68" s="118"/>
      <c r="ED68" s="118"/>
      <c r="EE68" s="118"/>
      <c r="EF68" s="118"/>
      <c r="EG68" s="118"/>
      <c r="EH68" s="617"/>
      <c r="EI68" s="617"/>
      <c r="EJ68" s="617"/>
      <c r="EK68" s="617"/>
      <c r="EL68" s="617"/>
      <c r="EM68" s="617"/>
      <c r="EN68" s="617"/>
      <c r="EO68" s="617"/>
      <c r="EP68" s="617"/>
      <c r="EQ68" s="617"/>
      <c r="ER68" s="617"/>
      <c r="ES68" s="617"/>
      <c r="ET68" s="617"/>
      <c r="EU68" s="617"/>
      <c r="EV68" s="617"/>
      <c r="EW68" s="617"/>
      <c r="EX68" s="617"/>
      <c r="EY68" s="617"/>
      <c r="EZ68" s="617"/>
      <c r="FA68" s="617"/>
      <c r="FB68" s="617"/>
      <c r="FC68" s="617"/>
      <c r="FD68" s="617"/>
      <c r="FE68" s="617"/>
      <c r="FF68" s="617"/>
      <c r="FG68" s="617"/>
      <c r="FH68" s="617"/>
    </row>
    <row r="69" spans="1:164" ht="25.2" customHeight="1">
      <c r="A69" s="118"/>
      <c r="L69" s="118"/>
      <c r="M69" s="118"/>
      <c r="N69" s="118"/>
      <c r="O69" s="118"/>
      <c r="P69" s="118"/>
      <c r="Q69" s="118"/>
      <c r="R69" s="118"/>
      <c r="S69" s="118"/>
      <c r="T69" s="1023"/>
      <c r="U69" s="118"/>
      <c r="V69" s="46"/>
      <c r="W69" s="3" t="s">
        <v>67</v>
      </c>
      <c r="X69" s="1144">
        <f>IF(Allgemein!$C$91="iSFP",X29,IF(Allgemein!$C$91="Variante 1",X41,IF(Allgemein!$C$91="Variante 2",X55,0)))</f>
        <v>0</v>
      </c>
      <c r="Y69" s="47">
        <f>IF(Allgemein!$C$91="iSFP",Y29,IF(Allgemein!$C$91="Variante 1",Y41,IF(Allgemein!$C$91="Variante 2",Y55,0)))</f>
        <v>0</v>
      </c>
      <c r="BR69" s="118"/>
      <c r="BS69" s="118"/>
      <c r="BT69" s="118"/>
      <c r="BU69" s="118"/>
      <c r="BV69" s="118"/>
      <c r="BW69" s="118"/>
      <c r="BX69" s="118"/>
      <c r="BY69" s="118"/>
      <c r="BZ69" s="118"/>
      <c r="CA69" s="118"/>
      <c r="DF69" s="118"/>
      <c r="DG69" s="118"/>
      <c r="DH69" s="118"/>
      <c r="DI69" s="118"/>
      <c r="DJ69" s="118"/>
      <c r="DK69" s="118"/>
      <c r="DL69" s="118"/>
      <c r="DM69" s="118"/>
      <c r="DN69" s="118"/>
      <c r="DO69" s="118"/>
      <c r="DP69" s="118"/>
      <c r="DQ69" s="118"/>
      <c r="DR69" s="118"/>
      <c r="DS69" s="118"/>
      <c r="DT69" s="118"/>
      <c r="DU69" s="118"/>
      <c r="DV69" s="118"/>
      <c r="DW69" s="118"/>
      <c r="DX69" s="118"/>
      <c r="DY69" s="118"/>
      <c r="DZ69" s="118"/>
      <c r="EA69" s="118"/>
      <c r="EB69" s="118"/>
      <c r="EC69" s="118"/>
      <c r="ED69" s="118"/>
      <c r="EE69" s="118"/>
      <c r="EF69" s="118"/>
      <c r="EG69" s="118"/>
      <c r="EH69" s="617"/>
      <c r="EI69" s="617"/>
      <c r="EJ69" s="617"/>
      <c r="EK69" s="617"/>
      <c r="EL69" s="617"/>
      <c r="EM69" s="617"/>
      <c r="EN69" s="617"/>
      <c r="EO69" s="617"/>
      <c r="EP69" s="617"/>
      <c r="EQ69" s="617"/>
      <c r="ER69" s="617"/>
      <c r="ES69" s="617"/>
      <c r="ET69" s="617"/>
      <c r="EU69" s="617"/>
      <c r="EV69" s="617"/>
      <c r="EW69" s="617"/>
      <c r="EX69" s="617"/>
      <c r="EY69" s="617"/>
      <c r="EZ69" s="617"/>
      <c r="FA69" s="617"/>
      <c r="FB69" s="617"/>
      <c r="FC69" s="617"/>
      <c r="FD69" s="617"/>
      <c r="FE69" s="617"/>
      <c r="FF69" s="617"/>
      <c r="FG69" s="617"/>
      <c r="FH69" s="617"/>
    </row>
    <row r="70" spans="1:164" ht="25.2" customHeight="1">
      <c r="A70" s="118"/>
      <c r="L70" s="118"/>
      <c r="M70" s="118"/>
      <c r="N70" s="118"/>
      <c r="O70" s="118"/>
      <c r="P70" s="118"/>
      <c r="Q70" s="118"/>
      <c r="R70" s="118"/>
      <c r="S70" s="118"/>
      <c r="T70" s="1023"/>
      <c r="U70" s="118"/>
      <c r="V70" s="46"/>
      <c r="W70" s="3" t="s">
        <v>70</v>
      </c>
      <c r="X70" s="1144">
        <f>IF(Allgemein!$C$91="iSFP",X30,IF(Allgemein!$C$91="Variante 1",X42,IF(Allgemein!$C$91="Variante 2",X56,0)))</f>
        <v>0</v>
      </c>
      <c r="Y70" s="47">
        <f>IF(Allgemein!$C$91="iSFP",Y30,IF(Allgemein!$C$91="Variante 1",Y42,IF(Allgemein!$C$91="Variante 2",Y56,0)))</f>
        <v>0</v>
      </c>
      <c r="AH70" s="1021"/>
      <c r="AR70" s="1280" t="s">
        <v>396</v>
      </c>
      <c r="AS70" s="1021"/>
      <c r="AT70" s="1021"/>
      <c r="AU70" s="1021"/>
      <c r="AV70" s="1021"/>
      <c r="AW70" s="1021"/>
      <c r="AX70" s="1021"/>
      <c r="AY70" s="1021"/>
      <c r="AZ70" s="1021"/>
      <c r="BR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118"/>
      <c r="ED70" s="118"/>
      <c r="EE70" s="118"/>
      <c r="EF70" s="118"/>
      <c r="EG70" s="118"/>
      <c r="EH70" s="617"/>
      <c r="EI70" s="617"/>
      <c r="EJ70" s="617"/>
      <c r="EK70" s="617"/>
      <c r="EL70" s="617"/>
      <c r="EM70" s="617"/>
      <c r="EN70" s="617"/>
      <c r="EO70" s="617"/>
      <c r="EP70" s="617"/>
      <c r="EQ70" s="617"/>
      <c r="ER70" s="617"/>
      <c r="ES70" s="617"/>
      <c r="ET70" s="617"/>
      <c r="EU70" s="617"/>
      <c r="EV70" s="617"/>
      <c r="EW70" s="617"/>
      <c r="EX70" s="617"/>
      <c r="EY70" s="617"/>
      <c r="EZ70" s="617"/>
      <c r="FA70" s="617"/>
      <c r="FB70" s="617"/>
      <c r="FC70" s="617"/>
      <c r="FD70" s="617"/>
      <c r="FE70" s="617"/>
      <c r="FF70" s="617"/>
      <c r="FG70" s="617"/>
      <c r="FH70" s="617"/>
    </row>
    <row r="71" spans="1:164" ht="25.2" customHeight="1">
      <c r="A71" s="118"/>
      <c r="L71" s="118"/>
      <c r="M71" s="118"/>
      <c r="N71" s="118"/>
      <c r="O71" s="118"/>
      <c r="P71" s="118"/>
      <c r="Q71" s="118"/>
      <c r="R71" s="118"/>
      <c r="S71" s="118"/>
      <c r="T71" s="1023"/>
      <c r="U71" s="118"/>
      <c r="V71" s="46"/>
      <c r="W71" s="3" t="s">
        <v>72</v>
      </c>
      <c r="X71" s="1144">
        <f>IF(Allgemein!$C$91="iSFP",X31,IF(Allgemein!$C$91="Variante 1",X43,IF(Allgemein!$C$91="Variante 2",X57,0)))</f>
        <v>0</v>
      </c>
      <c r="Y71" s="47">
        <f>IF(Allgemein!$C$91="iSFP",Y31,IF(Allgemein!$C$91="Variante 1",Y43,IF(Allgemein!$C$91="Variante 2",Y57,0)))</f>
        <v>0</v>
      </c>
      <c r="AC71" s="2" t="s">
        <v>159</v>
      </c>
      <c r="AG71" s="1021"/>
      <c r="AH71" s="1021"/>
      <c r="AK71" s="1021"/>
      <c r="AL71" s="1021"/>
      <c r="AM71" s="1021"/>
      <c r="AN71" s="1021"/>
      <c r="AR71" s="1021"/>
      <c r="AS71" s="1021"/>
      <c r="AT71" s="1021"/>
      <c r="AU71" s="1021"/>
      <c r="AV71" s="1021"/>
      <c r="AW71" s="1021"/>
      <c r="AX71" s="1021"/>
      <c r="AY71" s="1021"/>
      <c r="AZ71" s="1021"/>
      <c r="BR71" s="118"/>
      <c r="DF71" s="118"/>
      <c r="DG71" s="118"/>
      <c r="DH71" s="118"/>
      <c r="DI71" s="118"/>
      <c r="DJ71" s="118"/>
      <c r="DK71" s="118"/>
      <c r="DL71" s="118"/>
      <c r="DM71" s="118"/>
      <c r="DN71" s="118"/>
      <c r="DO71" s="118"/>
      <c r="DP71" s="118"/>
      <c r="DQ71" s="118"/>
      <c r="DR71" s="118"/>
      <c r="DS71" s="118"/>
      <c r="DT71" s="118"/>
      <c r="DU71" s="118"/>
      <c r="DV71" s="118"/>
      <c r="DW71" s="118"/>
      <c r="DX71" s="118"/>
      <c r="DY71" s="118"/>
      <c r="DZ71" s="118"/>
      <c r="EA71" s="118"/>
      <c r="EB71" s="118"/>
      <c r="EC71" s="118"/>
      <c r="ED71" s="118"/>
      <c r="EE71" s="118"/>
      <c r="EF71" s="118"/>
      <c r="EG71" s="118"/>
      <c r="EH71" s="617"/>
      <c r="EI71" s="617"/>
      <c r="EJ71" s="617"/>
      <c r="EK71" s="617"/>
      <c r="EL71" s="617"/>
      <c r="EM71" s="617"/>
      <c r="EN71" s="617"/>
      <c r="EO71" s="617"/>
      <c r="EP71" s="617"/>
      <c r="EQ71" s="617"/>
      <c r="ER71" s="617"/>
      <c r="ES71" s="617"/>
      <c r="ET71" s="617"/>
      <c r="EU71" s="617"/>
      <c r="EV71" s="617"/>
      <c r="EW71" s="617"/>
      <c r="EX71" s="617"/>
      <c r="EY71" s="617"/>
      <c r="EZ71" s="617"/>
      <c r="FA71" s="617"/>
      <c r="FB71" s="617"/>
      <c r="FC71" s="617"/>
      <c r="FD71" s="617"/>
      <c r="FE71" s="617"/>
      <c r="FF71" s="617"/>
      <c r="FG71" s="617"/>
      <c r="FH71" s="617"/>
    </row>
    <row r="72" spans="1:164" ht="25.2" customHeight="1">
      <c r="A72" s="118"/>
      <c r="L72" s="118"/>
      <c r="M72" s="118"/>
      <c r="N72" s="118"/>
      <c r="O72" s="118"/>
      <c r="P72" s="118"/>
      <c r="Q72" s="118"/>
      <c r="R72" s="118"/>
      <c r="S72" s="118"/>
      <c r="T72" s="1023"/>
      <c r="U72" s="118"/>
      <c r="V72" s="46"/>
      <c r="W72" s="1029" t="s">
        <v>74</v>
      </c>
      <c r="X72" s="1144">
        <f>IF(Allgemein!$C$91="iSFP",X32,IF(Allgemein!$C$91="Variante 1",X44,IF(Allgemein!$C$91="Variante 2",X58,0)))</f>
        <v>0</v>
      </c>
      <c r="Y72" s="47">
        <f>IF(Allgemein!$C$91="iSFP",Y32,IF(Allgemein!$C$91="Variante 1",Y44,IF(Allgemein!$C$91="Variante 2",Y58,0)))</f>
        <v>0</v>
      </c>
      <c r="Z72" s="46"/>
      <c r="AF72" s="1021"/>
      <c r="AG72" s="1021"/>
      <c r="AH72" s="1021"/>
      <c r="AI72" s="1021"/>
      <c r="AJ72" s="1021"/>
      <c r="AK72" s="1021"/>
      <c r="AL72" s="1021"/>
      <c r="AM72" s="1021"/>
      <c r="AN72" s="1021"/>
      <c r="AR72" s="2" t="s">
        <v>366</v>
      </c>
      <c r="AS72" s="185">
        <f>IF(Allgemein!G38&gt;250,250,Allgemein!G38)</f>
        <v>0</v>
      </c>
      <c r="AT72" s="2">
        <v>0</v>
      </c>
      <c r="AU72" s="1021"/>
      <c r="AV72" s="1021"/>
      <c r="AW72" s="1021"/>
      <c r="AX72" s="1021"/>
      <c r="AY72" s="1021"/>
      <c r="AZ72" s="1021"/>
      <c r="BR72" s="118"/>
      <c r="CB72" s="165"/>
      <c r="CF72" s="165"/>
      <c r="DF72" s="118"/>
      <c r="DG72" s="118"/>
      <c r="DH72" s="118"/>
      <c r="DI72" s="118"/>
      <c r="DJ72" s="118"/>
      <c r="DK72" s="118"/>
      <c r="DL72" s="118"/>
      <c r="DM72" s="118"/>
      <c r="DN72" s="118"/>
      <c r="DO72" s="118"/>
      <c r="DP72" s="118"/>
      <c r="DQ72" s="118"/>
      <c r="DR72" s="118"/>
      <c r="DS72" s="118"/>
      <c r="DT72" s="118"/>
      <c r="DU72" s="118"/>
      <c r="DV72" s="118"/>
      <c r="DW72" s="118"/>
      <c r="DX72" s="118"/>
      <c r="DY72" s="118"/>
      <c r="DZ72" s="118"/>
      <c r="EA72" s="118"/>
      <c r="EB72" s="118"/>
      <c r="EC72" s="118"/>
      <c r="ED72" s="118"/>
      <c r="EE72" s="118"/>
      <c r="EF72" s="118"/>
      <c r="EG72" s="118"/>
      <c r="EH72" s="118"/>
      <c r="EI72" s="118"/>
      <c r="EJ72" s="118"/>
      <c r="EK72" s="118"/>
      <c r="EL72" s="118"/>
      <c r="EM72" s="118"/>
      <c r="EN72" s="118"/>
      <c r="EO72" s="118"/>
      <c r="EP72" s="119"/>
    </row>
    <row r="73" spans="1:164" ht="25.2" customHeight="1">
      <c r="A73" s="118"/>
      <c r="L73" s="118"/>
      <c r="M73" s="118"/>
      <c r="N73" s="118"/>
      <c r="O73" s="118"/>
      <c r="P73" s="118"/>
      <c r="Q73" s="118"/>
      <c r="R73" s="118"/>
      <c r="S73" s="118"/>
      <c r="T73" s="1023"/>
      <c r="U73" s="118"/>
      <c r="V73" s="46"/>
      <c r="W73" s="3" t="s">
        <v>76</v>
      </c>
      <c r="X73" s="1144">
        <f>IF(Allgemein!$C$91="iSFP",X33,IF(Allgemein!$C$91="Variante 1",X45,IF(Allgemein!$C$91="Variante 2",X59,0)))</f>
        <v>0</v>
      </c>
      <c r="Y73" s="47">
        <f>IF(Allgemein!$C$91="iSFP",Y33,IF(Allgemein!$C$91="Variante 1",Y45,IF(Allgemein!$C$91="Variante 2",Y59,0)))</f>
        <v>0</v>
      </c>
      <c r="AC73" s="3" t="s">
        <v>331</v>
      </c>
      <c r="AF73" s="1021"/>
      <c r="AG73" s="1280" t="s">
        <v>397</v>
      </c>
      <c r="AH73" s="1021"/>
      <c r="AI73" s="1021"/>
      <c r="AJ73" s="1021"/>
      <c r="AK73" s="1021"/>
      <c r="AL73" s="1021"/>
      <c r="AM73" s="1021"/>
      <c r="AN73" s="1021"/>
      <c r="AR73" s="2" t="s">
        <v>398</v>
      </c>
      <c r="AS73" s="185">
        <f>IF(Allgemein!C123&gt;250,250,Allgemein!C123)</f>
        <v>0</v>
      </c>
      <c r="AT73" s="2">
        <v>0</v>
      </c>
      <c r="BR73" s="118"/>
      <c r="CB73" s="165"/>
      <c r="CF73" s="165"/>
      <c r="DF73" s="118"/>
      <c r="DG73" s="118"/>
      <c r="DH73" s="118"/>
      <c r="DI73" s="118"/>
      <c r="DJ73" s="118"/>
      <c r="DK73" s="118"/>
      <c r="DL73" s="118"/>
      <c r="DM73" s="118"/>
      <c r="DN73" s="118"/>
      <c r="DO73" s="118"/>
      <c r="DP73" s="118"/>
      <c r="DQ73" s="118"/>
      <c r="DR73" s="118"/>
      <c r="DS73" s="118"/>
      <c r="DT73" s="118"/>
      <c r="DU73" s="118"/>
      <c r="DV73" s="118"/>
      <c r="DW73" s="118"/>
      <c r="DX73" s="118"/>
      <c r="DY73" s="118"/>
      <c r="DZ73" s="118"/>
      <c r="EA73" s="118"/>
      <c r="EB73" s="118"/>
      <c r="EC73" s="118"/>
      <c r="ED73" s="118"/>
      <c r="EE73" s="118"/>
      <c r="EF73" s="118"/>
      <c r="EG73" s="118"/>
      <c r="EH73" s="118"/>
      <c r="EI73" s="118"/>
      <c r="EJ73" s="118"/>
      <c r="EK73" s="118"/>
      <c r="EL73" s="118"/>
      <c r="EM73" s="118"/>
      <c r="EN73" s="118"/>
      <c r="EO73" s="118"/>
      <c r="EP73" s="119"/>
    </row>
    <row r="74" spans="1:164" ht="25.2" customHeight="1" thickBot="1">
      <c r="A74" s="118"/>
      <c r="N74" s="118"/>
      <c r="O74" s="118"/>
      <c r="P74" s="118"/>
      <c r="Q74" s="118"/>
      <c r="R74" s="118"/>
      <c r="S74" s="118"/>
      <c r="T74" s="1023"/>
      <c r="U74" s="118"/>
      <c r="V74" s="906"/>
      <c r="W74" s="1063" t="s">
        <v>347</v>
      </c>
      <c r="X74" s="1145">
        <f>SUM(X69:X73)</f>
        <v>0</v>
      </c>
      <c r="Y74" s="911"/>
      <c r="AC74" s="603" t="s">
        <v>67</v>
      </c>
      <c r="BR74" s="118"/>
      <c r="DF74" s="118"/>
      <c r="DG74" s="118"/>
      <c r="DH74" s="118"/>
      <c r="DI74" s="118"/>
      <c r="DJ74" s="118"/>
      <c r="DK74" s="118"/>
      <c r="DL74" s="118"/>
      <c r="DM74" s="118"/>
      <c r="DN74" s="118"/>
      <c r="DO74" s="118"/>
      <c r="DP74" s="118"/>
      <c r="DQ74" s="118"/>
      <c r="DR74" s="118"/>
      <c r="DS74" s="118"/>
      <c r="DT74" s="118"/>
      <c r="DU74" s="118"/>
      <c r="DV74" s="118"/>
      <c r="DW74" s="118"/>
      <c r="DX74" s="118"/>
      <c r="DY74" s="118"/>
      <c r="DZ74" s="118"/>
      <c r="EA74" s="118"/>
      <c r="EB74" s="118"/>
      <c r="EC74" s="118"/>
      <c r="ED74" s="118"/>
      <c r="EE74" s="118"/>
      <c r="EF74" s="118"/>
      <c r="EG74" s="118"/>
      <c r="EH74" s="118"/>
      <c r="EI74" s="118"/>
      <c r="EJ74" s="118"/>
      <c r="EK74" s="118"/>
      <c r="EL74" s="118"/>
      <c r="EM74" s="118"/>
      <c r="EN74" s="118"/>
      <c r="EO74" s="118"/>
      <c r="EP74" s="119"/>
    </row>
    <row r="75" spans="1:164" ht="25.2" customHeight="1">
      <c r="A75" s="118"/>
      <c r="N75" s="118"/>
      <c r="O75" s="118"/>
      <c r="P75" s="118"/>
      <c r="Q75" s="118"/>
      <c r="R75" s="118"/>
      <c r="S75" s="118"/>
      <c r="T75" s="1023"/>
      <c r="U75" s="118"/>
      <c r="AC75" s="2" t="str">
        <f>_xlfn.TEXTJOIN(" ",,Allgemein!C60,Allgemein!D60,IF(Allgemein!E60="",,"+"),Allgemein!E60)</f>
        <v>- -</v>
      </c>
      <c r="AI75" s="118"/>
      <c r="AJ75" s="598"/>
      <c r="AK75" s="659"/>
      <c r="AL75" s="602"/>
      <c r="AM75" s="600"/>
      <c r="AN75" s="600"/>
      <c r="BR75" s="118"/>
      <c r="DB75" s="1028"/>
      <c r="DF75" s="118"/>
      <c r="DG75" s="118"/>
      <c r="DH75" s="118"/>
      <c r="DI75" s="118"/>
      <c r="DJ75" s="118"/>
      <c r="DK75" s="118"/>
      <c r="DL75" s="118"/>
      <c r="DM75" s="118"/>
      <c r="DN75" s="118"/>
      <c r="DO75" s="118"/>
      <c r="DP75" s="118"/>
      <c r="DQ75" s="118"/>
      <c r="DR75" s="118"/>
      <c r="DS75" s="118"/>
      <c r="DT75" s="118"/>
      <c r="DU75" s="118"/>
      <c r="DV75" s="118"/>
      <c r="DW75" s="118"/>
      <c r="DX75" s="118"/>
      <c r="DY75" s="118"/>
      <c r="DZ75" s="118"/>
      <c r="EA75" s="118"/>
      <c r="EB75" s="118"/>
      <c r="EC75" s="118"/>
      <c r="ED75" s="118"/>
      <c r="EE75" s="118"/>
      <c r="EF75" s="118"/>
      <c r="EG75" s="118"/>
      <c r="EH75" s="118"/>
      <c r="EI75" s="118"/>
      <c r="EJ75" s="118"/>
      <c r="EK75" s="118"/>
      <c r="EL75" s="118"/>
      <c r="EM75" s="118"/>
      <c r="EN75" s="118"/>
      <c r="EO75" s="118"/>
      <c r="EP75" s="119"/>
    </row>
    <row r="76" spans="1:164" ht="25.2" customHeight="1">
      <c r="A76" s="118"/>
      <c r="N76" s="118"/>
      <c r="O76" s="118"/>
      <c r="P76" s="118"/>
      <c r="Q76" s="118"/>
      <c r="R76" s="118"/>
      <c r="S76" s="118"/>
      <c r="T76" s="1023"/>
      <c r="U76" s="118"/>
      <c r="AC76" s="603" t="s">
        <v>70</v>
      </c>
      <c r="AI76" s="118"/>
      <c r="AJ76" s="598"/>
      <c r="AK76" s="600"/>
      <c r="AL76" s="600"/>
      <c r="AM76" s="600"/>
      <c r="AN76" s="600"/>
      <c r="BR76" s="118"/>
      <c r="DF76" s="118"/>
      <c r="DG76" s="118"/>
      <c r="DH76" s="118"/>
      <c r="DI76" s="118"/>
      <c r="DJ76" s="118"/>
      <c r="DK76" s="118"/>
      <c r="DL76" s="118"/>
      <c r="DM76" s="118"/>
      <c r="DN76" s="118"/>
      <c r="DO76" s="597"/>
      <c r="DP76" s="597"/>
      <c r="DQ76" s="597"/>
      <c r="DR76" s="597"/>
      <c r="DS76" s="597"/>
      <c r="DT76" s="597"/>
      <c r="DU76" s="597"/>
      <c r="DV76" s="597"/>
      <c r="DW76" s="597"/>
      <c r="DX76" s="597"/>
      <c r="DY76" s="597"/>
      <c r="DZ76" s="597"/>
      <c r="EA76" s="597"/>
      <c r="EB76" s="597"/>
      <c r="EC76" s="597"/>
      <c r="ED76" s="597"/>
      <c r="EE76" s="597"/>
      <c r="EF76" s="597"/>
      <c r="EG76" s="597"/>
      <c r="EH76" s="597"/>
      <c r="EI76" s="597"/>
      <c r="EJ76" s="597"/>
      <c r="EK76" s="597"/>
      <c r="EL76" s="597"/>
      <c r="EM76" s="597"/>
      <c r="EN76" s="597"/>
      <c r="EO76" s="597"/>
      <c r="EP76" s="597"/>
      <c r="EQ76" s="597"/>
    </row>
    <row r="77" spans="1:164" ht="25.2" customHeight="1" thickBot="1">
      <c r="A77" s="118"/>
      <c r="N77" s="118"/>
      <c r="O77" s="118"/>
      <c r="P77" s="118"/>
      <c r="Q77" s="118"/>
      <c r="R77" s="118"/>
      <c r="S77" s="118"/>
      <c r="T77" s="1023"/>
      <c r="U77" s="118"/>
      <c r="AC77" s="2" t="str">
        <f>_xlfn.TEXTJOIN(" ",,Allgemein!C61,Allgemein!D61,IF(Allgemein!E61="",,"+"),Allgemein!E61)</f>
        <v>- -</v>
      </c>
      <c r="AG77" s="2" t="s">
        <v>159</v>
      </c>
      <c r="AH77" s="185">
        <f>IF(Allgemein!D70&gt;250,250,Allgemein!D70)</f>
        <v>0</v>
      </c>
      <c r="AI77" s="2">
        <v>0</v>
      </c>
      <c r="AJ77" s="600"/>
      <c r="AK77" s="600"/>
      <c r="AL77" s="600"/>
      <c r="AM77" s="600"/>
      <c r="AN77" s="600"/>
      <c r="BR77" s="118"/>
      <c r="DF77" s="118"/>
      <c r="DG77" s="118"/>
      <c r="DH77" s="118"/>
      <c r="DI77" s="118"/>
      <c r="DJ77" s="118"/>
      <c r="DK77" s="597"/>
      <c r="DL77" s="597"/>
      <c r="DM77" s="597"/>
      <c r="DN77" s="597"/>
      <c r="DO77" s="597"/>
      <c r="DP77" s="597"/>
      <c r="DQ77" s="597"/>
      <c r="DR77" s="597"/>
      <c r="DS77" s="597"/>
      <c r="DT77" s="597"/>
      <c r="DU77" s="597"/>
      <c r="DV77" s="597"/>
      <c r="DW77" s="597"/>
      <c r="DX77" s="597"/>
      <c r="DY77" s="597"/>
      <c r="DZ77" s="597"/>
      <c r="EA77" s="597"/>
      <c r="EB77" s="597"/>
      <c r="EC77" s="597"/>
      <c r="ED77" s="597"/>
      <c r="EE77" s="597"/>
      <c r="EF77" s="597"/>
      <c r="EG77" s="597"/>
      <c r="EH77" s="597"/>
      <c r="EI77" s="597"/>
      <c r="EJ77" s="597"/>
      <c r="EK77" s="597"/>
      <c r="EL77" s="597"/>
      <c r="EM77" s="597"/>
      <c r="EN77" s="597"/>
      <c r="EO77" s="597"/>
      <c r="EP77" s="597"/>
      <c r="EQ77" s="597"/>
    </row>
    <row r="78" spans="1:164" ht="25.2" customHeight="1" thickBot="1">
      <c r="A78" s="118"/>
      <c r="N78" s="118"/>
      <c r="O78" s="118"/>
      <c r="P78" s="118"/>
      <c r="Q78" s="118"/>
      <c r="R78" s="118"/>
      <c r="S78" s="118"/>
      <c r="T78" s="1023"/>
      <c r="U78" s="118"/>
      <c r="AC78" s="603" t="s">
        <v>72</v>
      </c>
      <c r="AH78" s="1397" t="s">
        <v>399</v>
      </c>
      <c r="AI78" s="118"/>
      <c r="AJ78" s="1396">
        <f>Allgemein!D69</f>
        <v>0.1</v>
      </c>
      <c r="AK78" s="600"/>
      <c r="AL78" s="600"/>
      <c r="AM78" s="600"/>
      <c r="AN78" s="600"/>
      <c r="BR78" s="118"/>
      <c r="DF78" s="118"/>
      <c r="DG78" s="118"/>
      <c r="DH78" s="118"/>
      <c r="DI78" s="118"/>
      <c r="DJ78" s="118"/>
      <c r="DK78" s="597"/>
      <c r="DL78" s="597"/>
      <c r="DM78" s="597"/>
      <c r="DN78" s="597"/>
      <c r="DO78" s="597"/>
      <c r="DP78" s="597"/>
      <c r="DQ78" s="597"/>
      <c r="EI78" s="597"/>
      <c r="EJ78" s="597"/>
      <c r="EK78" s="597"/>
      <c r="EL78" s="597"/>
      <c r="EM78" s="597"/>
      <c r="EN78" s="597"/>
      <c r="EO78" s="597"/>
      <c r="EP78" s="597"/>
      <c r="EQ78" s="597"/>
    </row>
    <row r="79" spans="1:164" ht="25.2" customHeight="1" thickBot="1">
      <c r="A79" s="118"/>
      <c r="N79" s="118"/>
      <c r="O79" s="118"/>
      <c r="P79" s="118"/>
      <c r="Q79" s="118"/>
      <c r="R79" s="118"/>
      <c r="S79" s="118"/>
      <c r="T79" s="1023"/>
      <c r="U79" s="118"/>
      <c r="AC79" s="2" t="str">
        <f>_xlfn.TEXTJOIN(" ",,Allgemein!C62,Allgemein!D62,IF(Allgemein!E62="",,"+"),Allgemein!E62)</f>
        <v>-</v>
      </c>
      <c r="AG79" s="1070" t="str" cm="1">
        <f t="array" ref="AG79">_xlfn.IFS(AH77&lt;=30,"A+",AND(30&lt;=AH77,AH77&lt;50),"A",AND(50&lt;=AH77,AH77&lt;75),"B",AND(75&lt;=AH77,AH77&lt;100),"C",AND(100&lt;=AH77,AH77&lt;130),"D",AND(130&lt;=AH77,AH77&lt;160),"E",AND(160&lt;=AH77,AH77&lt;200),"F",AND(200&lt;=AH77,AH77&lt;250),"G",AH77&gt;=250,"H")</f>
        <v>A+</v>
      </c>
      <c r="AH79" s="1065" t="e">
        <f>Datenbank!AN214</f>
        <v>#DIV/0!</v>
      </c>
      <c r="AJ79" s="1071" t="str">
        <f>Allgemein!C72</f>
        <v>Nicht ausgefüllt</v>
      </c>
      <c r="AK79" s="118"/>
      <c r="AL79" s="118"/>
      <c r="AM79" s="118"/>
      <c r="AN79" s="118"/>
      <c r="BR79" s="118"/>
      <c r="DF79" s="118"/>
      <c r="DG79" s="118"/>
      <c r="DH79" s="118"/>
      <c r="DI79" s="118"/>
      <c r="DJ79" s="118"/>
      <c r="DK79" s="597"/>
      <c r="DL79" s="597"/>
      <c r="DM79" s="597"/>
      <c r="DN79" s="597"/>
      <c r="DO79" s="597"/>
      <c r="DP79" s="597"/>
      <c r="DQ79" s="597"/>
      <c r="EI79" s="597"/>
      <c r="EJ79" s="597"/>
      <c r="EK79" s="597"/>
      <c r="EL79" s="597"/>
      <c r="EM79" s="597"/>
      <c r="EN79" s="597"/>
      <c r="EO79" s="597"/>
      <c r="EP79" s="597"/>
      <c r="EQ79" s="597"/>
    </row>
    <row r="80" spans="1:164" ht="25.2" customHeight="1">
      <c r="A80" s="118"/>
      <c r="N80" s="118"/>
      <c r="O80" s="118"/>
      <c r="P80" s="118"/>
      <c r="Q80" s="118"/>
      <c r="R80" s="118"/>
      <c r="S80" s="118"/>
      <c r="T80" s="1023"/>
      <c r="U80" s="118"/>
      <c r="AC80" s="603" t="s">
        <v>1172</v>
      </c>
      <c r="BR80" s="118"/>
      <c r="DF80" s="118"/>
      <c r="DG80" s="118"/>
      <c r="DH80" s="118"/>
      <c r="DI80" s="118"/>
      <c r="DJ80" s="118"/>
      <c r="DK80" s="118"/>
      <c r="DL80" s="118"/>
      <c r="DM80" s="118"/>
      <c r="DN80" s="118"/>
      <c r="DO80" s="118"/>
      <c r="DP80" s="118"/>
      <c r="DQ80" s="118"/>
      <c r="EI80" s="118"/>
      <c r="EJ80" s="118"/>
      <c r="EK80" s="118"/>
      <c r="EL80" s="118"/>
      <c r="EM80" s="118"/>
      <c r="EN80" s="118"/>
      <c r="EO80" s="118"/>
      <c r="EP80" s="119"/>
    </row>
    <row r="81" spans="1:154" ht="25.2" customHeight="1">
      <c r="A81" s="118"/>
      <c r="N81" s="118"/>
      <c r="O81" s="118"/>
      <c r="P81" s="118"/>
      <c r="Q81" s="118"/>
      <c r="R81" s="118"/>
      <c r="S81" s="118"/>
      <c r="T81" s="1023"/>
      <c r="U81" s="118"/>
      <c r="AC81" s="2" t="str">
        <f>_xlfn.TEXTJOIN(" ",,Allgemein!C63,Allgemein!D63,IF(Allgemein!E63="",,"+"),Allgemein!E63," / ",Allgemein!C64,Allgemein!D64,IF(Allgemein!E64="",,"+"),Allgemein!E64)</f>
        <v>- -  /  - -</v>
      </c>
      <c r="BR81" s="118"/>
      <c r="DF81" s="118"/>
      <c r="DG81" s="118"/>
      <c r="DH81" s="118"/>
      <c r="DI81" s="118"/>
      <c r="DJ81" s="118"/>
      <c r="DK81" s="118"/>
      <c r="DL81" s="118"/>
      <c r="DM81" s="118"/>
      <c r="DN81" s="118"/>
      <c r="DO81" s="118"/>
      <c r="DP81" s="118"/>
      <c r="DQ81" s="118"/>
      <c r="EI81" s="118"/>
      <c r="EJ81" s="118"/>
      <c r="EK81" s="118"/>
      <c r="EL81" s="118"/>
      <c r="EM81" s="118"/>
      <c r="EN81" s="118"/>
      <c r="EO81" s="118"/>
      <c r="EP81" s="119"/>
    </row>
    <row r="82" spans="1:154" ht="25.2" customHeight="1">
      <c r="A82" s="118"/>
      <c r="N82" s="118"/>
      <c r="O82" s="118"/>
      <c r="P82" s="118"/>
      <c r="Q82" s="118"/>
      <c r="R82" s="118"/>
      <c r="S82" s="118"/>
      <c r="T82" s="1023"/>
      <c r="U82" s="118"/>
      <c r="AC82" s="603" t="s">
        <v>76</v>
      </c>
      <c r="DF82" s="118"/>
      <c r="DG82" s="118"/>
      <c r="DH82" s="118"/>
      <c r="DI82" s="118"/>
      <c r="DJ82" s="118"/>
      <c r="DK82" s="118"/>
      <c r="DL82" s="118"/>
      <c r="DM82" s="118"/>
      <c r="DN82" s="118"/>
      <c r="DO82" s="118"/>
      <c r="DP82" s="118"/>
      <c r="DQ82" s="118"/>
      <c r="EI82" s="118"/>
      <c r="EJ82" s="118"/>
      <c r="EK82" s="118"/>
      <c r="EL82" s="118"/>
      <c r="EM82" s="118"/>
      <c r="EN82" s="118"/>
      <c r="EO82" s="118"/>
      <c r="EP82" s="119"/>
    </row>
    <row r="83" spans="1:154" ht="25.2" customHeight="1">
      <c r="A83" s="118"/>
      <c r="N83" s="118"/>
      <c r="O83" s="118"/>
      <c r="P83" s="118"/>
      <c r="Q83" s="118"/>
      <c r="R83" s="118"/>
      <c r="S83" s="118"/>
      <c r="T83" s="1023"/>
      <c r="U83" s="118"/>
      <c r="W83" s="617"/>
      <c r="AC83" s="2" t="str">
        <f>_xlfn.TEXTJOIN(" ",,Allgemein!C66,"+",Allgemein!D66,IF(Allgemein!E66="",,"+"),Allgemein!E66)</f>
        <v>+</v>
      </c>
      <c r="DF83" s="118"/>
      <c r="DG83" s="118"/>
      <c r="DH83" s="118"/>
      <c r="DI83" s="118"/>
      <c r="DJ83" s="118"/>
      <c r="DK83" s="118"/>
      <c r="DL83" s="118"/>
      <c r="DM83" s="118"/>
      <c r="DN83" s="118"/>
      <c r="DO83" s="118"/>
      <c r="DP83" s="118"/>
      <c r="DQ83" s="118"/>
      <c r="EI83" s="118"/>
      <c r="EJ83" s="118"/>
      <c r="EK83" s="118"/>
      <c r="EL83" s="118"/>
      <c r="EM83" s="118"/>
      <c r="EN83" s="118"/>
      <c r="EO83" s="118"/>
      <c r="EP83" s="119"/>
    </row>
    <row r="84" spans="1:154" ht="25.2" customHeight="1" thickBot="1">
      <c r="A84" s="118"/>
      <c r="N84" s="118"/>
      <c r="O84" s="118"/>
      <c r="P84" s="118"/>
      <c r="Q84" s="118"/>
      <c r="R84" s="118"/>
      <c r="S84" s="118"/>
      <c r="T84" s="1023"/>
      <c r="U84" s="118"/>
      <c r="W84" s="617"/>
      <c r="AC84" s="603" t="s">
        <v>344</v>
      </c>
      <c r="AH84" s="604"/>
      <c r="DF84" s="118"/>
      <c r="DG84" s="118"/>
      <c r="DH84" s="118"/>
      <c r="DI84" s="118"/>
      <c r="DJ84" s="118"/>
      <c r="DK84" s="118"/>
      <c r="DL84" s="118"/>
      <c r="DM84" s="118"/>
      <c r="DN84" s="118"/>
      <c r="DO84" s="118"/>
      <c r="DP84" s="118"/>
      <c r="DQ84" s="118"/>
      <c r="EI84" s="118"/>
      <c r="EJ84" s="118"/>
      <c r="EK84" s="118"/>
      <c r="EL84" s="118"/>
      <c r="EM84" s="118"/>
      <c r="EN84" s="118"/>
      <c r="EO84" s="118"/>
      <c r="EP84" s="119"/>
    </row>
    <row r="85" spans="1:154" ht="25.2" customHeight="1" thickBot="1">
      <c r="A85" s="118"/>
      <c r="N85" s="118"/>
      <c r="O85" s="118"/>
      <c r="P85" s="118"/>
      <c r="Q85" s="118"/>
      <c r="R85" s="118"/>
      <c r="S85" s="118"/>
      <c r="T85" s="1023"/>
      <c r="U85" s="118"/>
      <c r="W85" s="617"/>
      <c r="AC85" s="2" t="str">
        <f>_xlfn.TEXTJOIN(" ",TRUE,Allgemein!C67,"PV-Anlage","mit",Allgemein!D67,"Speichersystem",IF(Allgemein!E67="",,"+"),Allgemein!E67)</f>
        <v>- PV-Anlage mit - Speichersystem</v>
      </c>
      <c r="AR85" s="1021" t="s">
        <v>400</v>
      </c>
      <c r="AS85" s="1070" t="str" cm="1">
        <f t="array" ref="AS85">_xlfn.IFS(AS73=0,"",AS73&lt;=30,"A+",AND(30&lt;=AS73,AS73&lt;50),"A",AND(50&lt;=AS73,AS73&lt;75),"B",AND(75&lt;=AS73,AS73&lt;100),"C",AND(100&lt;=AS73,AS73&lt;130),"D",AND(130&lt;=AS73,AS73&lt;160),"E",AND(160&lt;=AS73,AS73&lt;200),"F",AND(200&lt;=AS73,AS73&lt;250),"G",AS73&gt;=250,"H")</f>
        <v/>
      </c>
      <c r="DF85" s="118"/>
      <c r="DG85" s="118"/>
      <c r="DH85" s="118"/>
      <c r="DI85" s="118"/>
      <c r="DJ85" s="118"/>
      <c r="DK85" s="118"/>
      <c r="DL85" s="118"/>
      <c r="DM85" s="118"/>
      <c r="DN85" s="118"/>
      <c r="DO85" s="118"/>
      <c r="DP85" s="118"/>
      <c r="DQ85" s="118"/>
      <c r="EI85" s="118"/>
      <c r="EJ85" s="118"/>
      <c r="EK85" s="118"/>
      <c r="EL85" s="118"/>
      <c r="EM85" s="118"/>
      <c r="EN85" s="118"/>
      <c r="EO85" s="118"/>
      <c r="EP85" s="119"/>
    </row>
    <row r="86" spans="1:154" ht="25.2" customHeight="1">
      <c r="W86" s="617"/>
      <c r="AC86" s="603" t="s">
        <v>142</v>
      </c>
      <c r="DF86" s="118"/>
      <c r="DG86" s="118"/>
      <c r="DH86" s="118"/>
      <c r="DI86" s="118"/>
      <c r="DJ86" s="118"/>
      <c r="DK86" s="118"/>
      <c r="DL86" s="118"/>
      <c r="DM86" s="118"/>
      <c r="DN86" s="118"/>
      <c r="DO86" s="118"/>
      <c r="DP86" s="118"/>
      <c r="DQ86" s="118"/>
      <c r="EI86" s="118"/>
      <c r="EJ86" s="118"/>
      <c r="EK86" s="118"/>
      <c r="EL86" s="118"/>
      <c r="EM86" s="118"/>
      <c r="EN86" s="118"/>
      <c r="EO86" s="118"/>
      <c r="EP86" s="119"/>
      <c r="EW86" s="1029"/>
      <c r="EX86" s="1029"/>
    </row>
    <row r="87" spans="1:154" ht="25.2" customHeight="1">
      <c r="W87" s="617"/>
      <c r="AC87" s="2" t="str">
        <f>_xlfn.TEXTJOIN(" ",,IF(Allgemein!C68="Dezentrale Lüftungsanlage",_xlfn.TEXTJOIN(" ",TRUE,Allgemein!C68,"("&amp;Allgemein!D68,")"),Allgemein!C68),IF(Allgemein!E68="",,"+"),Allgemein!E68)</f>
        <v>-</v>
      </c>
      <c r="DF87" s="118"/>
      <c r="DG87" s="118"/>
      <c r="DH87" s="118"/>
      <c r="DI87" s="118"/>
      <c r="DJ87" s="118"/>
      <c r="DK87" s="118"/>
      <c r="DL87" s="118"/>
      <c r="DM87" s="118"/>
      <c r="DN87" s="118"/>
      <c r="DO87" s="118"/>
      <c r="DP87" s="118"/>
      <c r="DQ87" s="118"/>
      <c r="EI87" s="118"/>
      <c r="EJ87" s="118"/>
      <c r="EK87" s="118"/>
      <c r="EL87" s="118"/>
      <c r="EM87" s="118"/>
      <c r="EN87" s="118"/>
      <c r="EO87" s="118"/>
      <c r="EP87" s="119"/>
      <c r="EW87" s="1"/>
    </row>
    <row r="88" spans="1:154" ht="25.2" customHeight="1">
      <c r="W88" s="617"/>
      <c r="AC88" s="603"/>
      <c r="DF88" s="118"/>
      <c r="DG88" s="118"/>
      <c r="DH88" s="118"/>
      <c r="DI88" s="118"/>
      <c r="DJ88" s="118"/>
      <c r="DK88" s="118"/>
      <c r="DL88" s="118"/>
      <c r="DM88" s="118"/>
      <c r="DN88" s="118"/>
      <c r="DO88" s="118"/>
      <c r="DP88" s="118"/>
      <c r="DQ88" s="118"/>
      <c r="EI88" s="118"/>
      <c r="EJ88" s="118"/>
      <c r="EK88" s="118"/>
      <c r="EL88" s="118"/>
      <c r="EM88" s="118"/>
      <c r="EN88" s="118"/>
      <c r="EO88" s="118"/>
      <c r="EP88" s="119"/>
    </row>
    <row r="89" spans="1:154" ht="25.2" customHeight="1">
      <c r="W89" s="617"/>
      <c r="AQ89" s="600"/>
      <c r="DF89" s="118"/>
      <c r="DG89" s="118"/>
      <c r="DH89" s="118"/>
      <c r="DI89" s="118"/>
      <c r="DJ89" s="118"/>
      <c r="DK89" s="118"/>
      <c r="DL89" s="118"/>
      <c r="DM89" s="118"/>
      <c r="DN89" s="118"/>
      <c r="DO89" s="118"/>
      <c r="DP89" s="118"/>
      <c r="DQ89" s="118"/>
      <c r="EI89" s="118"/>
      <c r="EJ89" s="118"/>
      <c r="EK89" s="118"/>
      <c r="EL89" s="118"/>
      <c r="EM89" s="118"/>
      <c r="EN89" s="118"/>
      <c r="EO89" s="118"/>
      <c r="EP89" s="119"/>
      <c r="EW89" s="1"/>
    </row>
    <row r="90" spans="1:154" ht="25.2" customHeight="1">
      <c r="W90" s="617"/>
      <c r="AQ90" s="600"/>
      <c r="AS90" s="1021"/>
      <c r="AT90" s="1021"/>
      <c r="AU90" s="1021"/>
      <c r="AV90" s="1021"/>
      <c r="AW90" s="1021"/>
      <c r="AX90" s="1021"/>
      <c r="AY90" s="1021"/>
      <c r="AZ90" s="1021"/>
      <c r="DF90" s="118"/>
      <c r="DG90" s="118"/>
      <c r="DH90" s="118"/>
      <c r="DI90" s="118"/>
      <c r="DJ90" s="118"/>
      <c r="DK90" s="118"/>
      <c r="DL90" s="118"/>
      <c r="DM90" s="118"/>
      <c r="DN90" s="118"/>
      <c r="DO90" s="118"/>
      <c r="DP90" s="118"/>
      <c r="DQ90" s="118"/>
      <c r="EI90" s="118"/>
      <c r="EJ90" s="118"/>
      <c r="EK90" s="118"/>
      <c r="EL90" s="118"/>
      <c r="EM90" s="118"/>
      <c r="EN90" s="118"/>
      <c r="EO90" s="118"/>
      <c r="EP90" s="119"/>
    </row>
    <row r="91" spans="1:154" ht="25.2" customHeight="1">
      <c r="W91" s="617"/>
      <c r="AG91" s="1280" t="s">
        <v>401</v>
      </c>
      <c r="AR91" s="1021"/>
      <c r="AS91" s="1021"/>
      <c r="AT91" s="1021"/>
      <c r="AU91" s="1021"/>
      <c r="AV91" s="1021"/>
      <c r="AW91" s="1021"/>
      <c r="AX91" s="1021"/>
      <c r="AY91" s="1021"/>
      <c r="AZ91" s="1021"/>
      <c r="DF91" s="118"/>
      <c r="DG91" s="118"/>
      <c r="DH91" s="118"/>
      <c r="DI91" s="118"/>
      <c r="DJ91" s="118"/>
      <c r="DK91" s="118"/>
      <c r="DL91" s="118"/>
      <c r="DM91" s="118"/>
      <c r="DN91" s="118"/>
      <c r="DO91" s="118"/>
      <c r="DP91" s="118"/>
      <c r="DQ91" s="118"/>
      <c r="EI91" s="118"/>
      <c r="EJ91" s="118"/>
      <c r="EK91" s="118"/>
      <c r="EL91" s="118"/>
      <c r="EM91" s="118"/>
      <c r="EN91" s="118"/>
      <c r="EO91" s="118"/>
      <c r="EP91" s="119"/>
      <c r="EW91" s="1"/>
    </row>
    <row r="92" spans="1:154" ht="25.2" customHeight="1">
      <c r="W92" s="617"/>
      <c r="AC92" s="2" t="s">
        <v>171</v>
      </c>
      <c r="AI92" s="622"/>
      <c r="AR92" s="1021"/>
      <c r="AS92" s="1021"/>
      <c r="AT92" s="1021"/>
      <c r="AU92" s="1021"/>
      <c r="AV92" s="1021"/>
      <c r="AW92" s="1021"/>
      <c r="AX92" s="1021"/>
      <c r="AY92" s="1021"/>
      <c r="AZ92" s="1021"/>
      <c r="DF92" s="118"/>
      <c r="DG92" s="118"/>
      <c r="DH92" s="118"/>
      <c r="DI92" s="118"/>
      <c r="DJ92" s="118"/>
      <c r="DK92" s="118"/>
      <c r="DL92" s="118"/>
      <c r="DM92" s="118"/>
      <c r="DN92" s="118"/>
      <c r="DO92" s="118"/>
      <c r="DP92" s="118"/>
      <c r="DQ92" s="118"/>
      <c r="EI92" s="118"/>
      <c r="EJ92" s="118"/>
      <c r="EK92" s="118"/>
      <c r="EL92" s="118"/>
      <c r="EM92" s="118"/>
      <c r="EN92" s="118"/>
      <c r="EO92" s="118"/>
      <c r="EP92" s="119"/>
    </row>
    <row r="93" spans="1:154" ht="25.2" customHeight="1">
      <c r="W93" s="617"/>
      <c r="DF93" s="118"/>
      <c r="EN93" s="118"/>
      <c r="EO93" s="118"/>
      <c r="EP93" s="119"/>
    </row>
    <row r="94" spans="1:154" ht="33" customHeight="1">
      <c r="W94" s="617"/>
      <c r="AC94" s="3" t="s">
        <v>331</v>
      </c>
      <c r="AG94" s="622"/>
      <c r="AH94" s="622"/>
      <c r="AI94" s="622"/>
      <c r="AJ94" s="622"/>
      <c r="AK94" s="622"/>
      <c r="AL94" s="622"/>
      <c r="AM94" s="622"/>
      <c r="AN94" s="622"/>
      <c r="DC94" s="118"/>
      <c r="EN94" s="118"/>
      <c r="EO94" s="118"/>
      <c r="EP94" s="119"/>
    </row>
    <row r="95" spans="1:154" ht="25.2" customHeight="1">
      <c r="W95" s="617"/>
      <c r="AC95" s="603" t="s">
        <v>67</v>
      </c>
      <c r="AF95" s="622"/>
      <c r="AG95" s="2" t="s">
        <v>171</v>
      </c>
      <c r="AH95" s="185">
        <f>IF(Allgemein!D86&gt;250,250,Allgemein!D86)</f>
        <v>0</v>
      </c>
      <c r="AI95" s="2">
        <v>0</v>
      </c>
      <c r="AJ95" s="118"/>
      <c r="AK95" s="118"/>
      <c r="AL95" s="622"/>
      <c r="AM95" s="622"/>
      <c r="AN95" s="622"/>
      <c r="AS95" s="600"/>
      <c r="AT95" s="600"/>
      <c r="AU95" s="600"/>
      <c r="AV95" s="600"/>
      <c r="AW95" s="118"/>
      <c r="AX95" s="118"/>
      <c r="AY95" s="118"/>
      <c r="AZ95" s="118"/>
      <c r="DC95" s="118"/>
      <c r="EN95" s="118"/>
      <c r="EO95" s="118"/>
      <c r="EP95" s="119"/>
    </row>
    <row r="96" spans="1:154" ht="25.2" customHeight="1" thickBot="1">
      <c r="W96" s="617"/>
      <c r="AC96" s="2" t="str">
        <f>_xlfn.TEXTJOIN(" ",,Allgemein!C76,Allgemein!D76,IF(Allgemein!E76="",,"+"),Allgemein!E76)</f>
        <v>- -</v>
      </c>
      <c r="AF96" s="622"/>
      <c r="AI96" s="118"/>
      <c r="AJ96" s="118"/>
      <c r="AK96" s="118"/>
      <c r="AL96" s="622"/>
      <c r="AM96" s="622"/>
      <c r="AN96" s="622"/>
      <c r="AS96" s="600"/>
      <c r="AT96" s="600"/>
      <c r="AU96" s="600"/>
      <c r="AV96" s="600"/>
      <c r="AW96" s="118"/>
      <c r="AX96" s="118"/>
      <c r="AY96" s="118"/>
      <c r="AZ96" s="118"/>
      <c r="DC96" s="118"/>
      <c r="EN96" s="118"/>
      <c r="EO96" s="118"/>
      <c r="EP96" s="119"/>
    </row>
    <row r="97" spans="23:151" ht="25.2" customHeight="1" thickBot="1">
      <c r="W97" s="617"/>
      <c r="AC97" s="603" t="s">
        <v>70</v>
      </c>
      <c r="AH97" s="1397" t="s">
        <v>399</v>
      </c>
      <c r="AI97" s="118"/>
      <c r="AJ97" s="1395">
        <f>Allgemein!D85</f>
        <v>0.1</v>
      </c>
      <c r="AK97" s="118"/>
      <c r="AL97" s="118"/>
      <c r="AM97" s="118"/>
      <c r="AN97" s="118"/>
      <c r="DC97" s="118"/>
      <c r="DD97" s="118"/>
      <c r="DE97" s="118"/>
      <c r="DF97" s="118"/>
      <c r="DG97" s="118"/>
      <c r="DK97" s="118"/>
      <c r="DL97" s="118"/>
      <c r="DM97" s="118"/>
      <c r="DN97" s="118"/>
      <c r="DO97" s="118"/>
      <c r="DP97" s="118"/>
      <c r="DQ97" s="118"/>
      <c r="DR97" s="118"/>
      <c r="DS97" s="118"/>
      <c r="DT97" s="118"/>
      <c r="DU97" s="118"/>
      <c r="DV97" s="118"/>
      <c r="DW97" s="118"/>
      <c r="DX97" s="118"/>
      <c r="DY97" s="118"/>
      <c r="DZ97" s="118"/>
      <c r="EA97" s="118"/>
      <c r="EB97" s="118"/>
      <c r="EC97" s="118"/>
      <c r="ED97" s="118"/>
      <c r="EE97" s="118"/>
      <c r="EF97" s="118"/>
      <c r="EG97" s="118"/>
      <c r="EH97" s="118"/>
      <c r="EI97" s="118"/>
      <c r="EJ97" s="118"/>
      <c r="EK97" s="118"/>
      <c r="EL97" s="118"/>
      <c r="EM97" s="118"/>
      <c r="EN97" s="118"/>
      <c r="EO97" s="118"/>
      <c r="EP97" s="119"/>
    </row>
    <row r="98" spans="23:151" ht="25.2" customHeight="1" thickBot="1">
      <c r="W98" s="617"/>
      <c r="AC98" s="2" t="str">
        <f>_xlfn.TEXTJOIN(" ",,Allgemein!C77,Allgemein!D77,IF(Allgemein!E77="",,"+"),Allgemein!E77)</f>
        <v>- -</v>
      </c>
      <c r="AG98" s="1263" t="str" cm="1">
        <f t="array" ref="AG98">_xlfn.IFS(AH95&lt;=30,"A+",AND(30&lt;=AH95,AH95&lt;50),"A",AND(50&lt;=AH95,AH95&lt;75),"B",AND(75&lt;=AH95,AH95&lt;100),"C",AND(100&lt;=AH95,AH95&lt;130),"D",AND(130&lt;=AH95,AH95&lt;160),"E",AND(160&lt;=AH95,AH95&lt;200),"F",AND(200&lt;=AH95,AH95&lt;250),"G",AH95&gt;=250,"H")</f>
        <v>A+</v>
      </c>
      <c r="AH98" s="1264" t="e">
        <f>Datenbank!AN331</f>
        <v>#DIV/0!</v>
      </c>
      <c r="AJ98" s="1071" t="str">
        <f>Allgemein!C88</f>
        <v>Nicht ausgefüllt</v>
      </c>
      <c r="AK98" s="118"/>
      <c r="AL98" s="118"/>
      <c r="AM98" s="118"/>
      <c r="AN98" s="118"/>
      <c r="DC98" s="118"/>
      <c r="DD98" s="118"/>
      <c r="DE98" s="118"/>
      <c r="DF98" s="118"/>
      <c r="DG98" s="118"/>
      <c r="DK98" s="118"/>
      <c r="DL98" s="118"/>
      <c r="EH98" s="118"/>
      <c r="EI98" s="118"/>
      <c r="EJ98" s="118"/>
      <c r="EK98" s="118"/>
      <c r="EL98" s="118"/>
      <c r="EM98" s="118"/>
      <c r="EN98" s="118"/>
      <c r="EO98" s="118"/>
      <c r="EP98" s="119"/>
    </row>
    <row r="99" spans="23:151" ht="25.2" customHeight="1">
      <c r="W99" s="617"/>
      <c r="AC99" s="603" t="s">
        <v>72</v>
      </c>
      <c r="AL99" s="118"/>
      <c r="AM99" s="118"/>
      <c r="AN99" s="118"/>
      <c r="DB99" s="118"/>
      <c r="DD99" s="118"/>
      <c r="DE99" s="118"/>
      <c r="DF99" s="118"/>
      <c r="DG99" s="118"/>
      <c r="DK99" s="118"/>
      <c r="DL99" s="118"/>
      <c r="EH99" s="118"/>
      <c r="EI99" s="118"/>
      <c r="EJ99" s="118"/>
      <c r="EK99" s="118"/>
      <c r="EL99" s="118"/>
      <c r="EM99" s="118"/>
      <c r="EN99" s="118"/>
      <c r="EO99" s="118"/>
      <c r="EP99" s="119"/>
    </row>
    <row r="100" spans="23:151" ht="25.2" customHeight="1">
      <c r="W100" s="617"/>
      <c r="AC100" s="2" t="str">
        <f>_xlfn.TEXTJOIN(" ",,Allgemein!C78,Allgemein!D78,IF(Allgemein!E78="",,"+"),Allgemein!E78)</f>
        <v>-</v>
      </c>
      <c r="AL100" s="118"/>
      <c r="AM100" s="118"/>
      <c r="AN100" s="118"/>
      <c r="CB100" s="165"/>
      <c r="CF100" s="165"/>
      <c r="DC100" s="118"/>
      <c r="DD100" s="118"/>
      <c r="DE100" s="118"/>
      <c r="DF100" s="118"/>
      <c r="DG100" s="118"/>
      <c r="DK100" s="118"/>
      <c r="DL100" s="118"/>
      <c r="EH100" s="597"/>
      <c r="EI100" s="597"/>
      <c r="EJ100" s="597"/>
      <c r="EK100" s="597"/>
      <c r="EL100" s="597"/>
      <c r="EM100" s="597"/>
      <c r="EN100" s="597"/>
      <c r="EO100" s="597"/>
      <c r="EP100" s="597"/>
      <c r="EQ100" s="597"/>
      <c r="ER100" s="597"/>
      <c r="ES100" s="597"/>
      <c r="ET100" s="597"/>
      <c r="EU100" s="597"/>
    </row>
    <row r="101" spans="23:151" ht="25.2" customHeight="1">
      <c r="W101" s="617"/>
      <c r="AC101" s="603" t="s">
        <v>1172</v>
      </c>
      <c r="AI101" s="118"/>
      <c r="AJ101" s="118"/>
      <c r="AK101" s="118"/>
      <c r="AL101" s="118"/>
      <c r="AM101" s="118"/>
      <c r="AN101" s="118"/>
      <c r="AS101" s="21"/>
      <c r="AT101" s="21"/>
      <c r="AU101" s="21"/>
      <c r="AV101" s="21"/>
      <c r="AW101" s="21"/>
      <c r="DC101" s="118"/>
      <c r="DD101" s="118"/>
      <c r="DE101" s="118"/>
      <c r="DF101" s="118"/>
      <c r="DG101" s="118"/>
      <c r="DK101" s="118"/>
      <c r="DL101" s="118"/>
      <c r="EH101" s="597"/>
      <c r="EI101" s="597"/>
      <c r="EJ101" s="597"/>
      <c r="EK101" s="597"/>
      <c r="EL101" s="597"/>
      <c r="EM101" s="597"/>
      <c r="EN101" s="597"/>
      <c r="EO101" s="597"/>
      <c r="EP101" s="597"/>
      <c r="EQ101" s="597"/>
      <c r="ER101" s="597"/>
      <c r="ES101" s="597"/>
      <c r="ET101" s="597"/>
      <c r="EU101" s="597"/>
    </row>
    <row r="102" spans="23:151" ht="25.2" customHeight="1">
      <c r="AC102" s="2" t="str">
        <f>_xlfn.TEXTJOIN(" ",,Allgemein!C79,Allgemein!D79,IF(Allgemein!E79="",,"+"),Allgemein!E79," / ",Allgemein!C80,Allgemein!D80,IF(Allgemein!E80="",,"+"),Allgemein!E80)</f>
        <v>- -  /  - -</v>
      </c>
      <c r="AI102" s="118"/>
      <c r="AJ102" s="118"/>
      <c r="AK102" s="118"/>
      <c r="AL102" s="118"/>
      <c r="AM102" s="118"/>
      <c r="AN102" s="118"/>
      <c r="CC102" s="165"/>
      <c r="DC102" s="118"/>
      <c r="DD102" s="118"/>
      <c r="DE102" s="118"/>
      <c r="DF102" s="118"/>
      <c r="DG102" s="118"/>
      <c r="DK102" s="118"/>
      <c r="DL102" s="118"/>
      <c r="EH102" s="597"/>
      <c r="EI102" s="597"/>
      <c r="EJ102" s="597"/>
      <c r="EK102" s="597"/>
      <c r="EL102" s="597"/>
      <c r="EM102" s="597"/>
      <c r="EN102" s="597"/>
      <c r="EO102" s="597"/>
      <c r="EP102" s="597"/>
      <c r="EQ102" s="597"/>
      <c r="ER102" s="597"/>
      <c r="ES102" s="597"/>
      <c r="ET102" s="597"/>
      <c r="EU102" s="597"/>
    </row>
    <row r="103" spans="23:151" ht="25.2" customHeight="1">
      <c r="AC103" s="603" t="s">
        <v>76</v>
      </c>
      <c r="DC103" s="118"/>
      <c r="DD103" s="118"/>
      <c r="DE103" s="118"/>
      <c r="DF103" s="118"/>
      <c r="DG103" s="118"/>
      <c r="DK103" s="118"/>
      <c r="DL103" s="118"/>
      <c r="EH103" s="597"/>
      <c r="EI103" s="597"/>
      <c r="EJ103" s="597"/>
      <c r="EK103" s="597"/>
      <c r="EL103" s="597"/>
      <c r="EM103" s="597"/>
      <c r="EN103" s="597"/>
      <c r="EO103" s="597"/>
      <c r="EP103" s="597"/>
      <c r="EQ103" s="597"/>
      <c r="ER103" s="597"/>
      <c r="ES103" s="597"/>
      <c r="ET103" s="597"/>
      <c r="EU103" s="597"/>
    </row>
    <row r="104" spans="23:151" ht="25.2" customHeight="1">
      <c r="AC104" s="2" t="str">
        <f>_xlfn.TEXTJOIN(" ",,Allgemein!C82,"+",Allgemein!D82,IF(Allgemein!E82="",,"+"),Allgemein!E82)</f>
        <v>+</v>
      </c>
      <c r="DC104" s="118"/>
      <c r="DD104" s="118"/>
      <c r="DE104" s="118"/>
      <c r="DF104" s="118"/>
      <c r="DG104" s="118"/>
      <c r="DK104" s="118"/>
      <c r="DL104" s="118"/>
      <c r="EH104" s="118"/>
      <c r="EI104" s="118"/>
      <c r="EJ104" s="118"/>
      <c r="EK104" s="118"/>
      <c r="EL104" s="118"/>
      <c r="EM104" s="118"/>
      <c r="EN104" s="118"/>
      <c r="EO104" s="118"/>
      <c r="EP104" s="119"/>
    </row>
    <row r="105" spans="23:151" ht="25.2" customHeight="1">
      <c r="AC105" s="603" t="s">
        <v>344</v>
      </c>
      <c r="DC105" s="118"/>
      <c r="DD105" s="118"/>
      <c r="DE105" s="118"/>
      <c r="DF105" s="118"/>
      <c r="DG105" s="118"/>
      <c r="DK105" s="118"/>
      <c r="DL105" s="118"/>
      <c r="DQ105" s="597"/>
      <c r="DR105" s="597"/>
      <c r="DS105" s="597"/>
      <c r="DT105" s="597"/>
      <c r="DU105" s="597"/>
      <c r="DV105" s="597"/>
      <c r="DW105" s="597"/>
      <c r="DX105" s="597"/>
      <c r="DY105" s="597"/>
      <c r="DZ105" s="597"/>
      <c r="EA105" s="597"/>
      <c r="EB105" s="597"/>
      <c r="EC105" s="597"/>
      <c r="ED105" s="597"/>
      <c r="EE105" s="597"/>
      <c r="EF105" s="597"/>
      <c r="EG105" s="597"/>
      <c r="EH105" s="118"/>
      <c r="EI105" s="118"/>
      <c r="EJ105" s="118"/>
      <c r="EK105" s="118"/>
      <c r="EL105" s="118"/>
      <c r="EM105" s="118"/>
      <c r="EN105" s="118"/>
      <c r="EO105" s="118"/>
      <c r="EP105" s="119"/>
    </row>
    <row r="106" spans="23:151" ht="25.2" customHeight="1">
      <c r="AC106" s="2" t="str">
        <f>_xlfn.TEXTJOIN(" ",TRUE,Allgemein!C83,"PV-Anlage","mit",Allgemein!D83,"Speichersystem",IF(Allgemein!E83="",,"+"),Allgemein!E83)</f>
        <v>- PV-Anlage mit - Speichersystem</v>
      </c>
      <c r="DC106" s="118"/>
      <c r="DD106" s="118"/>
      <c r="DE106" s="118"/>
      <c r="DF106" s="118"/>
      <c r="DG106" s="118"/>
      <c r="DK106" s="118"/>
      <c r="DL106" s="118"/>
      <c r="DQ106" s="597"/>
      <c r="DR106" s="597"/>
      <c r="DS106" s="597"/>
      <c r="DT106" s="597"/>
      <c r="DU106" s="597"/>
      <c r="DV106" s="597"/>
      <c r="DW106" s="597"/>
      <c r="DX106" s="597"/>
      <c r="DY106" s="597"/>
      <c r="DZ106" s="597"/>
      <c r="EA106" s="597"/>
      <c r="EB106" s="597"/>
      <c r="EC106" s="597"/>
      <c r="ED106" s="597"/>
      <c r="EE106" s="597"/>
      <c r="EF106" s="597"/>
      <c r="EG106" s="597"/>
      <c r="EH106" s="118"/>
      <c r="EI106" s="118"/>
      <c r="EJ106" s="118"/>
      <c r="EK106" s="118"/>
      <c r="EL106" s="118"/>
      <c r="EM106" s="118"/>
      <c r="EN106" s="118"/>
      <c r="EO106" s="118"/>
      <c r="EP106" s="119"/>
    </row>
    <row r="107" spans="23:151" ht="25.2" customHeight="1">
      <c r="AC107" s="603" t="s">
        <v>142</v>
      </c>
      <c r="DC107" s="118"/>
      <c r="DD107" s="118"/>
      <c r="DE107" s="118"/>
      <c r="DF107" s="118"/>
      <c r="DG107" s="118"/>
      <c r="DK107" s="118"/>
      <c r="DL107" s="118"/>
      <c r="DV107" s="118"/>
      <c r="DW107" s="118"/>
      <c r="DX107" s="118"/>
      <c r="DY107" s="118"/>
      <c r="DZ107" s="118"/>
      <c r="EA107" s="118"/>
      <c r="EB107" s="118"/>
      <c r="EC107" s="118"/>
      <c r="ED107" s="118"/>
      <c r="EE107" s="118"/>
      <c r="EF107" s="118"/>
      <c r="EG107" s="118"/>
      <c r="EH107" s="118"/>
      <c r="EI107" s="118"/>
      <c r="EJ107" s="118"/>
      <c r="EK107" s="118"/>
      <c r="EL107" s="118"/>
      <c r="EM107" s="118"/>
      <c r="EN107" s="118"/>
      <c r="EO107" s="118"/>
      <c r="EP107" s="119"/>
    </row>
    <row r="108" spans="23:151" ht="25.2" customHeight="1">
      <c r="AC108" s="2" t="str">
        <f>_xlfn.TEXTJOIN(" ",,IF(Allgemein!C84="Dezentrale Lüftungsanlage",_xlfn.TEXTJOIN(" ",TRUE,Allgemein!C84,"("&amp;Allgemein!D84,")"),Allgemein!C84),IF(Allgemein!E84="",,"+"),Allgemein!E84)</f>
        <v>-</v>
      </c>
      <c r="DC108" s="118"/>
      <c r="DD108" s="118"/>
      <c r="DE108" s="118"/>
      <c r="DF108" s="118"/>
      <c r="DG108" s="118"/>
      <c r="DK108" s="118"/>
      <c r="DL108" s="118"/>
      <c r="DQ108"/>
      <c r="DX108" s="118"/>
      <c r="DY108" s="118"/>
      <c r="DZ108" s="118"/>
      <c r="EA108" s="118"/>
      <c r="EB108" s="118"/>
      <c r="EC108" s="118"/>
      <c r="ED108" s="118"/>
      <c r="EE108" s="118"/>
      <c r="EF108" s="118"/>
      <c r="EG108" s="118"/>
      <c r="EH108" s="118"/>
      <c r="EI108" s="118"/>
      <c r="EJ108" s="118"/>
      <c r="EK108" s="118"/>
      <c r="EL108" s="118"/>
      <c r="EM108" s="118"/>
      <c r="EN108" s="118"/>
      <c r="EO108" s="118"/>
      <c r="EP108" s="119"/>
    </row>
    <row r="109" spans="23:151" ht="25.2" customHeight="1">
      <c r="AC109" s="603"/>
      <c r="DC109" s="118"/>
      <c r="DD109" s="118"/>
      <c r="DE109" s="118"/>
      <c r="DF109" s="118"/>
      <c r="DG109" s="118"/>
      <c r="DK109" s="118"/>
      <c r="DL109" s="118"/>
      <c r="DQ109"/>
      <c r="DR109"/>
      <c r="DY109" s="118"/>
      <c r="DZ109" s="118"/>
      <c r="EA109" s="118"/>
      <c r="EB109" s="118"/>
      <c r="EC109" s="118"/>
      <c r="ED109" s="118"/>
      <c r="EE109" s="118"/>
      <c r="EF109" s="118"/>
      <c r="EG109" s="118"/>
      <c r="EH109" s="118"/>
      <c r="EI109" s="118"/>
      <c r="EJ109" s="118"/>
      <c r="EK109" s="118"/>
      <c r="EL109" s="118"/>
      <c r="EM109" s="118"/>
      <c r="EN109" s="118"/>
      <c r="EO109" s="118"/>
      <c r="EP109" s="119"/>
    </row>
    <row r="110" spans="23:151" ht="25.2" customHeight="1">
      <c r="DC110" s="118"/>
      <c r="DD110" s="118"/>
      <c r="DE110" s="118"/>
      <c r="DF110" s="118"/>
      <c r="DG110" s="118"/>
      <c r="DK110" s="118"/>
      <c r="DL110" s="118"/>
      <c r="DQ110"/>
      <c r="DR110"/>
      <c r="DX110" s="118"/>
      <c r="DY110" s="118"/>
      <c r="DZ110" s="118"/>
      <c r="EA110" s="118"/>
      <c r="EB110" s="118"/>
      <c r="EC110" s="118"/>
      <c r="ED110" s="118"/>
      <c r="EE110" s="118"/>
      <c r="EF110" s="118"/>
      <c r="EG110" s="118"/>
      <c r="EH110" s="118"/>
      <c r="EI110" s="118"/>
      <c r="EJ110" s="118"/>
      <c r="EK110" s="118"/>
      <c r="EL110" s="118"/>
      <c r="EM110" s="118"/>
      <c r="EN110" s="118"/>
      <c r="EO110" s="118"/>
      <c r="EP110" s="119"/>
    </row>
    <row r="111" spans="23:151" ht="25.2" customHeight="1">
      <c r="DC111" s="118"/>
      <c r="DD111" s="118"/>
      <c r="DE111" s="118"/>
      <c r="DF111" s="118"/>
      <c r="DG111" s="118"/>
      <c r="DK111" s="118"/>
      <c r="DL111" s="118"/>
      <c r="DQ111"/>
      <c r="DY111" s="118"/>
      <c r="DZ111" s="118"/>
      <c r="EA111" s="118"/>
      <c r="EB111" s="118"/>
      <c r="EC111" s="118"/>
      <c r="ED111" s="118"/>
      <c r="EE111" s="118"/>
      <c r="EF111" s="118"/>
      <c r="EG111" s="118"/>
      <c r="EH111" s="118"/>
      <c r="EI111" s="118"/>
      <c r="EJ111" s="118"/>
      <c r="EK111" s="118"/>
      <c r="EL111" s="118"/>
      <c r="EM111" s="118"/>
      <c r="EN111" s="118"/>
      <c r="EO111" s="118"/>
      <c r="EP111" s="119"/>
    </row>
    <row r="112" spans="23:151" ht="25.2" customHeight="1">
      <c r="DC112" s="118"/>
      <c r="DD112" s="118"/>
      <c r="DE112" s="118"/>
      <c r="DF112" s="118"/>
      <c r="DG112" s="118"/>
      <c r="DK112" s="118"/>
      <c r="DL112" s="118"/>
      <c r="DQ112"/>
      <c r="DX112" s="118"/>
      <c r="DY112" s="118"/>
      <c r="DZ112" s="118"/>
      <c r="EA112" s="118"/>
      <c r="EB112" s="118"/>
      <c r="EC112" s="118"/>
      <c r="ED112" s="118"/>
      <c r="EE112" s="118"/>
      <c r="EF112" s="118"/>
      <c r="EG112" s="118"/>
      <c r="EH112" s="118"/>
      <c r="EI112" s="118"/>
      <c r="EJ112" s="118"/>
      <c r="EK112" s="118"/>
      <c r="EL112" s="118"/>
      <c r="EM112" s="118"/>
      <c r="EN112" s="118"/>
      <c r="EO112" s="118"/>
      <c r="EP112" s="119"/>
    </row>
    <row r="113" spans="34:146" ht="25.2" customHeight="1">
      <c r="DC113" s="118"/>
      <c r="DD113" s="118"/>
      <c r="DE113" s="118"/>
      <c r="DF113" s="118"/>
      <c r="DG113" s="118"/>
      <c r="DK113" s="118"/>
      <c r="DL113" s="118"/>
      <c r="DQ113"/>
      <c r="DS113"/>
      <c r="DV113"/>
      <c r="DW113"/>
      <c r="DX113" s="118"/>
      <c r="DY113" s="118"/>
      <c r="DZ113" s="118"/>
      <c r="EA113" s="118"/>
      <c r="EB113" s="118"/>
      <c r="EC113" s="118"/>
      <c r="ED113" s="118"/>
      <c r="EE113" s="118"/>
      <c r="EF113" s="118"/>
      <c r="EG113" s="118"/>
      <c r="EH113" s="118"/>
      <c r="EI113" s="118"/>
      <c r="EJ113" s="118"/>
      <c r="EK113" s="118"/>
      <c r="EL113" s="118"/>
      <c r="EM113" s="118"/>
      <c r="EN113" s="118"/>
      <c r="EO113" s="118"/>
      <c r="EP113" s="119"/>
    </row>
    <row r="114" spans="34:146" ht="25.2" customHeight="1">
      <c r="DF114" s="118"/>
      <c r="DG114" s="118"/>
      <c r="DH114" s="118"/>
      <c r="DI114" s="118"/>
      <c r="DJ114" s="118"/>
      <c r="DK114" s="118"/>
      <c r="DL114" s="118"/>
      <c r="DQ114"/>
      <c r="DR114"/>
      <c r="DS114"/>
      <c r="DT114"/>
      <c r="DU114"/>
      <c r="DV114"/>
      <c r="DW114"/>
      <c r="DX114" s="118"/>
      <c r="DY114" s="118"/>
      <c r="DZ114" s="118"/>
      <c r="EA114" s="118"/>
      <c r="EB114" s="118"/>
      <c r="EC114" s="118"/>
      <c r="ED114" s="118"/>
      <c r="EE114" s="118"/>
      <c r="EF114" s="118"/>
      <c r="EG114" s="118"/>
      <c r="EH114" s="118"/>
      <c r="EI114" s="118"/>
      <c r="EK114" s="118"/>
      <c r="EL114" s="118"/>
      <c r="EM114" s="118"/>
      <c r="EN114" s="118"/>
      <c r="EO114" s="118"/>
      <c r="EP114" s="119"/>
    </row>
    <row r="115" spans="34:146" ht="25.2" customHeight="1">
      <c r="DF115" s="118"/>
      <c r="DG115" s="118"/>
      <c r="DH115" s="118"/>
      <c r="DI115" s="118"/>
      <c r="DJ115" s="118"/>
      <c r="DK115" s="118"/>
      <c r="DL115" s="118"/>
      <c r="DQ115" s="118"/>
      <c r="DR115" s="118"/>
      <c r="DS115" s="118"/>
      <c r="DT115" s="118"/>
      <c r="DV115" s="118"/>
      <c r="DW115" s="118"/>
      <c r="DX115" s="118"/>
      <c r="DY115" s="118"/>
      <c r="DZ115" s="118"/>
      <c r="EA115" s="118"/>
      <c r="EB115" s="118"/>
      <c r="EC115" s="118"/>
      <c r="ED115" s="118"/>
      <c r="EE115" s="118"/>
      <c r="EF115" s="118"/>
      <c r="EG115" s="118"/>
      <c r="EH115" s="118"/>
      <c r="EI115" s="118"/>
      <c r="EJ115" s="118"/>
      <c r="EK115" s="118"/>
      <c r="EL115" s="118"/>
      <c r="EM115" s="118"/>
      <c r="EN115" s="118"/>
      <c r="EO115" s="118"/>
      <c r="EP115" s="119"/>
    </row>
    <row r="116" spans="34:146" ht="25.2" customHeight="1">
      <c r="DF116" s="118"/>
      <c r="DG116" s="118"/>
      <c r="DH116" s="118"/>
      <c r="DI116" s="118"/>
      <c r="DJ116" s="118"/>
      <c r="DK116" s="118"/>
      <c r="DL116" s="118"/>
      <c r="DQ116" s="118"/>
      <c r="DR116" s="118"/>
      <c r="DS116" s="118"/>
      <c r="DT116" s="118"/>
      <c r="DU116" s="118"/>
      <c r="DV116" s="118"/>
      <c r="DW116" s="118"/>
      <c r="DX116" s="118"/>
      <c r="DY116" s="118"/>
      <c r="DZ116" s="118"/>
      <c r="EA116" s="118"/>
      <c r="EB116" s="118"/>
      <c r="EC116" s="118"/>
      <c r="ED116" s="118"/>
      <c r="EE116" s="118"/>
      <c r="EF116" s="118"/>
      <c r="EG116" s="118"/>
      <c r="EH116" s="118"/>
      <c r="EI116" s="118"/>
      <c r="EJ116" s="118"/>
      <c r="EK116" s="118"/>
      <c r="EL116" s="118"/>
      <c r="EM116" s="118"/>
      <c r="EN116" s="118"/>
      <c r="EO116" s="118"/>
      <c r="EP116" s="119"/>
    </row>
    <row r="117" spans="34:146" ht="25.2" customHeight="1">
      <c r="AH117" s="604"/>
      <c r="DF117" s="118"/>
      <c r="DG117" s="118"/>
      <c r="DH117" s="118"/>
      <c r="DI117" s="118"/>
      <c r="DJ117" s="118"/>
      <c r="DK117" s="118"/>
      <c r="DL117" s="118"/>
      <c r="DQ117" s="118"/>
      <c r="DR117" s="118"/>
      <c r="DS117" s="118"/>
      <c r="DT117" s="118"/>
      <c r="DU117" s="118"/>
      <c r="DV117" s="118"/>
      <c r="DW117" s="118"/>
      <c r="DX117" s="118"/>
      <c r="DY117" s="118"/>
      <c r="DZ117" s="118"/>
      <c r="EA117" s="118"/>
      <c r="EB117" s="118"/>
      <c r="EC117" s="118"/>
      <c r="ED117" s="118"/>
      <c r="EE117" s="118"/>
      <c r="EF117" s="118"/>
      <c r="EG117" s="118"/>
      <c r="EH117" s="118"/>
      <c r="EI117" s="118"/>
      <c r="EJ117" s="118"/>
      <c r="EK117" s="118"/>
      <c r="EL117" s="118"/>
      <c r="EM117" s="118"/>
      <c r="EN117" s="118"/>
      <c r="EO117" s="118"/>
      <c r="EP117" s="119"/>
    </row>
    <row r="118" spans="34:146" ht="25.2" customHeight="1">
      <c r="DF118" s="118"/>
      <c r="DG118" s="118"/>
      <c r="DH118" s="118"/>
      <c r="DI118" s="118"/>
      <c r="DJ118" s="118"/>
      <c r="DK118" s="118"/>
      <c r="DL118" s="118"/>
      <c r="DQ118" s="118"/>
      <c r="DR118" s="118"/>
      <c r="DS118" s="118"/>
      <c r="DT118" s="118"/>
      <c r="DU118" s="118"/>
      <c r="DV118" s="118"/>
      <c r="DW118" s="118"/>
      <c r="DX118" s="118"/>
      <c r="DY118" s="118"/>
      <c r="DZ118" s="118"/>
      <c r="EA118" s="118"/>
      <c r="EB118" s="118"/>
      <c r="EC118" s="118"/>
      <c r="ED118" s="118"/>
      <c r="EE118" s="118"/>
      <c r="EF118" s="118"/>
      <c r="EG118" s="118"/>
      <c r="EH118" s="118"/>
      <c r="EI118" s="118"/>
      <c r="EJ118" s="118"/>
      <c r="EK118" s="118"/>
      <c r="EL118" s="118"/>
      <c r="EM118" s="118"/>
      <c r="EN118" s="118"/>
      <c r="EO118" s="118"/>
      <c r="EP118" s="119"/>
    </row>
    <row r="119" spans="34:146" ht="25.2" customHeight="1">
      <c r="DF119" s="118"/>
      <c r="DG119" s="118"/>
      <c r="DH119" s="118"/>
      <c r="DI119" s="118"/>
      <c r="DJ119" s="118"/>
      <c r="DK119" s="118"/>
      <c r="DL119" s="118"/>
      <c r="DQ119" s="118"/>
      <c r="DR119" s="118"/>
      <c r="DS119" s="118"/>
      <c r="DT119" s="118"/>
      <c r="DU119" s="118"/>
      <c r="DV119" s="118"/>
      <c r="DW119" s="118"/>
      <c r="DX119" s="118"/>
      <c r="DY119" s="118"/>
      <c r="DZ119" s="118"/>
      <c r="EA119" s="118"/>
      <c r="EB119" s="118"/>
      <c r="EC119" s="118"/>
      <c r="ED119" s="118"/>
      <c r="EE119" s="118"/>
      <c r="EF119" s="118"/>
      <c r="EG119" s="118"/>
      <c r="EH119" s="118"/>
      <c r="EI119" s="118"/>
      <c r="EJ119" s="118"/>
      <c r="EK119" s="118"/>
      <c r="EL119" s="118"/>
      <c r="EM119" s="118"/>
      <c r="EN119" s="118"/>
      <c r="EO119" s="118"/>
      <c r="EP119" s="119"/>
    </row>
    <row r="120" spans="34:146" ht="25.2" customHeight="1">
      <c r="DF120" s="118"/>
      <c r="DG120" s="118"/>
      <c r="DH120" s="118"/>
      <c r="DI120" s="118"/>
      <c r="DJ120" s="118"/>
      <c r="DK120" s="118"/>
      <c r="DL120" s="118"/>
      <c r="EH120" s="118"/>
      <c r="EI120" s="118"/>
      <c r="EJ120" s="118"/>
      <c r="EK120" s="118"/>
      <c r="EL120" s="118"/>
      <c r="EM120" s="118"/>
      <c r="EN120" s="118"/>
      <c r="EO120" s="118"/>
      <c r="EP120" s="119"/>
    </row>
    <row r="121" spans="34:146" ht="25.2" customHeight="1">
      <c r="DF121" s="118"/>
      <c r="DG121" s="118"/>
      <c r="DH121" s="118"/>
      <c r="DI121" s="118"/>
      <c r="DJ121" s="118"/>
      <c r="DK121" s="118"/>
      <c r="DL121" s="118"/>
      <c r="EH121" s="118"/>
      <c r="EI121" s="118"/>
      <c r="EJ121" s="118"/>
      <c r="EK121" s="118"/>
      <c r="EL121" s="118"/>
      <c r="EM121" s="118"/>
      <c r="EN121" s="118"/>
      <c r="EO121" s="118"/>
      <c r="EP121" s="119"/>
    </row>
    <row r="122" spans="34:146" ht="25.2" customHeight="1">
      <c r="DF122" s="118"/>
      <c r="DG122" s="118"/>
      <c r="DH122" s="118"/>
      <c r="DI122" s="118"/>
      <c r="DJ122" s="118"/>
      <c r="DK122" s="118"/>
      <c r="DL122" s="118"/>
      <c r="EH122" s="118"/>
      <c r="EI122" s="118"/>
      <c r="EJ122" s="118"/>
      <c r="EK122" s="118"/>
      <c r="EL122" s="118"/>
      <c r="EM122" s="118"/>
      <c r="EN122" s="118"/>
      <c r="EO122" s="118"/>
      <c r="EP122" s="119"/>
    </row>
    <row r="123" spans="34:146" ht="25.2" customHeight="1">
      <c r="DF123" s="118"/>
      <c r="DG123" s="118"/>
      <c r="DH123" s="118"/>
      <c r="DI123" s="118"/>
      <c r="DJ123" s="118"/>
      <c r="DK123" s="118"/>
      <c r="DL123" s="118"/>
      <c r="EH123" s="118"/>
      <c r="EI123" s="118"/>
      <c r="EJ123" s="118"/>
      <c r="EK123" s="118"/>
      <c r="EL123" s="118"/>
      <c r="EM123" s="118"/>
      <c r="EN123" s="118"/>
      <c r="EO123" s="118"/>
      <c r="EP123" s="119"/>
    </row>
    <row r="124" spans="34:146" ht="25.2" customHeight="1">
      <c r="DF124" s="118"/>
      <c r="DG124" s="118"/>
      <c r="DH124" s="118"/>
      <c r="DI124" s="118"/>
      <c r="DJ124" s="118"/>
      <c r="DK124" s="118"/>
      <c r="DL124" s="118"/>
      <c r="EH124" s="118"/>
      <c r="EI124" s="118"/>
      <c r="EJ124" s="118"/>
      <c r="EK124" s="118"/>
      <c r="EL124" s="118"/>
      <c r="EM124" s="118"/>
      <c r="EN124" s="118"/>
      <c r="EO124" s="118"/>
      <c r="EP124" s="119"/>
    </row>
    <row r="125" spans="34:146" ht="25.2" customHeight="1">
      <c r="DF125" s="118"/>
      <c r="DG125" s="118"/>
      <c r="DH125" s="118"/>
      <c r="DI125" s="118"/>
      <c r="DJ125" s="118"/>
      <c r="DK125" s="118"/>
      <c r="DL125" s="118"/>
      <c r="EH125" s="118"/>
      <c r="EI125" s="118"/>
      <c r="EJ125" s="118"/>
      <c r="EK125" s="118"/>
      <c r="EL125" s="118"/>
      <c r="EM125" s="118"/>
      <c r="EN125" s="118"/>
      <c r="EO125" s="118"/>
      <c r="EP125" s="119"/>
    </row>
    <row r="126" spans="34:146" ht="25.2" customHeight="1">
      <c r="DF126" s="118"/>
      <c r="DG126" s="118"/>
      <c r="DH126" s="118"/>
      <c r="DI126" s="118"/>
      <c r="DJ126" s="118"/>
      <c r="DK126" s="118"/>
      <c r="DL126" s="118"/>
      <c r="EH126" s="118"/>
      <c r="EI126" s="118"/>
      <c r="EJ126" s="118"/>
      <c r="EK126" s="118"/>
      <c r="EL126" s="118"/>
      <c r="EM126" s="118"/>
      <c r="EN126" s="118"/>
      <c r="EO126" s="118"/>
      <c r="EP126" s="119"/>
    </row>
    <row r="127" spans="34:146" ht="25.2" customHeight="1">
      <c r="DF127" s="118"/>
      <c r="DG127" s="118"/>
      <c r="DH127" s="118"/>
      <c r="DI127" s="118"/>
      <c r="DJ127" s="118"/>
      <c r="DK127" s="118"/>
      <c r="DL127" s="118"/>
      <c r="EH127" s="118"/>
      <c r="EI127" s="118"/>
      <c r="EJ127" s="118"/>
      <c r="EK127" s="118"/>
      <c r="EL127" s="118"/>
      <c r="EM127" s="118"/>
      <c r="EN127" s="118"/>
      <c r="EO127" s="118"/>
      <c r="EP127" s="119"/>
    </row>
    <row r="128" spans="34:146" ht="25.2" customHeight="1"/>
    <row r="129" spans="7:84" ht="25.2" customHeight="1"/>
    <row r="130" spans="7:84" ht="25.2" customHeight="1"/>
    <row r="131" spans="7:84" ht="25.2" customHeight="1"/>
    <row r="132" spans="7:84" ht="25.2" customHeight="1"/>
    <row r="133" spans="7:84" ht="25.2" customHeight="1">
      <c r="CB133" s="165"/>
      <c r="CF133" s="165"/>
    </row>
    <row r="134" spans="7:84" ht="25.2" customHeight="1">
      <c r="CB134" s="165"/>
      <c r="CF134" s="165"/>
    </row>
    <row r="135" spans="7:84" ht="25.2" customHeight="1">
      <c r="CB135" s="165"/>
    </row>
    <row r="136" spans="7:84" ht="25.2" customHeight="1">
      <c r="CB136" s="165"/>
      <c r="CF136" s="165"/>
    </row>
    <row r="137" spans="7:84" ht="25.2" customHeight="1"/>
    <row r="138" spans="7:84" ht="25.2" customHeight="1">
      <c r="CC138" s="165"/>
    </row>
    <row r="139" spans="7:84" ht="25.2" customHeight="1"/>
    <row r="140" spans="7:84" ht="25.2" customHeight="1"/>
    <row r="141" spans="7:84" ht="25.2" customHeight="1"/>
    <row r="142" spans="7:84" ht="25.2" customHeight="1"/>
    <row r="143" spans="7:84" ht="25.2" customHeight="1"/>
    <row r="144" spans="7:84" ht="25.2" customHeight="1">
      <c r="G144" s="921"/>
    </row>
    <row r="145" spans="12:78" ht="25.2" customHeight="1">
      <c r="L145" s="184"/>
    </row>
    <row r="146" spans="12:78" ht="25.2" customHeight="1"/>
    <row r="147" spans="12:78" ht="25.2" customHeight="1">
      <c r="BZ147" s="165"/>
    </row>
    <row r="148" spans="12:78" ht="25.2" customHeight="1"/>
    <row r="149" spans="12:78" ht="25.2" customHeight="1">
      <c r="BW149" s="904"/>
      <c r="BX149" s="904"/>
    </row>
    <row r="150" spans="12:78" ht="25.2" customHeight="1">
      <c r="BW150" s="902"/>
      <c r="BX150" s="4"/>
    </row>
    <row r="151" spans="12:78" ht="25.2" customHeight="1">
      <c r="BV151" s="903"/>
      <c r="BW151" s="902"/>
      <c r="BX151" s="4"/>
    </row>
    <row r="152" spans="12:78" ht="25.2" customHeight="1">
      <c r="BV152" s="903"/>
      <c r="BW152" s="902"/>
      <c r="BX152" s="4"/>
    </row>
    <row r="153" spans="12:78" ht="25.2" customHeight="1">
      <c r="BV153" s="903"/>
      <c r="BW153" s="902"/>
      <c r="BX153" s="4"/>
    </row>
    <row r="154" spans="12:78" ht="25.2" customHeight="1">
      <c r="BX154" s="4"/>
    </row>
    <row r="155" spans="12:78" ht="25.2" customHeight="1">
      <c r="BV155" s="603"/>
      <c r="BW155" s="165"/>
    </row>
    <row r="156" spans="12:78" ht="25.2" customHeight="1">
      <c r="BV156" s="603"/>
    </row>
    <row r="157" spans="12:78" ht="25.2" customHeight="1">
      <c r="BV157" s="603"/>
    </row>
    <row r="158" spans="12:78" ht="25.2" customHeight="1">
      <c r="BV158" s="603"/>
    </row>
    <row r="159" spans="12:78" ht="25.2" customHeight="1">
      <c r="BV159" s="603"/>
    </row>
    <row r="160" spans="12:78" ht="25.2" customHeight="1">
      <c r="BV160" s="603"/>
    </row>
    <row r="161" spans="74:74" ht="25.2" customHeight="1">
      <c r="BV161" s="603"/>
    </row>
    <row r="162" spans="74:74" ht="25.2" customHeight="1"/>
    <row r="163" spans="74:74" ht="25.2" customHeight="1"/>
    <row r="164" spans="74:74" ht="25.2" customHeight="1"/>
    <row r="165" spans="74:74" ht="25.2" customHeight="1"/>
    <row r="166" spans="74:74" ht="25.2" customHeight="1"/>
    <row r="167" spans="74:74" ht="25.2" customHeight="1"/>
    <row r="168" spans="74:74" ht="25.2" customHeight="1"/>
    <row r="169" spans="74:74" ht="25.2" customHeight="1"/>
    <row r="170" spans="74:74" ht="25.2" customHeight="1"/>
    <row r="171" spans="74:74" ht="25.2" customHeight="1"/>
    <row r="172" spans="74:74" ht="25.2" customHeight="1"/>
    <row r="173" spans="74:74" ht="25.2" customHeight="1"/>
    <row r="174" spans="74:74" ht="25.2" customHeight="1"/>
    <row r="175" spans="74:74" ht="25.2" customHeight="1"/>
    <row r="176" spans="74:74" ht="25.2" customHeight="1"/>
    <row r="177" ht="25.2" customHeight="1"/>
    <row r="178" ht="25.2" customHeight="1"/>
    <row r="179" ht="25.2" customHeight="1"/>
    <row r="180" ht="25.2" customHeight="1"/>
    <row r="181" ht="25.2" customHeight="1"/>
    <row r="182" ht="25.2" customHeight="1"/>
    <row r="183" ht="25.2" customHeight="1"/>
    <row r="184" ht="25.2" customHeight="1"/>
    <row r="185" ht="25.2" customHeight="1"/>
    <row r="186" ht="25.2" customHeight="1"/>
    <row r="187" ht="25.2" customHeight="1"/>
    <row r="188" ht="25.2" customHeight="1"/>
    <row r="189" ht="25.2" customHeight="1"/>
    <row r="190" ht="25.2" customHeight="1"/>
    <row r="191" ht="25.2" customHeight="1"/>
    <row r="192" ht="25.2" customHeight="1"/>
    <row r="193" spans="62:84" ht="25.2" customHeight="1"/>
    <row r="194" spans="62:84" ht="25.2" customHeight="1"/>
    <row r="195" spans="62:84" ht="25.2" customHeight="1"/>
    <row r="196" spans="62:84" ht="25.2" customHeight="1"/>
    <row r="197" spans="62:84" ht="25.2" customHeight="1">
      <c r="CF197" s="118"/>
    </row>
    <row r="198" spans="62:84" ht="25.2" customHeight="1">
      <c r="CF198" s="118"/>
    </row>
    <row r="199" spans="62:84" ht="25.2" customHeight="1"/>
    <row r="200" spans="62:84" ht="25.2" customHeight="1">
      <c r="BJ200" s="3"/>
      <c r="BK200"/>
      <c r="BL200"/>
      <c r="BM200"/>
      <c r="BN200"/>
    </row>
    <row r="201" spans="62:84" ht="25.2" customHeight="1">
      <c r="BJ201"/>
      <c r="BK201"/>
      <c r="BL201"/>
      <c r="BM201"/>
      <c r="BN201"/>
    </row>
    <row r="202" spans="62:84" ht="25.2" customHeight="1">
      <c r="BJ202"/>
      <c r="BK202"/>
      <c r="BL202"/>
      <c r="BM202"/>
      <c r="BN202"/>
    </row>
    <row r="203" spans="62:84" ht="25.2" customHeight="1">
      <c r="BJ203"/>
      <c r="BN203"/>
      <c r="CD203" s="118"/>
      <c r="CE203" s="118"/>
      <c r="CF203" s="118"/>
    </row>
    <row r="204" spans="62:84" ht="25.2" customHeight="1">
      <c r="BJ204"/>
      <c r="BM204"/>
      <c r="BN204"/>
      <c r="CD204" s="118"/>
      <c r="CE204" s="118"/>
      <c r="CF204" s="118"/>
    </row>
    <row r="205" spans="62:84" ht="25.2" customHeight="1"/>
    <row r="206" spans="62:84" ht="25.2" customHeight="1"/>
    <row r="207" spans="62:84" ht="25.2" customHeight="1"/>
    <row r="208" spans="62:84" ht="25.2" customHeight="1"/>
    <row r="209" ht="25.2" customHeight="1"/>
    <row r="210" ht="25.2" customHeight="1"/>
    <row r="211" ht="25.2" customHeight="1"/>
    <row r="212" ht="25.2" customHeight="1"/>
    <row r="213" ht="25.2" customHeight="1"/>
    <row r="214" ht="25.2" customHeight="1"/>
    <row r="215" ht="25.2" customHeight="1"/>
    <row r="216" ht="25.2" customHeight="1"/>
    <row r="217" ht="25.2" customHeight="1"/>
    <row r="218" ht="25.2" customHeight="1"/>
    <row r="219" ht="25.2" customHeight="1"/>
    <row r="220" ht="25.2" customHeight="1"/>
    <row r="221" ht="25.2" customHeight="1"/>
    <row r="222" ht="25.2" customHeight="1"/>
    <row r="223" ht="25.2" customHeight="1"/>
    <row r="224" ht="25.2" customHeight="1"/>
    <row r="225" ht="25.2" customHeight="1"/>
    <row r="226" ht="25.2" customHeight="1"/>
    <row r="227" ht="25.2" customHeight="1"/>
    <row r="228" ht="25.2" customHeight="1"/>
    <row r="229" ht="25.2" customHeight="1"/>
    <row r="230" ht="25.2" customHeight="1"/>
    <row r="231" ht="25.2" customHeight="1"/>
    <row r="232" ht="25.2" customHeight="1"/>
    <row r="233" ht="25.2" customHeight="1"/>
    <row r="234" ht="25.2" customHeight="1"/>
    <row r="235" ht="25.2" customHeight="1"/>
    <row r="236" ht="25.2" customHeight="1"/>
    <row r="237" ht="25.2" customHeight="1"/>
    <row r="238" ht="25.2" customHeight="1"/>
    <row r="239" ht="25.2" customHeight="1"/>
    <row r="240" ht="25.2" customHeight="1"/>
    <row r="241" ht="25.2" customHeight="1"/>
    <row r="262" spans="65:84">
      <c r="CD262" s="617"/>
      <c r="CE262" s="617"/>
      <c r="CF262" s="617"/>
    </row>
    <row r="263" spans="65:84">
      <c r="CD263" s="617"/>
      <c r="CE263" s="617"/>
      <c r="CF263" s="617"/>
    </row>
    <row r="264" spans="65:84" ht="32.4">
      <c r="BM264" s="118"/>
      <c r="BN264" s="118"/>
      <c r="CD264" s="617"/>
      <c r="CE264" s="617"/>
      <c r="CF264" s="617"/>
    </row>
    <row r="265" spans="65:84" ht="32.4">
      <c r="BM265" s="118"/>
      <c r="BN265" s="118"/>
      <c r="CD265" s="617"/>
      <c r="CE265" s="617"/>
      <c r="CF265" s="617"/>
    </row>
    <row r="266" spans="65:84">
      <c r="CD266" s="617"/>
      <c r="CE266" s="617"/>
      <c r="CF266" s="617"/>
    </row>
    <row r="267" spans="65:84">
      <c r="CD267" s="617"/>
      <c r="CE267" s="617"/>
      <c r="CF267" s="617"/>
    </row>
    <row r="268" spans="65:84">
      <c r="CD268" s="617"/>
      <c r="CE268" s="617"/>
      <c r="CF268" s="617"/>
    </row>
    <row r="269" spans="65:84">
      <c r="CD269" s="617"/>
      <c r="CE269" s="617"/>
      <c r="CF269" s="617"/>
    </row>
    <row r="270" spans="65:84" ht="32.4">
      <c r="BM270" s="118"/>
      <c r="BN270" s="118"/>
      <c r="CD270" s="617"/>
      <c r="CE270" s="617"/>
      <c r="CF270" s="617"/>
    </row>
    <row r="271" spans="65:84" ht="32.4">
      <c r="BM271" s="118"/>
      <c r="BN271" s="118"/>
      <c r="CD271" s="617"/>
      <c r="CE271" s="617"/>
      <c r="CF271" s="617"/>
    </row>
    <row r="272" spans="65:84" ht="32.4">
      <c r="BM272" s="118"/>
      <c r="BN272" s="118"/>
      <c r="CD272" s="617"/>
      <c r="CE272" s="617"/>
      <c r="CF272" s="617"/>
    </row>
    <row r="273" spans="65:84" ht="32.4">
      <c r="BM273" s="118"/>
      <c r="BN273" s="118"/>
      <c r="CD273" s="617"/>
      <c r="CE273" s="617"/>
      <c r="CF273" s="617"/>
    </row>
    <row r="274" spans="65:84" ht="32.4">
      <c r="BM274" s="118"/>
      <c r="BN274" s="118"/>
      <c r="CD274" s="617"/>
      <c r="CE274" s="617"/>
      <c r="CF274" s="617"/>
    </row>
  </sheetData>
  <mergeCells count="15">
    <mergeCell ref="DC63:DK65"/>
    <mergeCell ref="B1:J2"/>
    <mergeCell ref="AF1:AN2"/>
    <mergeCell ref="BH1:BP2"/>
    <mergeCell ref="AC13:AD13"/>
    <mergeCell ref="AG13:AH13"/>
    <mergeCell ref="AL13:AM13"/>
    <mergeCell ref="AQ13:AR13"/>
    <mergeCell ref="DC53:DK55"/>
    <mergeCell ref="C17:E17"/>
    <mergeCell ref="G17:I17"/>
    <mergeCell ref="BL38:BM38"/>
    <mergeCell ref="BI38:BK38"/>
    <mergeCell ref="BI43:BJ43"/>
    <mergeCell ref="BL43:BM43"/>
  </mergeCells>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37512-3A33-4472-A184-F83F97BD4F2A}">
  <dimension ref="B1:AP532"/>
  <sheetViews>
    <sheetView showGridLines="0" zoomScale="55" zoomScaleNormal="55" workbookViewId="0">
      <selection activeCell="N29" sqref="N29"/>
    </sheetView>
  </sheetViews>
  <sheetFormatPr baseColWidth="10" defaultColWidth="11.5546875" defaultRowHeight="16.8"/>
  <cols>
    <col min="1" max="1" width="3.5546875" style="10" customWidth="1"/>
    <col min="2" max="2" width="30.6640625" style="10" customWidth="1"/>
    <col min="3" max="4" width="19.44140625" style="10" customWidth="1"/>
    <col min="5" max="5" width="22.44140625" style="10" customWidth="1"/>
    <col min="6" max="6" width="27.33203125" style="10" customWidth="1"/>
    <col min="7" max="7" width="15.5546875" style="10" customWidth="1"/>
    <col min="8" max="8" width="12" style="10" customWidth="1"/>
    <col min="9" max="9" width="13.44140625" style="10" customWidth="1"/>
    <col min="10" max="10" width="16.6640625" style="10" customWidth="1"/>
    <col min="11" max="11" width="16.33203125" style="10" customWidth="1"/>
    <col min="12" max="12" width="15.44140625" style="10" customWidth="1"/>
    <col min="13" max="13" width="17.5546875" style="10" customWidth="1"/>
    <col min="14" max="15" width="17" style="10" customWidth="1"/>
    <col min="16" max="16" width="24.44140625" style="10" customWidth="1"/>
    <col min="17" max="17" width="21" style="10" customWidth="1"/>
    <col min="18" max="18" width="28.5546875" style="10" customWidth="1"/>
    <col min="19" max="19" width="26.5546875" style="10" customWidth="1"/>
    <col min="20" max="20" width="18.44140625" style="10" customWidth="1"/>
    <col min="21" max="21" width="37.6640625" style="10" customWidth="1"/>
    <col min="22" max="22" width="26.33203125" style="10" customWidth="1"/>
    <col min="23" max="23" width="27.6640625" style="220" customWidth="1"/>
    <col min="24" max="24" width="26.6640625" style="220" customWidth="1"/>
    <col min="25" max="25" width="14.44140625" style="10" customWidth="1"/>
    <col min="26" max="26" width="14" style="10" customWidth="1"/>
    <col min="27" max="27" width="15.44140625" style="10" customWidth="1"/>
    <col min="28" max="16384" width="11.5546875" style="10"/>
  </cols>
  <sheetData>
    <row r="1" spans="2:32" ht="12" customHeight="1" thickBot="1">
      <c r="B1" s="217"/>
      <c r="C1" s="217"/>
      <c r="D1" s="217"/>
      <c r="E1" s="217"/>
      <c r="P1" s="217"/>
      <c r="Q1" s="217"/>
      <c r="R1" s="217"/>
      <c r="S1" s="217"/>
      <c r="T1" s="217"/>
    </row>
    <row r="2" spans="2:32" ht="33.75" customHeight="1" thickTop="1">
      <c r="B2" s="705" t="s">
        <v>0</v>
      </c>
      <c r="C2" s="1629">
        <f>Allgemein!C2</f>
        <v>0</v>
      </c>
      <c r="D2" s="1629"/>
      <c r="E2" s="1630"/>
      <c r="F2" s="1558" t="s">
        <v>646</v>
      </c>
      <c r="G2" s="1559"/>
      <c r="H2" s="1559"/>
      <c r="I2" s="1559"/>
      <c r="J2" s="1559"/>
      <c r="K2" s="1559"/>
      <c r="L2" s="1559"/>
      <c r="M2" s="1559"/>
      <c r="N2" s="1559"/>
      <c r="O2" s="1559"/>
      <c r="P2" s="1559"/>
      <c r="Q2" s="1559"/>
      <c r="R2" s="1559"/>
      <c r="S2" s="1559"/>
      <c r="T2" s="1560"/>
      <c r="U2" s="1550" t="e" vm="1">
        <v>#VALUE!</v>
      </c>
      <c r="V2" s="1550"/>
      <c r="W2" s="1550"/>
      <c r="X2" s="1551"/>
    </row>
    <row r="3" spans="2:32" ht="17.25" customHeight="1">
      <c r="B3" s="234" t="s">
        <v>4</v>
      </c>
      <c r="C3" s="1477">
        <f>Allgemein!C3</f>
        <v>0</v>
      </c>
      <c r="D3" s="1477"/>
      <c r="E3" s="1631"/>
      <c r="F3" s="200"/>
      <c r="G3" s="110"/>
      <c r="H3" s="110"/>
      <c r="I3" s="110"/>
      <c r="J3" s="110"/>
      <c r="K3" s="110"/>
      <c r="L3" s="110" t="s">
        <v>255</v>
      </c>
      <c r="M3" s="110"/>
      <c r="N3" s="110"/>
      <c r="O3" s="110"/>
      <c r="P3" s="110"/>
      <c r="Q3" s="110"/>
      <c r="R3" s="206"/>
      <c r="S3" s="110"/>
      <c r="T3" s="207"/>
      <c r="U3" s="1552"/>
      <c r="V3" s="1552"/>
      <c r="W3" s="1552"/>
      <c r="X3" s="1553"/>
    </row>
    <row r="4" spans="2:32" ht="17.25" customHeight="1">
      <c r="B4" s="234" t="s">
        <v>5</v>
      </c>
      <c r="C4" s="1477">
        <f>Allgemein!C4</f>
        <v>0</v>
      </c>
      <c r="D4" s="1477"/>
      <c r="E4" s="1631"/>
      <c r="F4" s="473" t="s">
        <v>256</v>
      </c>
      <c r="G4" s="376"/>
      <c r="H4" s="376"/>
      <c r="I4" s="376"/>
      <c r="J4" s="376"/>
      <c r="K4" s="376"/>
      <c r="L4" s="1632">
        <f>Allgemein!C95</f>
        <v>0</v>
      </c>
      <c r="M4" s="1632"/>
      <c r="N4" s="1632"/>
      <c r="O4" s="1632"/>
      <c r="P4" s="1632"/>
      <c r="Q4" s="1632"/>
      <c r="R4" s="1632"/>
      <c r="S4" s="474"/>
      <c r="T4" s="476"/>
      <c r="U4" s="1552"/>
      <c r="V4" s="1552"/>
      <c r="W4" s="1552"/>
      <c r="X4" s="1553"/>
    </row>
    <row r="5" spans="2:32" ht="17.25" customHeight="1">
      <c r="B5" s="234" t="s">
        <v>8</v>
      </c>
      <c r="C5" s="1477">
        <f>Allgemein!C5</f>
        <v>0</v>
      </c>
      <c r="D5" s="1477"/>
      <c r="E5" s="1631"/>
      <c r="F5" s="475" t="s">
        <v>257</v>
      </c>
      <c r="G5" s="1134"/>
      <c r="H5" s="1134"/>
      <c r="I5" s="1134"/>
      <c r="J5" s="1134"/>
      <c r="K5" s="110"/>
      <c r="L5" s="1636">
        <f>Allgemein!G95</f>
        <v>0</v>
      </c>
      <c r="M5" s="1636"/>
      <c r="N5" s="1636"/>
      <c r="O5" s="1636"/>
      <c r="P5" s="1636"/>
      <c r="Q5" s="1636"/>
      <c r="R5" s="1636"/>
      <c r="S5" s="477"/>
      <c r="T5" s="478"/>
      <c r="U5" s="1552"/>
      <c r="V5" s="1552"/>
      <c r="W5" s="1552"/>
      <c r="X5" s="1553"/>
    </row>
    <row r="6" spans="2:32" ht="17.25" customHeight="1">
      <c r="B6" s="234" t="s">
        <v>11</v>
      </c>
      <c r="C6" s="1477">
        <f>Allgemein!C6</f>
        <v>0</v>
      </c>
      <c r="D6" s="1477"/>
      <c r="E6" s="1631"/>
      <c r="F6" s="123" t="s">
        <v>259</v>
      </c>
      <c r="G6" s="123"/>
      <c r="H6" s="123"/>
      <c r="I6" s="123"/>
      <c r="J6" s="123"/>
      <c r="K6" s="123"/>
      <c r="L6" s="1633" t="str">
        <f>Allgemein!C45</f>
        <v>-</v>
      </c>
      <c r="M6" s="1633"/>
      <c r="N6" s="1633"/>
      <c r="O6" s="1633"/>
      <c r="P6" s="1633"/>
      <c r="Q6" s="1633"/>
      <c r="R6" s="1633"/>
      <c r="S6" s="799"/>
      <c r="T6" s="231"/>
      <c r="U6" s="1552"/>
      <c r="V6" s="1552"/>
      <c r="W6" s="1552"/>
      <c r="X6" s="1553"/>
      <c r="Z6" s="238"/>
      <c r="AA6" s="238"/>
      <c r="AB6" s="238"/>
      <c r="AC6" s="238"/>
      <c r="AD6" s="238"/>
      <c r="AE6" s="238"/>
      <c r="AF6" s="238"/>
    </row>
    <row r="7" spans="2:32" ht="17.25" customHeight="1">
      <c r="B7" s="234" t="s">
        <v>12</v>
      </c>
      <c r="C7" s="1477">
        <f>Allgemein!C7</f>
        <v>0</v>
      </c>
      <c r="D7" s="1477"/>
      <c r="E7" s="1631"/>
      <c r="F7" s="203" t="s">
        <v>260</v>
      </c>
      <c r="G7" s="127"/>
      <c r="H7" s="127"/>
      <c r="I7" s="127"/>
      <c r="J7" s="127"/>
      <c r="K7" s="127"/>
      <c r="L7" s="1634" t="str">
        <f>Allgemein!C61</f>
        <v>-</v>
      </c>
      <c r="M7" s="1634"/>
      <c r="N7" s="1634"/>
      <c r="O7" s="1634"/>
      <c r="P7" s="1634"/>
      <c r="Q7" s="1634"/>
      <c r="R7" s="1634"/>
      <c r="S7" s="800"/>
      <c r="T7" s="209"/>
      <c r="U7" s="1552"/>
      <c r="V7" s="1552"/>
      <c r="W7" s="1552"/>
      <c r="X7" s="1553"/>
      <c r="Z7" s="238"/>
      <c r="AA7" s="238"/>
      <c r="AB7" s="774"/>
      <c r="AC7" s="230"/>
      <c r="AD7" s="230"/>
      <c r="AE7" s="238"/>
      <c r="AF7" s="238"/>
    </row>
    <row r="8" spans="2:32" ht="17.399999999999999" thickBot="1">
      <c r="B8" s="316" t="s">
        <v>14</v>
      </c>
      <c r="C8" s="1627">
        <f>Allgemein!C8</f>
        <v>0</v>
      </c>
      <c r="D8" s="1627"/>
      <c r="E8" s="1628"/>
      <c r="F8" s="204" t="s">
        <v>261</v>
      </c>
      <c r="G8" s="266"/>
      <c r="H8" s="266"/>
      <c r="I8" s="266"/>
      <c r="J8" s="266"/>
      <c r="K8" s="266"/>
      <c r="L8" s="1635" t="str">
        <f>Allgemein!C77</f>
        <v>-</v>
      </c>
      <c r="M8" s="1635"/>
      <c r="N8" s="1635"/>
      <c r="O8" s="1635"/>
      <c r="P8" s="1635"/>
      <c r="Q8" s="1635"/>
      <c r="R8" s="1635"/>
      <c r="S8" s="205"/>
      <c r="T8" s="210"/>
      <c r="U8" s="1554"/>
      <c r="V8" s="1554"/>
      <c r="W8" s="1554"/>
      <c r="X8" s="1555"/>
      <c r="Z8" s="238"/>
      <c r="AA8" s="1593"/>
      <c r="AB8" s="1593"/>
      <c r="AC8" s="1593"/>
      <c r="AD8" s="1593"/>
      <c r="AE8" s="238"/>
      <c r="AF8" s="238"/>
    </row>
    <row r="9" spans="2:32" ht="36" customHeight="1" thickTop="1">
      <c r="B9" s="369" t="s">
        <v>647</v>
      </c>
      <c r="L9" s="249"/>
      <c r="M9" s="175"/>
      <c r="N9" s="175"/>
      <c r="O9" s="249"/>
      <c r="P9" s="249"/>
      <c r="Q9" s="249"/>
      <c r="S9" s="249"/>
      <c r="T9" s="249"/>
      <c r="U9" s="704" t="s">
        <v>648</v>
      </c>
      <c r="V9" s="447">
        <v>1.05</v>
      </c>
      <c r="W9" s="444"/>
      <c r="X9" s="443"/>
      <c r="Z9" s="238"/>
      <c r="AA9" s="1593"/>
      <c r="AB9" s="1593"/>
      <c r="AC9" s="1593"/>
      <c r="AD9" s="1593"/>
      <c r="AE9" s="238"/>
      <c r="AF9" s="238"/>
    </row>
    <row r="10" spans="2:32" ht="32.1" customHeight="1">
      <c r="B10" s="222" t="s">
        <v>263</v>
      </c>
      <c r="C10" s="223" t="s">
        <v>649</v>
      </c>
      <c r="D10" s="224"/>
      <c r="E10" s="224"/>
      <c r="F10" s="370" t="s">
        <v>650</v>
      </c>
      <c r="G10" s="286"/>
      <c r="H10" s="286"/>
      <c r="I10" s="286"/>
      <c r="J10" s="286"/>
      <c r="K10" s="286"/>
      <c r="L10" s="328"/>
      <c r="M10" s="176"/>
      <c r="N10" s="176"/>
      <c r="O10" s="176"/>
      <c r="P10" s="328"/>
      <c r="Q10" s="328"/>
      <c r="R10" s="329"/>
      <c r="S10" s="251" t="s">
        <v>294</v>
      </c>
      <c r="T10" s="1198"/>
      <c r="U10" s="1199" t="s">
        <v>265</v>
      </c>
      <c r="V10" s="986" t="s">
        <v>106</v>
      </c>
      <c r="W10" s="985" t="s">
        <v>159</v>
      </c>
      <c r="X10" s="994" t="s">
        <v>171</v>
      </c>
      <c r="Z10" s="238"/>
      <c r="AA10" s="1593"/>
      <c r="AB10" s="1593"/>
      <c r="AC10" s="1593"/>
      <c r="AD10" s="1593"/>
      <c r="AE10" s="238"/>
      <c r="AF10" s="238"/>
    </row>
    <row r="11" spans="2:32" ht="57" customHeight="1">
      <c r="B11" s="791" t="s">
        <v>651</v>
      </c>
      <c r="C11" s="127"/>
      <c r="D11" s="1621" t="e" vm="2">
        <v>#VALUE!</v>
      </c>
      <c r="E11" s="1622"/>
      <c r="F11" s="1160" t="s">
        <v>296</v>
      </c>
      <c r="G11" s="229" t="s">
        <v>272</v>
      </c>
      <c r="H11" s="229" t="s">
        <v>300</v>
      </c>
      <c r="I11" s="229" t="s">
        <v>301</v>
      </c>
      <c r="J11" s="177" t="s">
        <v>652</v>
      </c>
      <c r="K11" s="177" t="s">
        <v>653</v>
      </c>
      <c r="L11" s="177" t="s">
        <v>654</v>
      </c>
      <c r="M11" s="177" t="s">
        <v>655</v>
      </c>
      <c r="N11" s="177" t="s">
        <v>656</v>
      </c>
      <c r="O11" s="177" t="s">
        <v>657</v>
      </c>
      <c r="P11" s="177" t="s">
        <v>658</v>
      </c>
      <c r="Q11" s="177" t="s">
        <v>659</v>
      </c>
      <c r="R11" s="713" t="s">
        <v>660</v>
      </c>
      <c r="S11" s="1601"/>
      <c r="T11" s="1606"/>
      <c r="U11" s="1200" t="s">
        <v>661</v>
      </c>
      <c r="V11" s="995" t="str" cm="1">
        <f t="array" ref="V11">_xlfn.XLOOKUP(U11&amp;Allgemein!$C$45,Fassadenpositionen[[#Headers],[WDVS:]]&amp;Fassadenpositionen[Position Fassade],Fassadenpositionen[WDVS:],"",0,1)</f>
        <v>Nein</v>
      </c>
      <c r="W11" s="995" t="str" cm="1">
        <f t="array" ref="W11">_xlfn.XLOOKUP(U11&amp;Allgemein!$C$61,Fassadenpositionen[[#Headers],[WDVS:]]&amp;Fassadenpositionen[Position Fassade],Fassadenpositionen[WDVS:],"",0,1)</f>
        <v>Nein</v>
      </c>
      <c r="X11" s="996" t="str" cm="1">
        <f t="array" ref="X11">_xlfn.XLOOKUP(U11&amp;Allgemein!$C$77,Fassadenpositionen[[#Headers],[WDVS:]]&amp;Fassadenpositionen[Position Fassade],Fassadenpositionen[WDVS:],"",0,1)</f>
        <v>Nein</v>
      </c>
      <c r="Z11" s="238"/>
      <c r="AA11" s="1593"/>
      <c r="AB11" s="1593"/>
      <c r="AC11" s="1593"/>
      <c r="AD11" s="1593"/>
      <c r="AE11" s="238"/>
      <c r="AF11" s="238"/>
    </row>
    <row r="12" spans="2:32" ht="15.75" customHeight="1">
      <c r="B12" s="135" t="s">
        <v>662</v>
      </c>
      <c r="C12" s="121"/>
      <c r="D12" s="1623"/>
      <c r="E12" s="1624"/>
      <c r="F12" s="18"/>
      <c r="G12" s="18"/>
      <c r="H12" s="657"/>
      <c r="I12" s="657"/>
      <c r="J12" s="657"/>
      <c r="K12" s="657"/>
      <c r="L12" s="115">
        <f t="shared" ref="L12:L21" si="0">H12*I12+J12</f>
        <v>0</v>
      </c>
      <c r="M12" s="18">
        <f>SUMIF(Fenster!$D$10:$D$2160,Fassade!F12,Fenster!$J$10:$J$2160)</f>
        <v>0</v>
      </c>
      <c r="N12" s="18">
        <f>SUMIF(Fenster!$D$10:$D$2160,Fassade!F12,Fenster!$M$10:$M$2160)</f>
        <v>0</v>
      </c>
      <c r="O12" s="18">
        <f>SUMIFS(Fenster!$M$10:$M$2160,Fenster!$D$10:$D$2160,Fassade!F12,Fenster!$L$10:$L$2160,"&gt;2,5")</f>
        <v>0</v>
      </c>
      <c r="P12" s="18">
        <f>SUMIF(Fenster!$D$10:$D$2160,Fassade!F12,Fenster!$K$10:$K$2160)</f>
        <v>0</v>
      </c>
      <c r="Q12" s="18">
        <f t="shared" ref="Q12:Q21" si="1">L12-O12</f>
        <v>0</v>
      </c>
      <c r="R12" s="18">
        <f t="shared" ref="R12:R21" si="2">L12-N12</f>
        <v>0</v>
      </c>
      <c r="S12" s="1602"/>
      <c r="T12" s="1606"/>
      <c r="U12" s="1201" t="s">
        <v>663</v>
      </c>
      <c r="V12" s="997">
        <v>0</v>
      </c>
      <c r="W12" s="952">
        <v>0</v>
      </c>
      <c r="X12" s="988">
        <v>0</v>
      </c>
      <c r="Z12" s="238"/>
      <c r="AA12" s="238"/>
      <c r="AB12" s="238"/>
      <c r="AC12" s="238"/>
      <c r="AD12" s="238"/>
      <c r="AE12" s="238"/>
      <c r="AF12" s="238"/>
    </row>
    <row r="13" spans="2:32" ht="17.100000000000001" customHeight="1">
      <c r="B13" s="234" t="s">
        <v>664</v>
      </c>
      <c r="C13" s="208"/>
      <c r="D13" s="1623"/>
      <c r="E13" s="1624"/>
      <c r="F13" s="18"/>
      <c r="G13" s="18"/>
      <c r="H13" s="657"/>
      <c r="I13" s="657"/>
      <c r="J13" s="657"/>
      <c r="K13" s="657"/>
      <c r="L13" s="115">
        <f t="shared" si="0"/>
        <v>0</v>
      </c>
      <c r="M13" s="18">
        <f>SUMIF(Fenster!$D$10:$D$2160,Fassade!F13,Fenster!$J$10:$J$2160)</f>
        <v>0</v>
      </c>
      <c r="N13" s="18">
        <f>SUMIF(Fenster!$D$10:$D$2160,Fassade!F13,Fenster!$M$10:$M$2160)</f>
        <v>0</v>
      </c>
      <c r="O13" s="18">
        <f>SUMIFS(Fenster!$M$10:$M$2160,Fenster!$D$10:$D$2160,Fassade!F13,Fenster!$L$10:$L$2160,"&gt;2,5")</f>
        <v>0</v>
      </c>
      <c r="P13" s="18">
        <f>SUMIF(Fenster!$D$10:$D$2160,Fassade!F13,Fenster!$K$10:$K$2160)</f>
        <v>0</v>
      </c>
      <c r="Q13" s="18">
        <f t="shared" si="1"/>
        <v>0</v>
      </c>
      <c r="R13" s="18">
        <f t="shared" si="2"/>
        <v>0</v>
      </c>
      <c r="S13" s="1602"/>
      <c r="T13" s="1606"/>
      <c r="U13" s="1202" t="s">
        <v>665</v>
      </c>
      <c r="V13" s="998">
        <f>IF(V11="Ja",(Q22+V12)*$V$9,0)</f>
        <v>0</v>
      </c>
      <c r="W13" s="958">
        <f>IF(W11="Ja",(Q22+W12)*$V$9,0)</f>
        <v>0</v>
      </c>
      <c r="X13" s="999">
        <f>IF(X11="Ja",(Q22+X12)*$V$9,0)</f>
        <v>0</v>
      </c>
      <c r="Z13" s="238"/>
      <c r="AA13" s="238"/>
      <c r="AB13" s="238"/>
      <c r="AC13" s="238"/>
      <c r="AD13" s="238"/>
      <c r="AE13" s="238"/>
      <c r="AF13" s="238"/>
    </row>
    <row r="14" spans="2:32" ht="17.100000000000001" customHeight="1">
      <c r="B14" s="234" t="s">
        <v>666</v>
      </c>
      <c r="C14" s="208"/>
      <c r="D14" s="1623"/>
      <c r="E14" s="1624"/>
      <c r="F14" s="18"/>
      <c r="G14" s="18"/>
      <c r="H14" s="657"/>
      <c r="I14" s="657"/>
      <c r="J14" s="657"/>
      <c r="K14" s="657"/>
      <c r="L14" s="115">
        <f t="shared" si="0"/>
        <v>0</v>
      </c>
      <c r="M14" s="18">
        <f>SUMIF(Fenster!$D$10:$D$2160,Fassade!F14,Fenster!$J$10:$J$2160)</f>
        <v>0</v>
      </c>
      <c r="N14" s="18">
        <f>SUMIF(Fenster!$D$10:$D$2160,Fassade!F14,Fenster!$M$10:$M$2160)</f>
        <v>0</v>
      </c>
      <c r="O14" s="18">
        <f>SUMIFS(Fenster!$M$10:$M$2160,Fenster!$D$10:$D$2160,Fassade!F14,Fenster!$L$10:$L$2160,"&gt;2,5")</f>
        <v>0</v>
      </c>
      <c r="P14" s="18">
        <f>SUMIF(Fenster!$D$10:$D$2160,Fassade!F14,Fenster!$K$10:$K$2160)</f>
        <v>0</v>
      </c>
      <c r="Q14" s="18">
        <f t="shared" si="1"/>
        <v>0</v>
      </c>
      <c r="R14" s="18">
        <f t="shared" si="2"/>
        <v>0</v>
      </c>
      <c r="S14" s="1602"/>
      <c r="T14" s="1606"/>
      <c r="U14" s="1203" t="s">
        <v>667</v>
      </c>
      <c r="V14" s="998">
        <f>IF(V11="Ja",(R22+V12)*$V$9,0)</f>
        <v>0</v>
      </c>
      <c r="W14" s="958">
        <f>IF(W11="Ja",(R22+W12)*$V$9,0)</f>
        <v>0</v>
      </c>
      <c r="X14" s="999">
        <f>IF(X11="Ja",(R22+X12)*$V$9,0)</f>
        <v>0</v>
      </c>
      <c r="Z14" s="238"/>
      <c r="AA14" s="238"/>
      <c r="AB14" s="238"/>
      <c r="AC14" s="238"/>
      <c r="AD14" s="238"/>
      <c r="AE14" s="238"/>
      <c r="AF14" s="238"/>
    </row>
    <row r="15" spans="2:32" ht="17.100000000000001" customHeight="1">
      <c r="B15" s="234" t="s">
        <v>668</v>
      </c>
      <c r="C15" s="208"/>
      <c r="D15" s="1623"/>
      <c r="E15" s="1624"/>
      <c r="F15" s="18"/>
      <c r="G15" s="18"/>
      <c r="H15" s="657"/>
      <c r="I15" s="657"/>
      <c r="J15" s="657"/>
      <c r="K15" s="657"/>
      <c r="L15" s="115">
        <f t="shared" si="0"/>
        <v>0</v>
      </c>
      <c r="M15" s="18">
        <f>SUMIF(Fenster!$D$10:$D$2160,Fassade!F15,Fenster!$J$10:$J$2160)</f>
        <v>0</v>
      </c>
      <c r="N15" s="18">
        <f>SUMIF(Fenster!$D$10:$D$2160,Fassade!F15,Fenster!$M$10:$M$2160)</f>
        <v>0</v>
      </c>
      <c r="O15" s="18">
        <f>SUMIFS(Fenster!$M$10:$M$2160,Fenster!$D$10:$D$2160,Fassade!F15,Fenster!$L$10:$L$2160,"&gt;2,5")</f>
        <v>0</v>
      </c>
      <c r="P15" s="18">
        <f>SUMIF(Fenster!$D$10:$D$2160,Fassade!F15,Fenster!$K$10:$K$2160)</f>
        <v>0</v>
      </c>
      <c r="Q15" s="18">
        <f t="shared" si="1"/>
        <v>0</v>
      </c>
      <c r="R15" s="18">
        <f t="shared" si="2"/>
        <v>0</v>
      </c>
      <c r="S15" s="1602"/>
      <c r="T15" s="1606"/>
      <c r="U15" s="1204" t="s">
        <v>669</v>
      </c>
      <c r="V15" s="958" t="str">
        <f>Allgemein!$D$45</f>
        <v>-</v>
      </c>
      <c r="W15" s="958" t="str">
        <f>Allgemein!$D$61</f>
        <v>-</v>
      </c>
      <c r="X15" s="1000" t="str">
        <f>Allgemein!$D$77</f>
        <v>-</v>
      </c>
    </row>
    <row r="16" spans="2:32" ht="17.100000000000001" customHeight="1">
      <c r="B16" s="234" t="s">
        <v>670</v>
      </c>
      <c r="C16" s="208"/>
      <c r="D16" s="1623"/>
      <c r="E16" s="1624"/>
      <c r="F16" s="18"/>
      <c r="G16" s="18"/>
      <c r="H16" s="657"/>
      <c r="I16" s="657"/>
      <c r="J16" s="657"/>
      <c r="K16" s="657"/>
      <c r="L16" s="115">
        <f t="shared" si="0"/>
        <v>0</v>
      </c>
      <c r="M16" s="18">
        <f>SUMIF(Fenster!$D$10:$D$2160,Fassade!F16,Fenster!$J$10:$J$2160)</f>
        <v>0</v>
      </c>
      <c r="N16" s="18">
        <f>SUMIF(Fenster!$D$10:$D$2160,Fassade!F16,Fenster!$M$10:$M$2160)</f>
        <v>0</v>
      </c>
      <c r="O16" s="18">
        <f>SUMIFS(Fenster!$M$10:$M$2160,Fenster!$D$10:$D$2160,Fassade!F16,Fenster!$L$10:$L$2160,"&gt;2,5")</f>
        <v>0</v>
      </c>
      <c r="P16" s="18">
        <f>SUMIF(Fenster!$D$10:$D$2160,Fassade!F16,Fenster!$K$10:$K$2160)</f>
        <v>0</v>
      </c>
      <c r="Q16" s="18">
        <f t="shared" si="1"/>
        <v>0</v>
      </c>
      <c r="R16" s="18">
        <f t="shared" si="2"/>
        <v>0</v>
      </c>
      <c r="S16" s="1602"/>
      <c r="T16" s="1606"/>
      <c r="U16" s="1205" t="s">
        <v>671</v>
      </c>
      <c r="V16" s="1640"/>
      <c r="W16" s="1586"/>
      <c r="X16" s="1589"/>
    </row>
    <row r="17" spans="2:27" ht="17.100000000000001" customHeight="1">
      <c r="B17" s="234" t="s">
        <v>672</v>
      </c>
      <c r="C17" s="121"/>
      <c r="D17" s="1623"/>
      <c r="E17" s="1624"/>
      <c r="F17" s="18"/>
      <c r="G17" s="18"/>
      <c r="H17" s="657"/>
      <c r="I17" s="657"/>
      <c r="J17" s="657"/>
      <c r="K17" s="657"/>
      <c r="L17" s="115">
        <f t="shared" si="0"/>
        <v>0</v>
      </c>
      <c r="M17" s="18">
        <f>SUMIF(Fenster!$D$10:$D$2160,Fassade!F17,Fenster!$J$10:$J$2160)</f>
        <v>0</v>
      </c>
      <c r="N17" s="18">
        <f>SUMIF(Fenster!$D$10:$D$2160,Fassade!F17,Fenster!$M$10:$M$2160)</f>
        <v>0</v>
      </c>
      <c r="O17" s="18">
        <f>SUMIFS(Fenster!$M$10:$M$2160,Fenster!$D$10:$D$2160,Fassade!F17,Fenster!$L$10:$L$2160,"&gt;2,5")</f>
        <v>0</v>
      </c>
      <c r="P17" s="18">
        <f>SUMIF(Fenster!$D$10:$D$2160,Fassade!F17,Fenster!$K$10:$K$2160)</f>
        <v>0</v>
      </c>
      <c r="Q17" s="18">
        <f t="shared" si="1"/>
        <v>0</v>
      </c>
      <c r="R17" s="18">
        <f t="shared" si="2"/>
        <v>0</v>
      </c>
      <c r="S17" s="1602"/>
      <c r="T17" s="1606"/>
      <c r="U17" s="1206"/>
      <c r="V17" s="1641"/>
      <c r="W17" s="1643"/>
      <c r="X17" s="1590"/>
    </row>
    <row r="18" spans="2:27" ht="17.100000000000001" customHeight="1">
      <c r="B18" s="234"/>
      <c r="C18" s="121"/>
      <c r="D18" s="1623"/>
      <c r="E18" s="1624"/>
      <c r="F18" s="18"/>
      <c r="G18" s="18"/>
      <c r="H18" s="657"/>
      <c r="I18" s="657"/>
      <c r="J18" s="657"/>
      <c r="K18" s="657"/>
      <c r="L18" s="115">
        <f t="shared" si="0"/>
        <v>0</v>
      </c>
      <c r="M18" s="18">
        <f>SUMIF(Fenster!$D$10:$D$2160,Fassade!F18,Fenster!$J$10:$J$2160)</f>
        <v>0</v>
      </c>
      <c r="N18" s="18">
        <f>SUMIF(Fenster!$D$10:$D$2160,Fassade!F18,Fenster!$M$10:$M$2160)</f>
        <v>0</v>
      </c>
      <c r="O18" s="18">
        <f>SUMIFS(Fenster!$M$10:$M$2160,Fenster!$D$10:$D$2160,Fassade!F18,Fenster!$L$10:$L$2160,"&gt;2,5")</f>
        <v>0</v>
      </c>
      <c r="P18" s="18">
        <f>SUMIF(Fenster!$D$10:$D$2160,Fassade!F18,Fenster!$K$10:$K$2160)</f>
        <v>0</v>
      </c>
      <c r="Q18" s="18">
        <f t="shared" si="1"/>
        <v>0</v>
      </c>
      <c r="R18" s="18">
        <f t="shared" si="2"/>
        <v>0</v>
      </c>
      <c r="S18" s="1602"/>
      <c r="T18" s="1606"/>
      <c r="U18" s="1206"/>
      <c r="V18" s="1641"/>
      <c r="W18" s="1643"/>
      <c r="X18" s="1590"/>
    </row>
    <row r="19" spans="2:27" ht="17.100000000000001" customHeight="1">
      <c r="B19" s="234"/>
      <c r="C19" s="121"/>
      <c r="D19" s="1623"/>
      <c r="E19" s="1624"/>
      <c r="F19" s="18"/>
      <c r="G19" s="18"/>
      <c r="H19" s="657"/>
      <c r="I19" s="657"/>
      <c r="J19" s="657"/>
      <c r="K19" s="657"/>
      <c r="L19" s="115">
        <f t="shared" si="0"/>
        <v>0</v>
      </c>
      <c r="M19" s="18">
        <f>SUMIF(Fenster!$D$10:$D$2160,Fassade!F19,Fenster!$J$10:$J$2160)</f>
        <v>0</v>
      </c>
      <c r="N19" s="18">
        <f>SUMIF(Fenster!$D$10:$D$2160,Fassade!F19,Fenster!$M$10:$M$2160)</f>
        <v>0</v>
      </c>
      <c r="O19" s="18">
        <f>SUMIFS(Fenster!$M$10:$M$2160,Fenster!$D$10:$D$2160,Fassade!F19,Fenster!$L$10:$L$2160,"&gt;2,5")</f>
        <v>0</v>
      </c>
      <c r="P19" s="18">
        <f>SUMIF(Fenster!$D$10:$D$2160,Fassade!F19,Fenster!$K$10:$K$2160)</f>
        <v>0</v>
      </c>
      <c r="Q19" s="18">
        <f t="shared" si="1"/>
        <v>0</v>
      </c>
      <c r="R19" s="18">
        <f t="shared" si="2"/>
        <v>0</v>
      </c>
      <c r="S19" s="1602"/>
      <c r="T19" s="1606"/>
      <c r="U19" s="1207"/>
      <c r="V19" s="1641"/>
      <c r="W19" s="1643"/>
      <c r="X19" s="1590"/>
    </row>
    <row r="20" spans="2:27" ht="17.100000000000001" customHeight="1">
      <c r="B20" s="234"/>
      <c r="C20" s="121"/>
      <c r="D20" s="1623"/>
      <c r="E20" s="1624"/>
      <c r="F20" s="18"/>
      <c r="G20" s="18"/>
      <c r="H20" s="657"/>
      <c r="I20" s="657"/>
      <c r="J20" s="657"/>
      <c r="K20" s="657"/>
      <c r="L20" s="115">
        <f t="shared" si="0"/>
        <v>0</v>
      </c>
      <c r="M20" s="18">
        <f>SUMIF(Fenster!$D$10:$D$2160,Fassade!F20,Fenster!$J$10:$J$2160)</f>
        <v>0</v>
      </c>
      <c r="N20" s="18">
        <f>SUMIF(Fenster!$D$10:$D$2160,Fassade!F20,Fenster!$M$10:$M$2160)</f>
        <v>0</v>
      </c>
      <c r="O20" s="18">
        <f>SUMIFS(Fenster!$M$10:$M$2160,Fenster!$D$10:$D$2160,Fassade!F20,Fenster!$L$10:$L$2160,"&gt;2,5")</f>
        <v>0</v>
      </c>
      <c r="P20" s="18">
        <f>SUMIF(Fenster!$D$10:$D$2160,Fassade!F20,Fenster!$K$10:$K$2160)</f>
        <v>0</v>
      </c>
      <c r="Q20" s="18">
        <f t="shared" si="1"/>
        <v>0</v>
      </c>
      <c r="R20" s="18">
        <f t="shared" si="2"/>
        <v>0</v>
      </c>
      <c r="S20" s="1602"/>
      <c r="T20" s="1606"/>
      <c r="U20" s="1207"/>
      <c r="V20" s="1641"/>
      <c r="W20" s="1643"/>
      <c r="X20" s="1590"/>
    </row>
    <row r="21" spans="2:27" ht="17.100000000000001" customHeight="1">
      <c r="B21" s="234"/>
      <c r="C21" s="121"/>
      <c r="D21" s="1623"/>
      <c r="E21" s="1624"/>
      <c r="F21" s="18"/>
      <c r="G21" s="18"/>
      <c r="H21" s="657"/>
      <c r="I21" s="657"/>
      <c r="J21" s="657"/>
      <c r="K21" s="657"/>
      <c r="L21" s="115">
        <f t="shared" si="0"/>
        <v>0</v>
      </c>
      <c r="M21" s="18">
        <f>SUMIF(Fenster!$D$10:$D$2160,Fassade!F21,Fenster!$J$10:$J$2160)</f>
        <v>0</v>
      </c>
      <c r="N21" s="18">
        <f>SUMIF(Fenster!$D$10:$D$2160,Fassade!F21,Fenster!$M$10:$M$2160)</f>
        <v>0</v>
      </c>
      <c r="O21" s="18">
        <f>SUMIFS(Fenster!$M$10:$M$2160,Fenster!$D$10:$D$2160,Fassade!F21,Fenster!$L$10:$L$2160,"&gt;2,5")</f>
        <v>0</v>
      </c>
      <c r="P21" s="18">
        <f>SUMIF(Fenster!$D$10:$D$2160,Fassade!F21,Fenster!$K$10:$K$2160)</f>
        <v>0</v>
      </c>
      <c r="Q21" s="18">
        <f t="shared" si="1"/>
        <v>0</v>
      </c>
      <c r="R21" s="18">
        <f t="shared" si="2"/>
        <v>0</v>
      </c>
      <c r="S21" s="1602"/>
      <c r="T21" s="1606"/>
      <c r="U21" s="1206"/>
      <c r="V21" s="1641"/>
      <c r="W21" s="1643"/>
      <c r="X21" s="1590"/>
    </row>
    <row r="22" spans="2:27" ht="17.100000000000001" customHeight="1">
      <c r="B22" s="234"/>
      <c r="C22" s="121"/>
      <c r="D22" s="1623"/>
      <c r="E22" s="1624"/>
      <c r="F22" s="1612" t="s">
        <v>187</v>
      </c>
      <c r="G22" s="18"/>
      <c r="H22" s="657"/>
      <c r="I22" s="657"/>
      <c r="J22" s="657"/>
      <c r="K22" s="657"/>
      <c r="L22" s="1614">
        <f t="shared" ref="L22:P22" si="3">SUM(L12:L21)</f>
        <v>0</v>
      </c>
      <c r="M22" s="1477">
        <f t="shared" si="3"/>
        <v>0</v>
      </c>
      <c r="N22" s="1477">
        <f t="shared" si="3"/>
        <v>0</v>
      </c>
      <c r="O22" s="1477">
        <f t="shared" si="3"/>
        <v>0</v>
      </c>
      <c r="P22" s="1477">
        <f t="shared" si="3"/>
        <v>0</v>
      </c>
      <c r="Q22" s="1477">
        <f t="shared" ref="Q22" si="4">SUM(Q12:Q21)</f>
        <v>0</v>
      </c>
      <c r="R22" s="1477">
        <f>SUM(R12:R21)</f>
        <v>0</v>
      </c>
      <c r="S22" s="1602"/>
      <c r="T22" s="1606"/>
      <c r="U22" s="1208"/>
      <c r="V22" s="1641"/>
      <c r="W22" s="1643"/>
      <c r="X22" s="1590"/>
    </row>
    <row r="23" spans="2:27" ht="17.100000000000001" customHeight="1" thickBot="1">
      <c r="B23" s="789"/>
      <c r="C23" s="787"/>
      <c r="D23" s="1625"/>
      <c r="E23" s="1626"/>
      <c r="F23" s="1613"/>
      <c r="G23" s="788"/>
      <c r="H23" s="788"/>
      <c r="I23" s="788"/>
      <c r="J23" s="788"/>
      <c r="K23" s="788"/>
      <c r="L23" s="1615"/>
      <c r="M23" s="1592"/>
      <c r="N23" s="1592"/>
      <c r="O23" s="1592"/>
      <c r="P23" s="1592"/>
      <c r="Q23" s="1592"/>
      <c r="R23" s="1605"/>
      <c r="S23" s="1603"/>
      <c r="T23" s="1607"/>
      <c r="U23" s="1209"/>
      <c r="V23" s="1642"/>
      <c r="W23" s="1644"/>
      <c r="X23" s="1590"/>
      <c r="AA23" s="220"/>
    </row>
    <row r="24" spans="2:27" ht="57" customHeight="1">
      <c r="B24" s="791" t="s">
        <v>651</v>
      </c>
      <c r="C24" s="127"/>
      <c r="D24" s="1623" t="e" vm="2">
        <v>#VALUE!</v>
      </c>
      <c r="E24" s="1624"/>
      <c r="F24" s="229" t="s">
        <v>296</v>
      </c>
      <c r="G24" s="229" t="s">
        <v>272</v>
      </c>
      <c r="H24" s="229" t="s">
        <v>300</v>
      </c>
      <c r="I24" s="229" t="s">
        <v>301</v>
      </c>
      <c r="J24" s="177" t="s">
        <v>652</v>
      </c>
      <c r="K24" s="177" t="s">
        <v>653</v>
      </c>
      <c r="L24" s="177" t="s">
        <v>654</v>
      </c>
      <c r="M24" s="177" t="s">
        <v>655</v>
      </c>
      <c r="N24" s="177" t="s">
        <v>656</v>
      </c>
      <c r="O24" s="177" t="s">
        <v>657</v>
      </c>
      <c r="P24" s="177" t="s">
        <v>658</v>
      </c>
      <c r="Q24" s="177" t="s">
        <v>659</v>
      </c>
      <c r="R24" s="713" t="s">
        <v>660</v>
      </c>
      <c r="S24" s="1600"/>
      <c r="T24" s="1597"/>
      <c r="U24" s="1200" t="s">
        <v>661</v>
      </c>
      <c r="V24" s="995" t="str" cm="1">
        <f t="array" ref="V24">_xlfn.XLOOKUP(U24&amp;Allgemein!$C$45,Fassadenpositionen[[#Headers],[WDVS:]]&amp;Fassadenpositionen[Position Fassade],Fassadenpositionen[WDVS:],"",0,1)</f>
        <v>Nein</v>
      </c>
      <c r="W24" s="995" t="str" cm="1">
        <f t="array" ref="W24">_xlfn.XLOOKUP(U24&amp;Allgemein!$C$61,Fassadenpositionen[[#Headers],[WDVS:]]&amp;Fassadenpositionen[Position Fassade],Fassadenpositionen[WDVS:],"",0,1)</f>
        <v>Nein</v>
      </c>
      <c r="X24" s="1004" t="str" cm="1">
        <f t="array" ref="X24">_xlfn.XLOOKUP(U24&amp;Allgemein!$C$77,Fassadenpositionen[[#Headers],[WDVS:]]&amp;Fassadenpositionen[Position Fassade],Fassadenpositionen[WDVS:],"",0,1)</f>
        <v>Nein</v>
      </c>
      <c r="AA24" s="220"/>
    </row>
    <row r="25" spans="2:27" ht="17.100000000000001" customHeight="1">
      <c r="B25" s="135" t="s">
        <v>662</v>
      </c>
      <c r="C25" s="121"/>
      <c r="D25" s="1623"/>
      <c r="E25" s="1624"/>
      <c r="F25" s="18"/>
      <c r="G25" s="18"/>
      <c r="H25" s="657"/>
      <c r="I25" s="657"/>
      <c r="J25" s="657"/>
      <c r="K25" s="657"/>
      <c r="L25" s="115">
        <f t="shared" ref="L25:L34" si="5">H25*I25+J25</f>
        <v>0</v>
      </c>
      <c r="M25" s="18">
        <f>SUMIF(Fenster!$D$10:$D$2160,Fassade!F25,Fenster!$J$10:$J$2160)</f>
        <v>0</v>
      </c>
      <c r="N25" s="18">
        <f>SUMIF(Fenster!$D$10:$D$2160,Fassade!F25,Fenster!$M$10:$M$2160)</f>
        <v>0</v>
      </c>
      <c r="O25" s="18">
        <f>SUMIFS(Fenster!$M$10:$M$2160,Fenster!$D$10:$D$2160,Fassade!F25,Fenster!$L$10:$L$2160,"&gt;2,5")</f>
        <v>0</v>
      </c>
      <c r="P25" s="18">
        <f>SUMIF(Fenster!$D$10:$D$2160,Fassade!F25,Fenster!$K$10:$K$2160)</f>
        <v>0</v>
      </c>
      <c r="Q25" s="18">
        <f t="shared" ref="Q25:Q34" si="6">L25-O25</f>
        <v>0</v>
      </c>
      <c r="R25" s="187">
        <f t="shared" ref="R25:R34" si="7">L25-N25</f>
        <v>0</v>
      </c>
      <c r="S25" s="1596"/>
      <c r="T25" s="1597"/>
      <c r="U25" s="1201" t="s">
        <v>663</v>
      </c>
      <c r="V25" s="997">
        <v>0</v>
      </c>
      <c r="W25" s="952">
        <v>0</v>
      </c>
      <c r="X25" s="988">
        <v>0</v>
      </c>
      <c r="AA25" s="220"/>
    </row>
    <row r="26" spans="2:27" ht="17.100000000000001" customHeight="1">
      <c r="B26" s="234" t="s">
        <v>664</v>
      </c>
      <c r="C26" s="208"/>
      <c r="D26" s="1623"/>
      <c r="E26" s="1624"/>
      <c r="F26" s="18"/>
      <c r="G26" s="18"/>
      <c r="H26" s="657"/>
      <c r="I26" s="657"/>
      <c r="J26" s="657"/>
      <c r="K26" s="657"/>
      <c r="L26" s="115">
        <f t="shared" si="5"/>
        <v>0</v>
      </c>
      <c r="M26" s="18">
        <f>SUMIF(Fenster!$D$10:$D$2160,Fassade!F26,Fenster!$J$10:$J$2160)</f>
        <v>0</v>
      </c>
      <c r="N26" s="18">
        <f>SUMIF(Fenster!$D$10:$D$2160,Fassade!F26,Fenster!$M$10:$M$2160)</f>
        <v>0</v>
      </c>
      <c r="O26" s="18">
        <f>SUMIFS(Fenster!$M$10:$M$2160,Fenster!$D$10:$D$2160,Fassade!F26,Fenster!$L$10:$L$2160,"&gt;2,5")</f>
        <v>0</v>
      </c>
      <c r="P26" s="18">
        <f>SUMIF(Fenster!$D$10:$D$2160,Fassade!F26,Fenster!$K$10:$K$2160)</f>
        <v>0</v>
      </c>
      <c r="Q26" s="18">
        <f t="shared" si="6"/>
        <v>0</v>
      </c>
      <c r="R26" s="187">
        <f t="shared" si="7"/>
        <v>0</v>
      </c>
      <c r="S26" s="1596"/>
      <c r="T26" s="1597"/>
      <c r="U26" s="1202" t="s">
        <v>665</v>
      </c>
      <c r="V26" s="998">
        <f>IF(V24="Ja",(Q35+V25)*$V$9,0)</f>
        <v>0</v>
      </c>
      <c r="W26" s="958">
        <f>IF(W24="Ja",(Q35+W25)*$V$9,0)</f>
        <v>0</v>
      </c>
      <c r="X26" s="999">
        <f>IF(X24="Ja",(Q35+X25)*$V$9,0)</f>
        <v>0</v>
      </c>
      <c r="AA26" s="220"/>
    </row>
    <row r="27" spans="2:27" ht="17.100000000000001" customHeight="1">
      <c r="B27" s="234" t="s">
        <v>666</v>
      </c>
      <c r="C27" s="208"/>
      <c r="D27" s="1623"/>
      <c r="E27" s="1624"/>
      <c r="F27" s="18"/>
      <c r="G27" s="18"/>
      <c r="H27" s="657"/>
      <c r="I27" s="657"/>
      <c r="J27" s="657"/>
      <c r="K27" s="657"/>
      <c r="L27" s="115">
        <f t="shared" si="5"/>
        <v>0</v>
      </c>
      <c r="M27" s="18">
        <f>SUMIF(Fenster!$D$10:$D$2160,Fassade!F27,Fenster!$J$10:$J$2160)</f>
        <v>0</v>
      </c>
      <c r="N27" s="18">
        <f>SUMIF(Fenster!$D$10:$D$2160,Fassade!F27,Fenster!$M$10:$M$2160)</f>
        <v>0</v>
      </c>
      <c r="O27" s="18">
        <f>SUMIFS(Fenster!$M$10:$M$2160,Fenster!$D$10:$D$2160,Fassade!F27,Fenster!$L$10:$L$2160,"&gt;2,5")</f>
        <v>0</v>
      </c>
      <c r="P27" s="18">
        <f>SUMIF(Fenster!$D$10:$D$2160,Fassade!F27,Fenster!$K$10:$K$2160)</f>
        <v>0</v>
      </c>
      <c r="Q27" s="18">
        <f t="shared" si="6"/>
        <v>0</v>
      </c>
      <c r="R27" s="187">
        <f t="shared" si="7"/>
        <v>0</v>
      </c>
      <c r="S27" s="1596"/>
      <c r="T27" s="1597"/>
      <c r="U27" s="1203" t="s">
        <v>667</v>
      </c>
      <c r="V27" s="998">
        <f>IF(V24="Ja",(R35+V25)*$V$9,0)</f>
        <v>0</v>
      </c>
      <c r="W27" s="958">
        <f>IF(W24="Ja",(R35+W25)*$V$9,0)</f>
        <v>0</v>
      </c>
      <c r="X27" s="999">
        <f>IF(X24="Ja",(R35+X25)*$V$9,0)</f>
        <v>0</v>
      </c>
      <c r="AA27" s="220"/>
    </row>
    <row r="28" spans="2:27" ht="17.100000000000001" customHeight="1">
      <c r="B28" s="234" t="s">
        <v>668</v>
      </c>
      <c r="C28" s="208"/>
      <c r="D28" s="1623"/>
      <c r="E28" s="1624"/>
      <c r="F28" s="18"/>
      <c r="G28" s="18"/>
      <c r="H28" s="657"/>
      <c r="I28" s="657"/>
      <c r="J28" s="657"/>
      <c r="K28" s="657"/>
      <c r="L28" s="115">
        <f t="shared" si="5"/>
        <v>0</v>
      </c>
      <c r="M28" s="18">
        <f>SUMIF(Fenster!$D$10:$D$2160,Fassade!F28,Fenster!$J$10:$J$2160)</f>
        <v>0</v>
      </c>
      <c r="N28" s="18">
        <f>SUMIF(Fenster!$D$10:$D$2160,Fassade!F28,Fenster!$M$10:$M$2160)</f>
        <v>0</v>
      </c>
      <c r="O28" s="18">
        <f>SUMIFS(Fenster!$M$10:$M$2160,Fenster!$D$10:$D$2160,Fassade!F28,Fenster!$L$10:$L$2160,"&gt;2,5")</f>
        <v>0</v>
      </c>
      <c r="P28" s="18">
        <f>SUMIF(Fenster!$D$10:$D$2160,Fassade!F28,Fenster!$K$10:$K$2160)</f>
        <v>0</v>
      </c>
      <c r="Q28" s="18">
        <f t="shared" si="6"/>
        <v>0</v>
      </c>
      <c r="R28" s="187">
        <f t="shared" si="7"/>
        <v>0</v>
      </c>
      <c r="S28" s="1596"/>
      <c r="T28" s="1597"/>
      <c r="U28" s="1204" t="s">
        <v>669</v>
      </c>
      <c r="V28" s="958" t="str">
        <f>Allgemein!$D$45</f>
        <v>-</v>
      </c>
      <c r="W28" s="958" t="str">
        <f>Allgemein!$D$61</f>
        <v>-</v>
      </c>
      <c r="X28" s="1000" t="str">
        <f>Allgemein!$D$77</f>
        <v>-</v>
      </c>
      <c r="AA28" s="220"/>
    </row>
    <row r="29" spans="2:27" ht="17.100000000000001" customHeight="1">
      <c r="B29" s="234" t="s">
        <v>670</v>
      </c>
      <c r="C29" s="208"/>
      <c r="D29" s="1623"/>
      <c r="E29" s="1624"/>
      <c r="F29" s="18"/>
      <c r="G29" s="18"/>
      <c r="H29" s="657"/>
      <c r="I29" s="657"/>
      <c r="J29" s="657"/>
      <c r="K29" s="657"/>
      <c r="L29" s="115">
        <f t="shared" si="5"/>
        <v>0</v>
      </c>
      <c r="M29" s="18">
        <f>SUMIF(Fenster!$D$10:$D$2160,Fassade!F29,Fenster!$J$10:$J$2160)</f>
        <v>0</v>
      </c>
      <c r="N29" s="18">
        <f>SUMIF(Fenster!$D$10:$D$2160,Fassade!F29,Fenster!$M$10:$M$2160)</f>
        <v>0</v>
      </c>
      <c r="O29" s="18">
        <f>SUMIFS(Fenster!$M$10:$M$2160,Fenster!$D$10:$D$2160,Fassade!F29,Fenster!$L$10:$L$2160,"&gt;2,5")</f>
        <v>0</v>
      </c>
      <c r="P29" s="18">
        <f>SUMIF(Fenster!$D$10:$D$2160,Fassade!F29,Fenster!$K$10:$K$2160)</f>
        <v>0</v>
      </c>
      <c r="Q29" s="18">
        <f t="shared" si="6"/>
        <v>0</v>
      </c>
      <c r="R29" s="187">
        <f t="shared" si="7"/>
        <v>0</v>
      </c>
      <c r="S29" s="1596"/>
      <c r="T29" s="1597"/>
      <c r="U29" s="1205" t="s">
        <v>671</v>
      </c>
      <c r="V29" s="1640"/>
      <c r="W29" s="1586"/>
      <c r="X29" s="1589"/>
      <c r="AA29" s="220"/>
    </row>
    <row r="30" spans="2:27" ht="17.100000000000001" customHeight="1">
      <c r="B30" s="234" t="s">
        <v>672</v>
      </c>
      <c r="C30" s="121"/>
      <c r="D30" s="1623"/>
      <c r="E30" s="1624"/>
      <c r="F30" s="18"/>
      <c r="G30" s="18"/>
      <c r="H30" s="657"/>
      <c r="I30" s="657"/>
      <c r="J30" s="657"/>
      <c r="K30" s="657"/>
      <c r="L30" s="115">
        <f t="shared" si="5"/>
        <v>0</v>
      </c>
      <c r="M30" s="18">
        <f>SUMIF(Fenster!$D$10:$D$2160,Fassade!F30,Fenster!$J$10:$J$2160)</f>
        <v>0</v>
      </c>
      <c r="N30" s="18">
        <f>SUMIF(Fenster!$D$10:$D$2160,Fassade!F30,Fenster!$M$10:$M$2160)</f>
        <v>0</v>
      </c>
      <c r="O30" s="18">
        <f>SUMIFS(Fenster!$M$10:$M$2160,Fenster!$D$10:$D$2160,Fassade!F30,Fenster!$L$10:$L$2160,"&gt;2,5")</f>
        <v>0</v>
      </c>
      <c r="P30" s="18">
        <f>SUMIF(Fenster!$D$10:$D$2160,Fassade!F30,Fenster!$K$10:$K$2160)</f>
        <v>0</v>
      </c>
      <c r="Q30" s="18">
        <f t="shared" si="6"/>
        <v>0</v>
      </c>
      <c r="R30" s="187">
        <f t="shared" si="7"/>
        <v>0</v>
      </c>
      <c r="S30" s="1596"/>
      <c r="T30" s="1597"/>
      <c r="U30" s="1206"/>
      <c r="V30" s="1641"/>
      <c r="W30" s="1643"/>
      <c r="X30" s="1590"/>
      <c r="AA30" s="220"/>
    </row>
    <row r="31" spans="2:27" ht="17.100000000000001" customHeight="1">
      <c r="B31" s="234"/>
      <c r="C31" s="121"/>
      <c r="D31" s="1623"/>
      <c r="E31" s="1624"/>
      <c r="F31" s="18"/>
      <c r="G31" s="18"/>
      <c r="H31" s="657"/>
      <c r="I31" s="657"/>
      <c r="J31" s="657"/>
      <c r="K31" s="657"/>
      <c r="L31" s="115">
        <f t="shared" si="5"/>
        <v>0</v>
      </c>
      <c r="M31" s="18">
        <f>SUMIF(Fenster!$D$10:$D$2160,Fassade!F31,Fenster!$J$10:$J$2160)</f>
        <v>0</v>
      </c>
      <c r="N31" s="18">
        <f>SUMIF(Fenster!$D$10:$D$2160,Fassade!F31,Fenster!$M$10:$M$2160)</f>
        <v>0</v>
      </c>
      <c r="O31" s="18">
        <f>SUMIFS(Fenster!$M$10:$M$2160,Fenster!$D$10:$D$2160,Fassade!F31,Fenster!$L$10:$L$2160,"&gt;2,5")</f>
        <v>0</v>
      </c>
      <c r="P31" s="18">
        <f>SUMIF(Fenster!$D$10:$D$2160,Fassade!F31,Fenster!$K$10:$K$2160)</f>
        <v>0</v>
      </c>
      <c r="Q31" s="18">
        <f t="shared" si="6"/>
        <v>0</v>
      </c>
      <c r="R31" s="187">
        <f t="shared" si="7"/>
        <v>0</v>
      </c>
      <c r="S31" s="1596"/>
      <c r="T31" s="1597"/>
      <c r="U31" s="1206"/>
      <c r="V31" s="1641"/>
      <c r="W31" s="1643"/>
      <c r="X31" s="1590"/>
      <c r="AA31" s="220"/>
    </row>
    <row r="32" spans="2:27" ht="17.100000000000001" customHeight="1">
      <c r="B32" s="234"/>
      <c r="C32" s="121"/>
      <c r="D32" s="1623"/>
      <c r="E32" s="1624"/>
      <c r="F32" s="18"/>
      <c r="G32" s="18"/>
      <c r="H32" s="657"/>
      <c r="I32" s="657"/>
      <c r="J32" s="657"/>
      <c r="K32" s="657"/>
      <c r="L32" s="115">
        <f t="shared" si="5"/>
        <v>0</v>
      </c>
      <c r="M32" s="18">
        <f>SUMIF(Fenster!$D$10:$D$2160,Fassade!F32,Fenster!$J$10:$J$2160)</f>
        <v>0</v>
      </c>
      <c r="N32" s="18">
        <f>SUMIF(Fenster!$D$10:$D$2160,Fassade!F32,Fenster!$M$10:$M$2160)</f>
        <v>0</v>
      </c>
      <c r="O32" s="18">
        <f>SUMIFS(Fenster!$M$10:$M$2160,Fenster!$D$10:$D$2160,Fassade!F32,Fenster!$L$10:$L$2160,"&gt;2,5")</f>
        <v>0</v>
      </c>
      <c r="P32" s="18">
        <f>SUMIF(Fenster!$D$10:$D$2160,Fassade!F32,Fenster!$K$10:$K$2160)</f>
        <v>0</v>
      </c>
      <c r="Q32" s="18">
        <f t="shared" si="6"/>
        <v>0</v>
      </c>
      <c r="R32" s="187">
        <f t="shared" si="7"/>
        <v>0</v>
      </c>
      <c r="S32" s="1596"/>
      <c r="T32" s="1597"/>
      <c r="U32" s="1207"/>
      <c r="V32" s="1641"/>
      <c r="W32" s="1643"/>
      <c r="X32" s="1590"/>
      <c r="AA32" s="220"/>
    </row>
    <row r="33" spans="2:27" ht="17.100000000000001" customHeight="1">
      <c r="B33" s="234"/>
      <c r="C33" s="121"/>
      <c r="D33" s="1623"/>
      <c r="E33" s="1624"/>
      <c r="F33" s="18"/>
      <c r="G33" s="18"/>
      <c r="H33" s="657"/>
      <c r="I33" s="657"/>
      <c r="J33" s="657"/>
      <c r="K33" s="657"/>
      <c r="L33" s="115">
        <f t="shared" si="5"/>
        <v>0</v>
      </c>
      <c r="M33" s="18">
        <f>SUMIF(Fenster!$D$10:$D$2160,Fassade!F33,Fenster!$J$10:$J$2160)</f>
        <v>0</v>
      </c>
      <c r="N33" s="18">
        <f>SUMIF(Fenster!$D$10:$D$2160,Fassade!F33,Fenster!$M$10:$M$2160)</f>
        <v>0</v>
      </c>
      <c r="O33" s="18">
        <f>SUMIFS(Fenster!$M$10:$M$2160,Fenster!$D$10:$D$2160,Fassade!F33,Fenster!$L$10:$L$2160,"&gt;2,5")</f>
        <v>0</v>
      </c>
      <c r="P33" s="18">
        <f>SUMIF(Fenster!$D$10:$D$2160,Fassade!F33,Fenster!$K$10:$K$2160)</f>
        <v>0</v>
      </c>
      <c r="Q33" s="18">
        <f t="shared" si="6"/>
        <v>0</v>
      </c>
      <c r="R33" s="187">
        <f t="shared" si="7"/>
        <v>0</v>
      </c>
      <c r="S33" s="1596"/>
      <c r="T33" s="1597"/>
      <c r="U33" s="1207"/>
      <c r="V33" s="1641"/>
      <c r="W33" s="1643"/>
      <c r="X33" s="1590"/>
      <c r="AA33" s="220"/>
    </row>
    <row r="34" spans="2:27" ht="17.100000000000001" customHeight="1">
      <c r="B34" s="234"/>
      <c r="C34" s="121"/>
      <c r="D34" s="1623"/>
      <c r="E34" s="1624"/>
      <c r="F34" s="18"/>
      <c r="G34" s="18"/>
      <c r="H34" s="657"/>
      <c r="I34" s="657"/>
      <c r="J34" s="657"/>
      <c r="K34" s="657"/>
      <c r="L34" s="115">
        <f t="shared" si="5"/>
        <v>0</v>
      </c>
      <c r="M34" s="18">
        <f>SUMIF(Fenster!$D$10:$D$2160,Fassade!F34,Fenster!$J$10:$J$2160)</f>
        <v>0</v>
      </c>
      <c r="N34" s="18">
        <f>SUMIF(Fenster!$D$10:$D$2160,Fassade!F34,Fenster!$M$10:$M$2160)</f>
        <v>0</v>
      </c>
      <c r="O34" s="18">
        <f>SUMIFS(Fenster!$M$10:$M$2160,Fenster!$D$10:$D$2160,Fassade!F34,Fenster!$L$10:$L$2160,"&gt;2,5")</f>
        <v>0</v>
      </c>
      <c r="P34" s="18">
        <f>SUMIF(Fenster!$D$10:$D$2160,Fassade!F34,Fenster!$K$10:$K$2160)</f>
        <v>0</v>
      </c>
      <c r="Q34" s="18">
        <f t="shared" si="6"/>
        <v>0</v>
      </c>
      <c r="R34" s="187">
        <f t="shared" si="7"/>
        <v>0</v>
      </c>
      <c r="S34" s="1596"/>
      <c r="T34" s="1597"/>
      <c r="U34" s="1206"/>
      <c r="V34" s="1641"/>
      <c r="W34" s="1643"/>
      <c r="X34" s="1590"/>
      <c r="AA34" s="220"/>
    </row>
    <row r="35" spans="2:27" ht="17.100000000000001" customHeight="1">
      <c r="B35" s="234"/>
      <c r="C35" s="121"/>
      <c r="D35" s="1623"/>
      <c r="E35" s="1624"/>
      <c r="F35" s="1612" t="s">
        <v>187</v>
      </c>
      <c r="G35" s="18"/>
      <c r="H35" s="657"/>
      <c r="I35" s="657"/>
      <c r="J35" s="657"/>
      <c r="K35" s="657"/>
      <c r="L35" s="1614">
        <f>SUM(L25:L34)</f>
        <v>0</v>
      </c>
      <c r="M35" s="1477">
        <f t="shared" ref="M35" si="8">SUM(M25:M34)</f>
        <v>0</v>
      </c>
      <c r="N35" s="1477">
        <f t="shared" ref="N35" si="9">SUM(N25:N34)</f>
        <v>0</v>
      </c>
      <c r="O35" s="1477">
        <f t="shared" ref="O35:P35" si="10">SUM(O25:O34)</f>
        <v>0</v>
      </c>
      <c r="P35" s="1477">
        <f t="shared" si="10"/>
        <v>0</v>
      </c>
      <c r="Q35" s="1477">
        <f t="shared" ref="Q35" si="11">SUM(Q25:Q34)</f>
        <v>0</v>
      </c>
      <c r="R35" s="1483">
        <f>SUM(R25:R34)</f>
        <v>0</v>
      </c>
      <c r="S35" s="1596"/>
      <c r="T35" s="1597"/>
      <c r="U35" s="1208"/>
      <c r="V35" s="1641"/>
      <c r="W35" s="1643"/>
      <c r="X35" s="1590"/>
      <c r="AA35" s="220"/>
    </row>
    <row r="36" spans="2:27" ht="17.100000000000001" customHeight="1" thickBot="1">
      <c r="B36" s="789"/>
      <c r="C36" s="787"/>
      <c r="D36" s="1625"/>
      <c r="E36" s="1626"/>
      <c r="F36" s="1613"/>
      <c r="G36" s="788"/>
      <c r="H36" s="788"/>
      <c r="I36" s="788"/>
      <c r="J36" s="788"/>
      <c r="K36" s="788"/>
      <c r="L36" s="1615"/>
      <c r="M36" s="1592"/>
      <c r="N36" s="1592"/>
      <c r="O36" s="1592"/>
      <c r="P36" s="1592"/>
      <c r="Q36" s="1592"/>
      <c r="R36" s="1605"/>
      <c r="S36" s="1598"/>
      <c r="T36" s="1599"/>
      <c r="U36" s="1209"/>
      <c r="V36" s="1642"/>
      <c r="W36" s="1644"/>
      <c r="X36" s="1591"/>
      <c r="AA36" s="220"/>
    </row>
    <row r="37" spans="2:27" ht="57" customHeight="1">
      <c r="B37" s="791" t="s">
        <v>651</v>
      </c>
      <c r="C37" s="127"/>
      <c r="D37" s="1623" t="e" vm="2">
        <v>#VALUE!</v>
      </c>
      <c r="E37" s="1624"/>
      <c r="F37" s="229" t="s">
        <v>296</v>
      </c>
      <c r="G37" s="229" t="s">
        <v>272</v>
      </c>
      <c r="H37" s="229" t="s">
        <v>300</v>
      </c>
      <c r="I37" s="229" t="s">
        <v>301</v>
      </c>
      <c r="J37" s="177" t="s">
        <v>652</v>
      </c>
      <c r="K37" s="177" t="s">
        <v>653</v>
      </c>
      <c r="L37" s="177" t="s">
        <v>654</v>
      </c>
      <c r="M37" s="177" t="s">
        <v>655</v>
      </c>
      <c r="N37" s="177" t="s">
        <v>656</v>
      </c>
      <c r="O37" s="177" t="s">
        <v>657</v>
      </c>
      <c r="P37" s="177" t="s">
        <v>658</v>
      </c>
      <c r="Q37" s="177" t="s">
        <v>659</v>
      </c>
      <c r="R37" s="713" t="s">
        <v>660</v>
      </c>
      <c r="S37" s="1600"/>
      <c r="T37" s="1597"/>
      <c r="U37" s="1200" t="s">
        <v>661</v>
      </c>
      <c r="V37" s="995" t="str" cm="1">
        <f t="array" ref="V37">_xlfn.XLOOKUP(U37&amp;Allgemein!$C$45,Fassadenpositionen[[#Headers],[WDVS:]]&amp;Fassadenpositionen[Position Fassade],Fassadenpositionen[WDVS:],"",0,1)</f>
        <v>Nein</v>
      </c>
      <c r="W37" s="995" t="str" cm="1">
        <f t="array" ref="W37">_xlfn.XLOOKUP(U37&amp;Allgemein!$C$61,Fassadenpositionen[[#Headers],[WDVS:]]&amp;Fassadenpositionen[Position Fassade],Fassadenpositionen[WDVS:],"",0,1)</f>
        <v>Nein</v>
      </c>
      <c r="X37" s="1432" t="str" cm="1">
        <f t="array" ref="X37">_xlfn.XLOOKUP(U37&amp;Allgemein!$C$77,Fassadenpositionen[[#Headers],[WDVS:]]&amp;Fassadenpositionen[Position Fassade],Fassadenpositionen[WDVS:],"",0,1)</f>
        <v>Nein</v>
      </c>
      <c r="AA37" s="220"/>
    </row>
    <row r="38" spans="2:27" ht="17.100000000000001" customHeight="1">
      <c r="B38" s="135" t="s">
        <v>662</v>
      </c>
      <c r="C38" s="121"/>
      <c r="D38" s="1623"/>
      <c r="E38" s="1624"/>
      <c r="F38" s="18"/>
      <c r="G38" s="18"/>
      <c r="H38" s="657"/>
      <c r="I38" s="657"/>
      <c r="J38" s="657"/>
      <c r="K38" s="657"/>
      <c r="L38" s="115">
        <f t="shared" ref="L38:L47" si="12">H38*I38+J38</f>
        <v>0</v>
      </c>
      <c r="M38" s="18">
        <f>SUMIF(Fenster!$D$10:$D$2160,Fassade!F38,Fenster!$J$10:$J$2160)</f>
        <v>0</v>
      </c>
      <c r="N38" s="18">
        <f>SUMIF(Fenster!$D$10:$D$2160,Fassade!F38,Fenster!$M$10:$M$2160)</f>
        <v>0</v>
      </c>
      <c r="O38" s="18">
        <f>SUMIFS(Fenster!$M$10:$M$2160,Fenster!$D$10:$D$2160,Fassade!F38,Fenster!$L$10:$L$2160,"&gt;2,5")</f>
        <v>0</v>
      </c>
      <c r="P38" s="18">
        <f>SUMIF(Fenster!$D$10:$D$2160,Fassade!F38,Fenster!$K$10:$K$2160)</f>
        <v>0</v>
      </c>
      <c r="Q38" s="18">
        <f t="shared" ref="Q38:Q47" si="13">L38-O38</f>
        <v>0</v>
      </c>
      <c r="R38" s="187">
        <f t="shared" ref="R38:R47" si="14">L38-N38</f>
        <v>0</v>
      </c>
      <c r="S38" s="1596"/>
      <c r="T38" s="1597"/>
      <c r="U38" s="1201" t="s">
        <v>663</v>
      </c>
      <c r="V38" s="997">
        <v>0</v>
      </c>
      <c r="W38" s="952">
        <v>0</v>
      </c>
      <c r="X38" s="988">
        <v>0</v>
      </c>
      <c r="AA38" s="220"/>
    </row>
    <row r="39" spans="2:27" ht="17.100000000000001" customHeight="1">
      <c r="B39" s="234" t="s">
        <v>664</v>
      </c>
      <c r="C39" s="208"/>
      <c r="D39" s="1623"/>
      <c r="E39" s="1624"/>
      <c r="F39" s="18"/>
      <c r="G39" s="18"/>
      <c r="H39" s="657"/>
      <c r="I39" s="657"/>
      <c r="J39" s="657"/>
      <c r="K39" s="657"/>
      <c r="L39" s="115">
        <f t="shared" si="12"/>
        <v>0</v>
      </c>
      <c r="M39" s="18">
        <f>SUMIF(Fenster!$D$10:$D$2160,Fassade!F39,Fenster!$J$10:$J$2160)</f>
        <v>0</v>
      </c>
      <c r="N39" s="18">
        <f>SUMIF(Fenster!$D$10:$D$2160,Fassade!F39,Fenster!$M$10:$M$2160)</f>
        <v>0</v>
      </c>
      <c r="O39" s="18">
        <f>SUMIFS(Fenster!$M$10:$M$2160,Fenster!$D$10:$D$2160,Fassade!F39,Fenster!$L$10:$L$2160,"&gt;2,5")</f>
        <v>0</v>
      </c>
      <c r="P39" s="18">
        <f>SUMIF(Fenster!$D$10:$D$2160,Fassade!F39,Fenster!$K$10:$K$2160)</f>
        <v>0</v>
      </c>
      <c r="Q39" s="18">
        <f t="shared" si="13"/>
        <v>0</v>
      </c>
      <c r="R39" s="187">
        <f t="shared" si="14"/>
        <v>0</v>
      </c>
      <c r="S39" s="1596"/>
      <c r="T39" s="1597"/>
      <c r="U39" s="1202" t="s">
        <v>665</v>
      </c>
      <c r="V39" s="998">
        <f>IF(V37="Ja",(Q48+V38)*$V$9,0)</f>
        <v>0</v>
      </c>
      <c r="W39" s="958">
        <f>IF(W37="Ja",(Q48+W38)*$V$9,0)</f>
        <v>0</v>
      </c>
      <c r="X39" s="999">
        <f>IF(X37="Ja",(Q48+X38)*$V$9,0)</f>
        <v>0</v>
      </c>
      <c r="AA39" s="220"/>
    </row>
    <row r="40" spans="2:27" ht="17.100000000000001" customHeight="1">
      <c r="B40" s="234" t="s">
        <v>666</v>
      </c>
      <c r="C40" s="208"/>
      <c r="D40" s="1623"/>
      <c r="E40" s="1624"/>
      <c r="F40" s="18"/>
      <c r="G40" s="18"/>
      <c r="H40" s="657"/>
      <c r="I40" s="657"/>
      <c r="J40" s="657"/>
      <c r="K40" s="657"/>
      <c r="L40" s="115">
        <f t="shared" si="12"/>
        <v>0</v>
      </c>
      <c r="M40" s="18">
        <f>SUMIF(Fenster!$D$10:$D$2160,Fassade!F40,Fenster!$J$10:$J$2160)</f>
        <v>0</v>
      </c>
      <c r="N40" s="18">
        <f>SUMIF(Fenster!$D$10:$D$2160,Fassade!F40,Fenster!$M$10:$M$2160)</f>
        <v>0</v>
      </c>
      <c r="O40" s="18">
        <f>SUMIFS(Fenster!$M$10:$M$2160,Fenster!$D$10:$D$2160,Fassade!F40,Fenster!$L$10:$L$2160,"&gt;2,5")</f>
        <v>0</v>
      </c>
      <c r="P40" s="18">
        <f>SUMIF(Fenster!$D$10:$D$2160,Fassade!F40,Fenster!$K$10:$K$2160)</f>
        <v>0</v>
      </c>
      <c r="Q40" s="18">
        <f t="shared" si="13"/>
        <v>0</v>
      </c>
      <c r="R40" s="187">
        <f t="shared" si="14"/>
        <v>0</v>
      </c>
      <c r="S40" s="1596"/>
      <c r="T40" s="1597"/>
      <c r="U40" s="1203" t="s">
        <v>667</v>
      </c>
      <c r="V40" s="998">
        <f>IF(V37="Ja",(R48+V38)*$V$9,0)</f>
        <v>0</v>
      </c>
      <c r="W40" s="958">
        <f>IF(W37="Ja",(R48+W38)*$V$9,0)</f>
        <v>0</v>
      </c>
      <c r="X40" s="999">
        <f>IF(X37="Ja",(R48+X38)*$V$9,0)</f>
        <v>0</v>
      </c>
      <c r="AA40" s="220"/>
    </row>
    <row r="41" spans="2:27" ht="17.100000000000001" customHeight="1">
      <c r="B41" s="234" t="s">
        <v>668</v>
      </c>
      <c r="C41" s="208"/>
      <c r="D41" s="1623"/>
      <c r="E41" s="1624"/>
      <c r="F41" s="18"/>
      <c r="G41" s="18"/>
      <c r="H41" s="657"/>
      <c r="I41" s="657"/>
      <c r="J41" s="657"/>
      <c r="K41" s="657"/>
      <c r="L41" s="115">
        <f t="shared" si="12"/>
        <v>0</v>
      </c>
      <c r="M41" s="18">
        <f>SUMIF(Fenster!$D$10:$D$2160,Fassade!F41,Fenster!$J$10:$J$2160)</f>
        <v>0</v>
      </c>
      <c r="N41" s="18">
        <f>SUMIF(Fenster!$D$10:$D$2160,Fassade!F41,Fenster!$M$10:$M$2160)</f>
        <v>0</v>
      </c>
      <c r="O41" s="18">
        <f>SUMIFS(Fenster!$M$10:$M$2160,Fenster!$D$10:$D$2160,Fassade!F41,Fenster!$L$10:$L$2160,"&gt;2,5")</f>
        <v>0</v>
      </c>
      <c r="P41" s="18">
        <f>SUMIF(Fenster!$D$10:$D$2160,Fassade!F41,Fenster!$K$10:$K$2160)</f>
        <v>0</v>
      </c>
      <c r="Q41" s="18">
        <f t="shared" si="13"/>
        <v>0</v>
      </c>
      <c r="R41" s="187">
        <f t="shared" si="14"/>
        <v>0</v>
      </c>
      <c r="S41" s="1596"/>
      <c r="T41" s="1597"/>
      <c r="U41" s="1204" t="s">
        <v>669</v>
      </c>
      <c r="V41" s="958" t="str">
        <f>Allgemein!$D$45</f>
        <v>-</v>
      </c>
      <c r="W41" s="958" t="str">
        <f>Allgemein!$D$61</f>
        <v>-</v>
      </c>
      <c r="X41" s="1000" t="str">
        <f>Allgemein!$D$77</f>
        <v>-</v>
      </c>
      <c r="AA41" s="220"/>
    </row>
    <row r="42" spans="2:27" ht="17.100000000000001" customHeight="1">
      <c r="B42" s="234" t="s">
        <v>670</v>
      </c>
      <c r="C42" s="208"/>
      <c r="D42" s="1623"/>
      <c r="E42" s="1624"/>
      <c r="F42" s="18"/>
      <c r="G42" s="18"/>
      <c r="H42" s="657"/>
      <c r="I42" s="657"/>
      <c r="J42" s="657"/>
      <c r="K42" s="657"/>
      <c r="L42" s="115">
        <f t="shared" si="12"/>
        <v>0</v>
      </c>
      <c r="M42" s="18">
        <f>SUMIF(Fenster!$D$10:$D$2160,Fassade!F42,Fenster!$J$10:$J$2160)</f>
        <v>0</v>
      </c>
      <c r="N42" s="18">
        <f>SUMIF(Fenster!$D$10:$D$2160,Fassade!F42,Fenster!$M$10:$M$2160)</f>
        <v>0</v>
      </c>
      <c r="O42" s="18">
        <f>SUMIFS(Fenster!$M$10:$M$2160,Fenster!$D$10:$D$2160,Fassade!F42,Fenster!$L$10:$L$2160,"&gt;2,5")</f>
        <v>0</v>
      </c>
      <c r="P42" s="18">
        <f>SUMIF(Fenster!$D$10:$D$2160,Fassade!F42,Fenster!$K$10:$K$2160)</f>
        <v>0</v>
      </c>
      <c r="Q42" s="18">
        <f t="shared" si="13"/>
        <v>0</v>
      </c>
      <c r="R42" s="187">
        <f t="shared" si="14"/>
        <v>0</v>
      </c>
      <c r="S42" s="1596"/>
      <c r="T42" s="1597"/>
      <c r="U42" s="1205" t="s">
        <v>671</v>
      </c>
      <c r="V42" s="1640"/>
      <c r="W42" s="1586"/>
      <c r="X42" s="1589"/>
      <c r="AA42" s="220"/>
    </row>
    <row r="43" spans="2:27" ht="17.100000000000001" customHeight="1">
      <c r="B43" s="234" t="s">
        <v>672</v>
      </c>
      <c r="C43" s="121"/>
      <c r="D43" s="1623"/>
      <c r="E43" s="1624"/>
      <c r="F43" s="18"/>
      <c r="G43" s="18"/>
      <c r="H43" s="657"/>
      <c r="I43" s="657"/>
      <c r="J43" s="657"/>
      <c r="K43" s="657"/>
      <c r="L43" s="115">
        <f t="shared" si="12"/>
        <v>0</v>
      </c>
      <c r="M43" s="18">
        <f>SUMIF(Fenster!$D$10:$D$2160,Fassade!F43,Fenster!$J$10:$J$2160)</f>
        <v>0</v>
      </c>
      <c r="N43" s="18">
        <f>SUMIF(Fenster!$D$10:$D$2160,Fassade!F43,Fenster!$M$10:$M$2160)</f>
        <v>0</v>
      </c>
      <c r="O43" s="18">
        <f>SUMIFS(Fenster!$M$10:$M$2160,Fenster!$D$10:$D$2160,Fassade!F43,Fenster!$L$10:$L$2160,"&gt;2,5")</f>
        <v>0</v>
      </c>
      <c r="P43" s="18">
        <f>SUMIF(Fenster!$D$10:$D$2160,Fassade!F43,Fenster!$K$10:$K$2160)</f>
        <v>0</v>
      </c>
      <c r="Q43" s="18">
        <f t="shared" si="13"/>
        <v>0</v>
      </c>
      <c r="R43" s="187">
        <f t="shared" si="14"/>
        <v>0</v>
      </c>
      <c r="S43" s="1596"/>
      <c r="T43" s="1597"/>
      <c r="U43" s="1206"/>
      <c r="V43" s="1641"/>
      <c r="W43" s="1643"/>
      <c r="X43" s="1590"/>
      <c r="AA43" s="220"/>
    </row>
    <row r="44" spans="2:27" ht="17.100000000000001" customHeight="1">
      <c r="B44" s="234"/>
      <c r="C44" s="121"/>
      <c r="D44" s="1623"/>
      <c r="E44" s="1624"/>
      <c r="F44" s="18"/>
      <c r="G44" s="18"/>
      <c r="H44" s="657"/>
      <c r="I44" s="657"/>
      <c r="J44" s="657"/>
      <c r="K44" s="657"/>
      <c r="L44" s="115">
        <f t="shared" si="12"/>
        <v>0</v>
      </c>
      <c r="M44" s="18">
        <f>SUMIF(Fenster!$D$10:$D$2160,Fassade!F44,Fenster!$J$10:$J$2160)</f>
        <v>0</v>
      </c>
      <c r="N44" s="18">
        <f>SUMIF(Fenster!$D$10:$D$2160,Fassade!F44,Fenster!$M$10:$M$2160)</f>
        <v>0</v>
      </c>
      <c r="O44" s="18">
        <f>SUMIFS(Fenster!$M$10:$M$2160,Fenster!$D$10:$D$2160,Fassade!F44,Fenster!$L$10:$L$2160,"&gt;2,5")</f>
        <v>0</v>
      </c>
      <c r="P44" s="18">
        <f>SUMIF(Fenster!$D$10:$D$2160,Fassade!F44,Fenster!$K$10:$K$2160)</f>
        <v>0</v>
      </c>
      <c r="Q44" s="18">
        <f t="shared" si="13"/>
        <v>0</v>
      </c>
      <c r="R44" s="187">
        <f t="shared" si="14"/>
        <v>0</v>
      </c>
      <c r="S44" s="1596"/>
      <c r="T44" s="1597"/>
      <c r="U44" s="1206"/>
      <c r="V44" s="1641"/>
      <c r="W44" s="1643"/>
      <c r="X44" s="1590"/>
      <c r="AA44" s="220"/>
    </row>
    <row r="45" spans="2:27" ht="17.100000000000001" customHeight="1">
      <c r="B45" s="234"/>
      <c r="C45" s="121"/>
      <c r="D45" s="1623"/>
      <c r="E45" s="1624"/>
      <c r="F45" s="18"/>
      <c r="G45" s="18"/>
      <c r="H45" s="657"/>
      <c r="I45" s="657"/>
      <c r="J45" s="657"/>
      <c r="K45" s="657"/>
      <c r="L45" s="115">
        <f t="shared" si="12"/>
        <v>0</v>
      </c>
      <c r="M45" s="18">
        <f>SUMIF(Fenster!$D$10:$D$2160,Fassade!F45,Fenster!$J$10:$J$2160)</f>
        <v>0</v>
      </c>
      <c r="N45" s="18">
        <f>SUMIF(Fenster!$D$10:$D$2160,Fassade!F45,Fenster!$M$10:$M$2160)</f>
        <v>0</v>
      </c>
      <c r="O45" s="18">
        <f>SUMIFS(Fenster!$M$10:$M$2160,Fenster!$D$10:$D$2160,Fassade!F45,Fenster!$L$10:$L$2160,"&gt;2,5")</f>
        <v>0</v>
      </c>
      <c r="P45" s="18">
        <f>SUMIF(Fenster!$D$10:$D$2160,Fassade!F45,Fenster!$K$10:$K$2160)</f>
        <v>0</v>
      </c>
      <c r="Q45" s="18">
        <f t="shared" si="13"/>
        <v>0</v>
      </c>
      <c r="R45" s="187">
        <f t="shared" si="14"/>
        <v>0</v>
      </c>
      <c r="S45" s="1596"/>
      <c r="T45" s="1597"/>
      <c r="U45" s="1207"/>
      <c r="V45" s="1641"/>
      <c r="W45" s="1643"/>
      <c r="X45" s="1590"/>
      <c r="AA45" s="220"/>
    </row>
    <row r="46" spans="2:27" ht="17.100000000000001" customHeight="1">
      <c r="B46" s="234"/>
      <c r="C46" s="121"/>
      <c r="D46" s="1623"/>
      <c r="E46" s="1624"/>
      <c r="F46" s="18"/>
      <c r="G46" s="18"/>
      <c r="H46" s="657"/>
      <c r="I46" s="657"/>
      <c r="J46" s="657"/>
      <c r="K46" s="657"/>
      <c r="L46" s="115">
        <f t="shared" si="12"/>
        <v>0</v>
      </c>
      <c r="M46" s="18">
        <f>SUMIF(Fenster!$D$10:$D$2160,Fassade!F46,Fenster!$J$10:$J$2160)</f>
        <v>0</v>
      </c>
      <c r="N46" s="18">
        <f>SUMIF(Fenster!$D$10:$D$2160,Fassade!F46,Fenster!$M$10:$M$2160)</f>
        <v>0</v>
      </c>
      <c r="O46" s="18">
        <f>SUMIFS(Fenster!$M$10:$M$2160,Fenster!$D$10:$D$2160,Fassade!F46,Fenster!$L$10:$L$2160,"&gt;2,5")</f>
        <v>0</v>
      </c>
      <c r="P46" s="18">
        <f>SUMIF(Fenster!$D$10:$D$2160,Fassade!F46,Fenster!$K$10:$K$2160)</f>
        <v>0</v>
      </c>
      <c r="Q46" s="18">
        <f t="shared" si="13"/>
        <v>0</v>
      </c>
      <c r="R46" s="187">
        <f t="shared" si="14"/>
        <v>0</v>
      </c>
      <c r="S46" s="1596"/>
      <c r="T46" s="1597"/>
      <c r="U46" s="1207"/>
      <c r="V46" s="1641"/>
      <c r="W46" s="1643"/>
      <c r="X46" s="1590"/>
      <c r="AA46" s="220"/>
    </row>
    <row r="47" spans="2:27" ht="17.100000000000001" customHeight="1">
      <c r="B47" s="234"/>
      <c r="C47" s="121"/>
      <c r="D47" s="1623"/>
      <c r="E47" s="1624"/>
      <c r="F47" s="18"/>
      <c r="G47" s="18"/>
      <c r="H47" s="657"/>
      <c r="I47" s="657"/>
      <c r="J47" s="657"/>
      <c r="K47" s="657"/>
      <c r="L47" s="115">
        <f t="shared" si="12"/>
        <v>0</v>
      </c>
      <c r="M47" s="18">
        <f>SUMIF(Fenster!$D$10:$D$2160,Fassade!F47,Fenster!$J$10:$J$2160)</f>
        <v>0</v>
      </c>
      <c r="N47" s="18">
        <f>SUMIF(Fenster!$D$10:$D$2160,Fassade!F47,Fenster!$M$10:$M$2160)</f>
        <v>0</v>
      </c>
      <c r="O47" s="18">
        <f>SUMIFS(Fenster!$M$10:$M$2160,Fenster!$D$10:$D$2160,Fassade!F47,Fenster!$L$10:$L$2160,"&gt;2,5")</f>
        <v>0</v>
      </c>
      <c r="P47" s="18">
        <f>SUMIF(Fenster!$D$10:$D$2160,Fassade!F47,Fenster!$K$10:$K$2160)</f>
        <v>0</v>
      </c>
      <c r="Q47" s="18">
        <f t="shared" si="13"/>
        <v>0</v>
      </c>
      <c r="R47" s="187">
        <f t="shared" si="14"/>
        <v>0</v>
      </c>
      <c r="S47" s="1596"/>
      <c r="T47" s="1597"/>
      <c r="U47" s="1206"/>
      <c r="V47" s="1641"/>
      <c r="W47" s="1643"/>
      <c r="X47" s="1590"/>
      <c r="AA47" s="220"/>
    </row>
    <row r="48" spans="2:27" ht="17.100000000000001" customHeight="1">
      <c r="B48" s="234"/>
      <c r="C48" s="121"/>
      <c r="D48" s="1623"/>
      <c r="E48" s="1624"/>
      <c r="F48" s="1612" t="s">
        <v>187</v>
      </c>
      <c r="G48" s="18"/>
      <c r="H48" s="657"/>
      <c r="I48" s="657"/>
      <c r="J48" s="657"/>
      <c r="K48" s="657"/>
      <c r="L48" s="1614">
        <f t="shared" ref="L48" si="15">SUM(L38:L47)</f>
        <v>0</v>
      </c>
      <c r="M48" s="1477">
        <f t="shared" ref="M48" si="16">SUM(M38:M47)</f>
        <v>0</v>
      </c>
      <c r="N48" s="1477">
        <f t="shared" ref="N48" si="17">SUM(N38:N47)</f>
        <v>0</v>
      </c>
      <c r="O48" s="1477">
        <f t="shared" ref="O48" si="18">SUM(O38:O47)</f>
        <v>0</v>
      </c>
      <c r="P48" s="1477">
        <f t="shared" ref="P48" si="19">SUM(P38:P47)</f>
        <v>0</v>
      </c>
      <c r="Q48" s="1477">
        <f t="shared" ref="Q48" si="20">SUM(Q38:Q47)</f>
        <v>0</v>
      </c>
      <c r="R48" s="1483">
        <f>SUM(R38:R47)</f>
        <v>0</v>
      </c>
      <c r="S48" s="1596"/>
      <c r="T48" s="1597"/>
      <c r="U48" s="1208"/>
      <c r="V48" s="1641"/>
      <c r="W48" s="1643"/>
      <c r="X48" s="1590"/>
      <c r="AA48" s="220"/>
    </row>
    <row r="49" spans="2:27" ht="17.100000000000001" customHeight="1" thickBot="1">
      <c r="B49" s="789"/>
      <c r="C49" s="787"/>
      <c r="D49" s="1625"/>
      <c r="E49" s="1626"/>
      <c r="F49" s="1613"/>
      <c r="G49" s="788"/>
      <c r="H49" s="788"/>
      <c r="I49" s="788"/>
      <c r="J49" s="788"/>
      <c r="K49" s="788"/>
      <c r="L49" s="1615"/>
      <c r="M49" s="1592"/>
      <c r="N49" s="1592"/>
      <c r="O49" s="1592"/>
      <c r="P49" s="1592"/>
      <c r="Q49" s="1592"/>
      <c r="R49" s="1605"/>
      <c r="S49" s="1598"/>
      <c r="T49" s="1599"/>
      <c r="U49" s="1209"/>
      <c r="V49" s="1642"/>
      <c r="W49" s="1644"/>
      <c r="X49" s="1590"/>
      <c r="AA49" s="220"/>
    </row>
    <row r="50" spans="2:27" ht="57" customHeight="1">
      <c r="B50" s="135" t="s">
        <v>673</v>
      </c>
      <c r="C50" s="127"/>
      <c r="D50" s="1552" t="e" vm="3">
        <v>#VALUE!</v>
      </c>
      <c r="E50" s="1609"/>
      <c r="F50" s="229" t="s">
        <v>296</v>
      </c>
      <c r="G50" s="229" t="s">
        <v>272</v>
      </c>
      <c r="H50" s="229" t="s">
        <v>300</v>
      </c>
      <c r="I50" s="229" t="s">
        <v>301</v>
      </c>
      <c r="J50" s="177" t="s">
        <v>652</v>
      </c>
      <c r="K50" s="177" t="s">
        <v>653</v>
      </c>
      <c r="L50" s="177" t="s">
        <v>654</v>
      </c>
      <c r="M50" s="177" t="s">
        <v>655</v>
      </c>
      <c r="N50" s="177" t="s">
        <v>656</v>
      </c>
      <c r="O50" s="177" t="s">
        <v>657</v>
      </c>
      <c r="P50" s="177" t="s">
        <v>658</v>
      </c>
      <c r="Q50" s="177" t="s">
        <v>659</v>
      </c>
      <c r="R50" s="713" t="s">
        <v>660</v>
      </c>
      <c r="S50" s="1600"/>
      <c r="T50" s="1597"/>
      <c r="U50" s="1200" t="s">
        <v>661</v>
      </c>
      <c r="V50" s="995" t="str" cm="1">
        <f t="array" ref="V50">_xlfn.XLOOKUP(U50&amp;Allgemein!$C$45,Fassadenpositionen[[#Headers],[WDVS:]]&amp;Fassadenpositionen[Position Fassade],Fassadenpositionen[WDVS:],"",0,1)</f>
        <v>Nein</v>
      </c>
      <c r="W50" s="995" t="str" cm="1">
        <f t="array" ref="W50">_xlfn.XLOOKUP(U50&amp;Allgemein!$C$61,Fassadenpositionen[[#Headers],[WDVS:]]&amp;Fassadenpositionen[Position Fassade],Fassadenpositionen[WDVS:],"",0,1)</f>
        <v>Nein</v>
      </c>
      <c r="X50" s="1004" t="str" cm="1">
        <f t="array" ref="X50">_xlfn.XLOOKUP(U50&amp;Allgemein!$C$77,Fassadenpositionen[[#Headers],[WDVS:]]&amp;Fassadenpositionen[Position Fassade],Fassadenpositionen[WDVS:],"",0,1)</f>
        <v>Nein</v>
      </c>
      <c r="Y50" s="167"/>
      <c r="Z50" s="167"/>
      <c r="AA50" s="167"/>
    </row>
    <row r="51" spans="2:27" ht="17.100000000000001" customHeight="1">
      <c r="B51" s="135" t="s">
        <v>662</v>
      </c>
      <c r="C51" s="121"/>
      <c r="D51" s="1552"/>
      <c r="E51" s="1609"/>
      <c r="F51" s="18"/>
      <c r="G51" s="18"/>
      <c r="H51" s="657"/>
      <c r="I51" s="657"/>
      <c r="J51" s="657"/>
      <c r="K51" s="657"/>
      <c r="L51" s="115">
        <f t="shared" ref="L51:L60" si="21">H51*I51+J51</f>
        <v>0</v>
      </c>
      <c r="M51" s="18">
        <f>SUMIF(Fenster!$D$10:$D$2160,Fassade!F51,Fenster!$J$10:$J$2160)</f>
        <v>0</v>
      </c>
      <c r="N51" s="18">
        <f>SUMIF(Fenster!$D$10:$D$2160,Fassade!F51,Fenster!$M$10:$M$2160)</f>
        <v>0</v>
      </c>
      <c r="O51" s="18">
        <f>SUMIFS(Fenster!$M$10:$M$2160,Fenster!$D$10:$D$2160,Fassade!F51,Fenster!$L$10:$L$2160,"&gt;2,5")</f>
        <v>0</v>
      </c>
      <c r="P51" s="18">
        <f>SUMIF(Fenster!$D$10:$D$2160,Fassade!F51,Fenster!$K$10:$K$2160)</f>
        <v>0</v>
      </c>
      <c r="Q51" s="18">
        <f t="shared" ref="Q51:Q60" si="22">L51-O51</f>
        <v>0</v>
      </c>
      <c r="R51" s="187">
        <f t="shared" ref="R51:R60" si="23">L51-N51</f>
        <v>0</v>
      </c>
      <c r="S51" s="1596"/>
      <c r="T51" s="1597"/>
      <c r="U51" s="1201" t="s">
        <v>663</v>
      </c>
      <c r="V51" s="997">
        <v>0</v>
      </c>
      <c r="W51" s="952">
        <v>0</v>
      </c>
      <c r="X51" s="988">
        <v>0</v>
      </c>
      <c r="Y51" s="167"/>
      <c r="Z51" s="167"/>
      <c r="AA51" s="167"/>
    </row>
    <row r="52" spans="2:27" ht="17.100000000000001" customHeight="1">
      <c r="B52" s="234" t="s">
        <v>664</v>
      </c>
      <c r="C52" s="208"/>
      <c r="D52" s="1552"/>
      <c r="E52" s="1609"/>
      <c r="F52" s="18"/>
      <c r="G52" s="18"/>
      <c r="H52" s="657"/>
      <c r="I52" s="657"/>
      <c r="J52" s="657"/>
      <c r="K52" s="657"/>
      <c r="L52" s="115">
        <f t="shared" si="21"/>
        <v>0</v>
      </c>
      <c r="M52" s="18">
        <f>SUMIF(Fenster!$D$10:$D$2160,Fassade!F52,Fenster!$J$10:$J$2160)</f>
        <v>0</v>
      </c>
      <c r="N52" s="18">
        <f>SUMIF(Fenster!$D$10:$D$2160,Fassade!F52,Fenster!$M$10:$M$2160)</f>
        <v>0</v>
      </c>
      <c r="O52" s="18">
        <f>SUMIFS(Fenster!$M$10:$M$2160,Fenster!$D$10:$D$2160,Fassade!F52,Fenster!$L$10:$L$2160,"&gt;2,5")</f>
        <v>0</v>
      </c>
      <c r="P52" s="18">
        <f>SUMIF(Fenster!$D$10:$D$2160,Fassade!F52,Fenster!$K$10:$K$2160)</f>
        <v>0</v>
      </c>
      <c r="Q52" s="18">
        <f t="shared" si="22"/>
        <v>0</v>
      </c>
      <c r="R52" s="187">
        <f t="shared" si="23"/>
        <v>0</v>
      </c>
      <c r="S52" s="1596"/>
      <c r="T52" s="1597"/>
      <c r="U52" s="1202" t="s">
        <v>665</v>
      </c>
      <c r="V52" s="998">
        <f>IF(V50="Ja",(Q61+V51)*$V$9,0)</f>
        <v>0</v>
      </c>
      <c r="W52" s="958">
        <f>IF(W50="Ja",(Q61+W51)*$V$9,0)</f>
        <v>0</v>
      </c>
      <c r="X52" s="999">
        <f>IF(X50="Ja",(Q61+X51)*$V$9,0)</f>
        <v>0</v>
      </c>
    </row>
    <row r="53" spans="2:27" ht="17.100000000000001" customHeight="1">
      <c r="B53" s="234" t="s">
        <v>666</v>
      </c>
      <c r="C53" s="208"/>
      <c r="D53" s="1552"/>
      <c r="E53" s="1609"/>
      <c r="F53" s="18"/>
      <c r="G53" s="18"/>
      <c r="H53" s="657"/>
      <c r="I53" s="657"/>
      <c r="J53" s="657"/>
      <c r="K53" s="657"/>
      <c r="L53" s="115">
        <f t="shared" si="21"/>
        <v>0</v>
      </c>
      <c r="M53" s="18">
        <f>SUMIF(Fenster!$D$10:$D$2160,Fassade!F53,Fenster!$J$10:$J$2160)</f>
        <v>0</v>
      </c>
      <c r="N53" s="18">
        <f>SUMIF(Fenster!$D$10:$D$2160,Fassade!F53,Fenster!$M$10:$M$2160)</f>
        <v>0</v>
      </c>
      <c r="O53" s="18">
        <f>SUMIFS(Fenster!$M$10:$M$2160,Fenster!$D$10:$D$2160,Fassade!F53,Fenster!$L$10:$L$2160,"&gt;2,5")</f>
        <v>0</v>
      </c>
      <c r="P53" s="18">
        <f>SUMIF(Fenster!$D$10:$D$2160,Fassade!F53,Fenster!$K$10:$K$2160)</f>
        <v>0</v>
      </c>
      <c r="Q53" s="18">
        <f t="shared" si="22"/>
        <v>0</v>
      </c>
      <c r="R53" s="187">
        <f t="shared" si="23"/>
        <v>0</v>
      </c>
      <c r="S53" s="1596"/>
      <c r="T53" s="1597"/>
      <c r="U53" s="1203" t="s">
        <v>667</v>
      </c>
      <c r="V53" s="998">
        <f>IF(V50="Ja",(R61+V51)*$V$9,0)</f>
        <v>0</v>
      </c>
      <c r="W53" s="958">
        <f>IF(W50="Ja",(R61+W51)*$V$9,0)</f>
        <v>0</v>
      </c>
      <c r="X53" s="999">
        <f>IF(X50="Ja",(R61+X51)*$V$9,0)</f>
        <v>0</v>
      </c>
    </row>
    <row r="54" spans="2:27" ht="18.600000000000001" customHeight="1">
      <c r="B54" s="234" t="s">
        <v>674</v>
      </c>
      <c r="C54" s="208"/>
      <c r="D54" s="1552"/>
      <c r="E54" s="1609"/>
      <c r="F54" s="18"/>
      <c r="G54" s="18"/>
      <c r="H54" s="657"/>
      <c r="I54" s="657"/>
      <c r="J54" s="657"/>
      <c r="K54" s="657"/>
      <c r="L54" s="115">
        <f t="shared" si="21"/>
        <v>0</v>
      </c>
      <c r="M54" s="18">
        <f>SUMIF(Fenster!$D$10:$D$2160,Fassade!F54,Fenster!$J$10:$J$2160)</f>
        <v>0</v>
      </c>
      <c r="N54" s="18">
        <f>SUMIF(Fenster!$D$10:$D$2160,Fassade!F54,Fenster!$M$10:$M$2160)</f>
        <v>0</v>
      </c>
      <c r="O54" s="18">
        <f>SUMIFS(Fenster!$M$10:$M$2160,Fenster!$D$10:$D$2160,Fassade!F54,Fenster!$L$10:$L$2160,"&gt;2,5")</f>
        <v>0</v>
      </c>
      <c r="P54" s="18">
        <f>SUMIF(Fenster!$D$10:$D$2160,Fassade!F54,Fenster!$K$10:$K$2160)</f>
        <v>0</v>
      </c>
      <c r="Q54" s="18">
        <f t="shared" si="22"/>
        <v>0</v>
      </c>
      <c r="R54" s="187">
        <f t="shared" si="23"/>
        <v>0</v>
      </c>
      <c r="S54" s="1596"/>
      <c r="T54" s="1597"/>
      <c r="U54" s="1204" t="s">
        <v>669</v>
      </c>
      <c r="V54" s="958" t="str">
        <f>Allgemein!$D$45</f>
        <v>-</v>
      </c>
      <c r="W54" s="958" t="str">
        <f>Allgemein!$D$61</f>
        <v>-</v>
      </c>
      <c r="X54" s="1000" t="str">
        <f>Allgemein!$D$77</f>
        <v>-</v>
      </c>
    </row>
    <row r="55" spans="2:27" ht="17.100000000000001" customHeight="1">
      <c r="B55" s="234" t="s">
        <v>675</v>
      </c>
      <c r="C55" s="208"/>
      <c r="D55" s="1552"/>
      <c r="E55" s="1609"/>
      <c r="F55" s="18"/>
      <c r="G55" s="18"/>
      <c r="H55" s="657"/>
      <c r="I55" s="657"/>
      <c r="J55" s="657"/>
      <c r="K55" s="657"/>
      <c r="L55" s="115">
        <f t="shared" si="21"/>
        <v>0</v>
      </c>
      <c r="M55" s="18">
        <f>SUMIF(Fenster!$D$10:$D$2160,Fassade!F55,Fenster!$J$10:$J$2160)</f>
        <v>0</v>
      </c>
      <c r="N55" s="18">
        <f>SUMIF(Fenster!$D$10:$D$2160,Fassade!F55,Fenster!$M$10:$M$2160)</f>
        <v>0</v>
      </c>
      <c r="O55" s="18">
        <f>SUMIFS(Fenster!$M$10:$M$2160,Fenster!$D$10:$D$2160,Fassade!F55,Fenster!$L$10:$L$2160,"&gt;2,5")</f>
        <v>0</v>
      </c>
      <c r="P55" s="18">
        <f>SUMIF(Fenster!$D$10:$D$2160,Fassade!F55,Fenster!$K$10:$K$2160)</f>
        <v>0</v>
      </c>
      <c r="Q55" s="18">
        <f t="shared" si="22"/>
        <v>0</v>
      </c>
      <c r="R55" s="187">
        <f t="shared" si="23"/>
        <v>0</v>
      </c>
      <c r="S55" s="1596"/>
      <c r="T55" s="1597"/>
      <c r="U55" s="1205" t="s">
        <v>671</v>
      </c>
      <c r="V55" s="1640"/>
      <c r="W55" s="1586"/>
      <c r="X55" s="1589"/>
    </row>
    <row r="56" spans="2:27" ht="18.75" customHeight="1">
      <c r="B56" s="234" t="s">
        <v>676</v>
      </c>
      <c r="C56" s="208"/>
      <c r="D56" s="1552"/>
      <c r="E56" s="1609"/>
      <c r="F56" s="18"/>
      <c r="G56" s="18"/>
      <c r="H56" s="657"/>
      <c r="I56" s="657"/>
      <c r="J56" s="657"/>
      <c r="K56" s="657"/>
      <c r="L56" s="115">
        <f t="shared" si="21"/>
        <v>0</v>
      </c>
      <c r="M56" s="18">
        <f>SUMIF(Fenster!$D$10:$D$2160,Fassade!F56,Fenster!$J$10:$J$2160)</f>
        <v>0</v>
      </c>
      <c r="N56" s="18">
        <f>SUMIF(Fenster!$D$10:$D$2160,Fassade!F56,Fenster!$M$10:$M$2160)</f>
        <v>0</v>
      </c>
      <c r="O56" s="18">
        <f>SUMIFS(Fenster!$M$10:$M$2160,Fenster!$D$10:$D$2160,Fassade!F56,Fenster!$L$10:$L$2160,"&gt;2,5")</f>
        <v>0</v>
      </c>
      <c r="P56" s="18">
        <f>SUMIF(Fenster!$D$10:$D$2160,Fassade!F56,Fenster!$K$10:$K$2160)</f>
        <v>0</v>
      </c>
      <c r="Q56" s="18">
        <f t="shared" si="22"/>
        <v>0</v>
      </c>
      <c r="R56" s="187">
        <f t="shared" si="23"/>
        <v>0</v>
      </c>
      <c r="S56" s="1596"/>
      <c r="T56" s="1597"/>
      <c r="U56" s="1206"/>
      <c r="V56" s="1641"/>
      <c r="W56" s="1643"/>
      <c r="X56" s="1590"/>
    </row>
    <row r="57" spans="2:27" ht="17.100000000000001" customHeight="1">
      <c r="B57" s="234" t="s">
        <v>668</v>
      </c>
      <c r="C57" s="208"/>
      <c r="D57" s="1552"/>
      <c r="E57" s="1609"/>
      <c r="F57" s="18"/>
      <c r="G57" s="18"/>
      <c r="H57" s="657"/>
      <c r="I57" s="657"/>
      <c r="J57" s="657"/>
      <c r="K57" s="657"/>
      <c r="L57" s="115">
        <f t="shared" si="21"/>
        <v>0</v>
      </c>
      <c r="M57" s="18">
        <f>SUMIF(Fenster!$D$10:$D$2160,Fassade!F57,Fenster!$J$10:$J$2160)</f>
        <v>0</v>
      </c>
      <c r="N57" s="18">
        <f>SUMIF(Fenster!$D$10:$D$2160,Fassade!F57,Fenster!$M$10:$M$2160)</f>
        <v>0</v>
      </c>
      <c r="O57" s="18">
        <f>SUMIFS(Fenster!$M$10:$M$2160,Fenster!$D$10:$D$2160,Fassade!F57,Fenster!$L$10:$L$2160,"&gt;2,5")</f>
        <v>0</v>
      </c>
      <c r="P57" s="18">
        <f>SUMIF(Fenster!$D$10:$D$2160,Fassade!F57,Fenster!$K$10:$K$2160)</f>
        <v>0</v>
      </c>
      <c r="Q57" s="18">
        <f t="shared" si="22"/>
        <v>0</v>
      </c>
      <c r="R57" s="187">
        <f t="shared" si="23"/>
        <v>0</v>
      </c>
      <c r="S57" s="1596"/>
      <c r="T57" s="1597"/>
      <c r="U57" s="1206"/>
      <c r="V57" s="1641"/>
      <c r="W57" s="1643"/>
      <c r="X57" s="1590"/>
    </row>
    <row r="58" spans="2:27" ht="17.100000000000001" customHeight="1">
      <c r="B58" s="234" t="s">
        <v>670</v>
      </c>
      <c r="C58" s="208"/>
      <c r="D58" s="1552"/>
      <c r="E58" s="1609"/>
      <c r="F58" s="18"/>
      <c r="G58" s="18"/>
      <c r="H58" s="657"/>
      <c r="I58" s="657"/>
      <c r="J58" s="657"/>
      <c r="K58" s="657"/>
      <c r="L58" s="115">
        <f t="shared" si="21"/>
        <v>0</v>
      </c>
      <c r="M58" s="18">
        <f>SUMIF(Fenster!$D$10:$D$2160,Fassade!F58,Fenster!$J$10:$J$2160)</f>
        <v>0</v>
      </c>
      <c r="N58" s="18">
        <f>SUMIF(Fenster!$D$10:$D$2160,Fassade!F58,Fenster!$M$10:$M$2160)</f>
        <v>0</v>
      </c>
      <c r="O58" s="18">
        <f>SUMIFS(Fenster!$M$10:$M$2160,Fenster!$D$10:$D$2160,Fassade!F58,Fenster!$L$10:$L$2160,"&gt;2,5")</f>
        <v>0</v>
      </c>
      <c r="P58" s="18">
        <f>SUMIF(Fenster!$D$10:$D$2160,Fassade!F58,Fenster!$K$10:$K$2160)</f>
        <v>0</v>
      </c>
      <c r="Q58" s="18">
        <f t="shared" si="22"/>
        <v>0</v>
      </c>
      <c r="R58" s="187">
        <f t="shared" si="23"/>
        <v>0</v>
      </c>
      <c r="S58" s="1596"/>
      <c r="T58" s="1597"/>
      <c r="U58" s="1207"/>
      <c r="V58" s="1641"/>
      <c r="W58" s="1643"/>
      <c r="X58" s="1590"/>
    </row>
    <row r="59" spans="2:27" ht="17.100000000000001" customHeight="1">
      <c r="B59" s="234" t="s">
        <v>672</v>
      </c>
      <c r="C59" s="121"/>
      <c r="D59" s="1552"/>
      <c r="E59" s="1609"/>
      <c r="F59" s="18"/>
      <c r="G59" s="18"/>
      <c r="H59" s="657"/>
      <c r="I59" s="657"/>
      <c r="J59" s="657"/>
      <c r="K59" s="657"/>
      <c r="L59" s="115">
        <f t="shared" si="21"/>
        <v>0</v>
      </c>
      <c r="M59" s="18">
        <f>SUMIF(Fenster!$D$10:$D$2160,Fassade!F59,Fenster!$J$10:$J$2160)</f>
        <v>0</v>
      </c>
      <c r="N59" s="18">
        <f>SUMIF(Fenster!$D$10:$D$2160,Fassade!F59,Fenster!$M$10:$M$2160)</f>
        <v>0</v>
      </c>
      <c r="O59" s="18">
        <f>SUMIFS(Fenster!$M$10:$M$2160,Fenster!$D$10:$D$2160,Fassade!F59,Fenster!$L$10:$L$2160,"&gt;2,5")</f>
        <v>0</v>
      </c>
      <c r="P59" s="18">
        <f>SUMIF(Fenster!$D$10:$D$2160,Fassade!F59,Fenster!$K$10:$K$2160)</f>
        <v>0</v>
      </c>
      <c r="Q59" s="18">
        <f t="shared" si="22"/>
        <v>0</v>
      </c>
      <c r="R59" s="187">
        <f t="shared" si="23"/>
        <v>0</v>
      </c>
      <c r="S59" s="1596"/>
      <c r="T59" s="1597"/>
      <c r="U59" s="1207"/>
      <c r="V59" s="1641"/>
      <c r="W59" s="1643"/>
      <c r="X59" s="1590"/>
    </row>
    <row r="60" spans="2:27" ht="17.100000000000001" customHeight="1">
      <c r="B60" s="234"/>
      <c r="C60" s="121"/>
      <c r="D60" s="1552"/>
      <c r="E60" s="1609"/>
      <c r="F60" s="18"/>
      <c r="G60" s="18"/>
      <c r="H60" s="657"/>
      <c r="I60" s="657"/>
      <c r="J60" s="657"/>
      <c r="K60" s="657"/>
      <c r="L60" s="115">
        <f t="shared" si="21"/>
        <v>0</v>
      </c>
      <c r="M60" s="18">
        <f>SUMIF(Fenster!$D$10:$D$2160,Fassade!F60,Fenster!$J$10:$J$2160)</f>
        <v>0</v>
      </c>
      <c r="N60" s="18">
        <f>SUMIF(Fenster!$D$10:$D$2160,Fassade!F60,Fenster!$M$10:$M$2160)</f>
        <v>0</v>
      </c>
      <c r="O60" s="18">
        <f>SUMIFS(Fenster!$M$10:$M$2160,Fenster!$D$10:$D$2160,Fassade!F60,Fenster!$L$10:$L$2160,"&gt;2,5")</f>
        <v>0</v>
      </c>
      <c r="P60" s="18">
        <f>SUMIF(Fenster!$D$10:$D$2160,Fassade!F60,Fenster!$K$10:$K$2160)</f>
        <v>0</v>
      </c>
      <c r="Q60" s="18">
        <f t="shared" si="22"/>
        <v>0</v>
      </c>
      <c r="R60" s="187">
        <f t="shared" si="23"/>
        <v>0</v>
      </c>
      <c r="S60" s="1596"/>
      <c r="T60" s="1597"/>
      <c r="U60" s="1206"/>
      <c r="V60" s="1641"/>
      <c r="W60" s="1643"/>
      <c r="X60" s="1590"/>
    </row>
    <row r="61" spans="2:27" ht="17.100000000000001" customHeight="1">
      <c r="B61" s="234"/>
      <c r="C61" s="121"/>
      <c r="D61" s="1552"/>
      <c r="E61" s="1609"/>
      <c r="F61" s="1612" t="s">
        <v>187</v>
      </c>
      <c r="G61" s="18"/>
      <c r="H61" s="657"/>
      <c r="I61" s="657"/>
      <c r="J61" s="657"/>
      <c r="K61" s="657"/>
      <c r="L61" s="1614">
        <f t="shared" ref="L61" si="24">SUM(L51:L60)</f>
        <v>0</v>
      </c>
      <c r="M61" s="1477">
        <f t="shared" ref="M61" si="25">SUM(M51:M60)</f>
        <v>0</v>
      </c>
      <c r="N61" s="1477">
        <f t="shared" ref="N61" si="26">SUM(N51:N60)</f>
        <v>0</v>
      </c>
      <c r="O61" s="1477">
        <f t="shared" ref="O61" si="27">SUM(O51:O60)</f>
        <v>0</v>
      </c>
      <c r="P61" s="1477">
        <f t="shared" ref="P61" si="28">SUM(P51:P60)</f>
        <v>0</v>
      </c>
      <c r="Q61" s="1477">
        <f t="shared" ref="Q61" si="29">SUM(Q51:Q60)</f>
        <v>0</v>
      </c>
      <c r="R61" s="1483">
        <f>SUM(R51:R60)</f>
        <v>0</v>
      </c>
      <c r="S61" s="1596"/>
      <c r="T61" s="1597"/>
      <c r="U61" s="1208"/>
      <c r="V61" s="1641"/>
      <c r="W61" s="1643"/>
      <c r="X61" s="1590"/>
    </row>
    <row r="62" spans="2:27" ht="17.100000000000001" customHeight="1" thickBot="1">
      <c r="B62" s="789"/>
      <c r="C62" s="787"/>
      <c r="D62" s="1610"/>
      <c r="E62" s="1611"/>
      <c r="F62" s="1613"/>
      <c r="G62" s="788"/>
      <c r="H62" s="788"/>
      <c r="I62" s="788"/>
      <c r="J62" s="788"/>
      <c r="K62" s="788"/>
      <c r="L62" s="1615"/>
      <c r="M62" s="1592"/>
      <c r="N62" s="1592"/>
      <c r="O62" s="1592"/>
      <c r="P62" s="1592"/>
      <c r="Q62" s="1592"/>
      <c r="R62" s="1605"/>
      <c r="S62" s="1598"/>
      <c r="T62" s="1599"/>
      <c r="U62" s="1209"/>
      <c r="V62" s="1642"/>
      <c r="W62" s="1644"/>
      <c r="X62" s="1590"/>
    </row>
    <row r="63" spans="2:27" ht="57" customHeight="1">
      <c r="B63" s="135" t="s">
        <v>673</v>
      </c>
      <c r="C63" s="127"/>
      <c r="D63" s="1552" t="e" vm="3">
        <v>#VALUE!</v>
      </c>
      <c r="E63" s="1609"/>
      <c r="F63" s="229" t="s">
        <v>296</v>
      </c>
      <c r="G63" s="229" t="s">
        <v>272</v>
      </c>
      <c r="H63" s="229" t="s">
        <v>300</v>
      </c>
      <c r="I63" s="229" t="s">
        <v>301</v>
      </c>
      <c r="J63" s="177" t="s">
        <v>652</v>
      </c>
      <c r="K63" s="177" t="s">
        <v>653</v>
      </c>
      <c r="L63" s="177" t="s">
        <v>654</v>
      </c>
      <c r="M63" s="177" t="s">
        <v>655</v>
      </c>
      <c r="N63" s="177" t="s">
        <v>656</v>
      </c>
      <c r="O63" s="177" t="s">
        <v>657</v>
      </c>
      <c r="P63" s="177" t="s">
        <v>658</v>
      </c>
      <c r="Q63" s="177" t="s">
        <v>659</v>
      </c>
      <c r="R63" s="713" t="s">
        <v>660</v>
      </c>
      <c r="S63" s="1600"/>
      <c r="T63" s="1597"/>
      <c r="U63" s="1200" t="s">
        <v>661</v>
      </c>
      <c r="V63" s="995" t="str" cm="1">
        <f t="array" ref="V63">_xlfn.XLOOKUP(U63&amp;Allgemein!$C$45,Fassadenpositionen[[#Headers],[WDVS:]]&amp;Fassadenpositionen[Position Fassade],Fassadenpositionen[WDVS:],"",0,1)</f>
        <v>Nein</v>
      </c>
      <c r="W63" s="995" t="str" cm="1">
        <f t="array" ref="W63">_xlfn.XLOOKUP(U63&amp;Allgemein!$C$61,Fassadenpositionen[[#Headers],[WDVS:]]&amp;Fassadenpositionen[Position Fassade],Fassadenpositionen[WDVS:],"",0,1)</f>
        <v>Nein</v>
      </c>
      <c r="X63" s="1004" t="str" cm="1">
        <f t="array" ref="X63">_xlfn.XLOOKUP(U63&amp;Allgemein!$C$77,Fassadenpositionen[[#Headers],[WDVS:]]&amp;Fassadenpositionen[Position Fassade],Fassadenpositionen[WDVS:],"",0,1)</f>
        <v>Nein</v>
      </c>
    </row>
    <row r="64" spans="2:27" ht="21" customHeight="1">
      <c r="B64" s="135" t="s">
        <v>662</v>
      </c>
      <c r="C64" s="121"/>
      <c r="D64" s="1552"/>
      <c r="E64" s="1609"/>
      <c r="F64" s="18"/>
      <c r="G64" s="18"/>
      <c r="H64" s="657"/>
      <c r="I64" s="657"/>
      <c r="J64" s="657"/>
      <c r="K64" s="657"/>
      <c r="L64" s="115">
        <f t="shared" ref="L64:L73" si="30">H64*I64+J64</f>
        <v>0</v>
      </c>
      <c r="M64" s="18">
        <f>SUMIF(Fenster!$D$10:$D$2160,Fassade!F64,Fenster!$J$10:$J$2160)</f>
        <v>0</v>
      </c>
      <c r="N64" s="18">
        <f>SUMIF(Fenster!$D$10:$D$2160,Fassade!F64,Fenster!$M$10:$M$2160)</f>
        <v>0</v>
      </c>
      <c r="O64" s="18">
        <f>SUMIFS(Fenster!$M$10:$M$2160,Fenster!$D$10:$D$2160,Fassade!F64,Fenster!$L$10:$L$2160,"&gt;2,5")</f>
        <v>0</v>
      </c>
      <c r="P64" s="18">
        <f>SUMIF(Fenster!$D$10:$D$2160,Fassade!F64,Fenster!$K$10:$K$2160)</f>
        <v>0</v>
      </c>
      <c r="Q64" s="18">
        <f t="shared" ref="Q64:Q73" si="31">L64-O64</f>
        <v>0</v>
      </c>
      <c r="R64" s="187">
        <f t="shared" ref="R64:R73" si="32">L64-N64</f>
        <v>0</v>
      </c>
      <c r="S64" s="1596"/>
      <c r="T64" s="1597"/>
      <c r="U64" s="1201" t="s">
        <v>663</v>
      </c>
      <c r="V64" s="997">
        <v>0</v>
      </c>
      <c r="W64" s="952">
        <v>0</v>
      </c>
      <c r="X64" s="988">
        <v>0</v>
      </c>
    </row>
    <row r="65" spans="2:30" ht="19.5" customHeight="1">
      <c r="B65" s="234" t="s">
        <v>664</v>
      </c>
      <c r="C65" s="208"/>
      <c r="D65" s="1552"/>
      <c r="E65" s="1609"/>
      <c r="F65" s="18"/>
      <c r="G65" s="18"/>
      <c r="H65" s="657"/>
      <c r="I65" s="657"/>
      <c r="J65" s="657"/>
      <c r="K65" s="657"/>
      <c r="L65" s="115">
        <f t="shared" si="30"/>
        <v>0</v>
      </c>
      <c r="M65" s="18">
        <f>SUMIF(Fenster!$D$10:$D$2160,Fassade!F65,Fenster!$J$10:$J$2160)</f>
        <v>0</v>
      </c>
      <c r="N65" s="18">
        <f>SUMIF(Fenster!$D$10:$D$2160,Fassade!F65,Fenster!$M$10:$M$2160)</f>
        <v>0</v>
      </c>
      <c r="O65" s="18">
        <f>SUMIFS(Fenster!$M$10:$M$2160,Fenster!$D$10:$D$2160,Fassade!F65,Fenster!$L$10:$L$2160,"&gt;2,5")</f>
        <v>0</v>
      </c>
      <c r="P65" s="18">
        <f>SUMIF(Fenster!$D$10:$D$2160,Fassade!F65,Fenster!$K$10:$K$2160)</f>
        <v>0</v>
      </c>
      <c r="Q65" s="18">
        <f t="shared" si="31"/>
        <v>0</v>
      </c>
      <c r="R65" s="187">
        <f t="shared" si="32"/>
        <v>0</v>
      </c>
      <c r="S65" s="1596"/>
      <c r="T65" s="1597"/>
      <c r="U65" s="1202" t="s">
        <v>665</v>
      </c>
      <c r="V65" s="998">
        <f>IF(V63="Ja",(Q74+V64)*$V$9,0)</f>
        <v>0</v>
      </c>
      <c r="W65" s="958">
        <f>IF(W63="Ja",(Q74+W64)*$V$9,0)</f>
        <v>0</v>
      </c>
      <c r="X65" s="999">
        <f>IF(X63="Ja",(Q74+X64)*$V$9,0)</f>
        <v>0</v>
      </c>
    </row>
    <row r="66" spans="2:30">
      <c r="B66" s="234" t="s">
        <v>666</v>
      </c>
      <c r="C66" s="208"/>
      <c r="D66" s="1552"/>
      <c r="E66" s="1609"/>
      <c r="F66" s="18"/>
      <c r="G66" s="18"/>
      <c r="H66" s="657"/>
      <c r="I66" s="657"/>
      <c r="J66" s="657"/>
      <c r="K66" s="657"/>
      <c r="L66" s="115">
        <f t="shared" si="30"/>
        <v>0</v>
      </c>
      <c r="M66" s="18">
        <f>SUMIF(Fenster!$D$10:$D$2160,Fassade!F66,Fenster!$J$10:$J$2160)</f>
        <v>0</v>
      </c>
      <c r="N66" s="18">
        <f>SUMIF(Fenster!$D$10:$D$2160,Fassade!F66,Fenster!$M$10:$M$2160)</f>
        <v>0</v>
      </c>
      <c r="O66" s="18">
        <f>SUMIFS(Fenster!$M$10:$M$2160,Fenster!$D$10:$D$2160,Fassade!F66,Fenster!$L$10:$L$2160,"&gt;2,5")</f>
        <v>0</v>
      </c>
      <c r="P66" s="18">
        <f>SUMIF(Fenster!$D$10:$D$2160,Fassade!F66,Fenster!$K$10:$K$2160)</f>
        <v>0</v>
      </c>
      <c r="Q66" s="18">
        <f t="shared" si="31"/>
        <v>0</v>
      </c>
      <c r="R66" s="187">
        <f t="shared" si="32"/>
        <v>0</v>
      </c>
      <c r="S66" s="1596"/>
      <c r="T66" s="1597"/>
      <c r="U66" s="1203" t="s">
        <v>667</v>
      </c>
      <c r="V66" s="998">
        <f>IF(V63="Ja",(R74+V64)*$V$9,0)</f>
        <v>0</v>
      </c>
      <c r="W66" s="958">
        <f>IF(W63="Ja",(R74+W64)*$V$9,0)</f>
        <v>0</v>
      </c>
      <c r="X66" s="999">
        <f>IF(X63="Ja",(R74+X64)*$V$9,0)</f>
        <v>0</v>
      </c>
    </row>
    <row r="67" spans="2:30" ht="18.75" customHeight="1">
      <c r="B67" s="234" t="s">
        <v>674</v>
      </c>
      <c r="C67" s="208"/>
      <c r="D67" s="1552"/>
      <c r="E67" s="1609"/>
      <c r="F67" s="18"/>
      <c r="G67" s="18"/>
      <c r="H67" s="657"/>
      <c r="I67" s="657"/>
      <c r="J67" s="657"/>
      <c r="K67" s="657"/>
      <c r="L67" s="115">
        <f t="shared" si="30"/>
        <v>0</v>
      </c>
      <c r="M67" s="18">
        <f>SUMIF(Fenster!$D$10:$D$2160,Fassade!F67,Fenster!$J$10:$J$2160)</f>
        <v>0</v>
      </c>
      <c r="N67" s="18">
        <f>SUMIF(Fenster!$D$10:$D$2160,Fassade!F67,Fenster!$M$10:$M$2160)</f>
        <v>0</v>
      </c>
      <c r="O67" s="18">
        <f>SUMIFS(Fenster!$M$10:$M$2160,Fenster!$D$10:$D$2160,Fassade!F67,Fenster!$L$10:$L$2160,"&gt;2,5")</f>
        <v>0</v>
      </c>
      <c r="P67" s="18">
        <f>SUMIF(Fenster!$D$10:$D$2160,Fassade!F67,Fenster!$K$10:$K$2160)</f>
        <v>0</v>
      </c>
      <c r="Q67" s="18">
        <f t="shared" si="31"/>
        <v>0</v>
      </c>
      <c r="R67" s="187">
        <f t="shared" si="32"/>
        <v>0</v>
      </c>
      <c r="S67" s="1596"/>
      <c r="T67" s="1597"/>
      <c r="U67" s="1204" t="s">
        <v>669</v>
      </c>
      <c r="V67" s="958" t="str">
        <f>Allgemein!$D$45</f>
        <v>-</v>
      </c>
      <c r="W67" s="958" t="str">
        <f>Allgemein!$D$61</f>
        <v>-</v>
      </c>
      <c r="X67" s="1000" t="str">
        <f>Allgemein!$D$77</f>
        <v>-</v>
      </c>
    </row>
    <row r="68" spans="2:30" ht="30.75" customHeight="1">
      <c r="B68" s="234" t="s">
        <v>675</v>
      </c>
      <c r="C68" s="208"/>
      <c r="D68" s="1552"/>
      <c r="E68" s="1609"/>
      <c r="F68" s="18"/>
      <c r="G68" s="18"/>
      <c r="H68" s="657"/>
      <c r="I68" s="657"/>
      <c r="J68" s="657"/>
      <c r="K68" s="657"/>
      <c r="L68" s="115">
        <f t="shared" si="30"/>
        <v>0</v>
      </c>
      <c r="M68" s="18">
        <f>SUMIF(Fenster!$D$10:$D$2160,Fassade!F68,Fenster!$J$10:$J$2160)</f>
        <v>0</v>
      </c>
      <c r="N68" s="18">
        <f>SUMIF(Fenster!$D$10:$D$2160,Fassade!F68,Fenster!$M$10:$M$2160)</f>
        <v>0</v>
      </c>
      <c r="O68" s="18">
        <f>SUMIFS(Fenster!$M$10:$M$2160,Fenster!$D$10:$D$2160,Fassade!F68,Fenster!$L$10:$L$2160,"&gt;2,5")</f>
        <v>0</v>
      </c>
      <c r="P68" s="18">
        <f>SUMIF(Fenster!$D$10:$D$2160,Fassade!F68,Fenster!$K$10:$K$2160)</f>
        <v>0</v>
      </c>
      <c r="Q68" s="18">
        <f t="shared" si="31"/>
        <v>0</v>
      </c>
      <c r="R68" s="187">
        <f t="shared" si="32"/>
        <v>0</v>
      </c>
      <c r="S68" s="1596"/>
      <c r="T68" s="1597"/>
      <c r="U68" s="1205" t="s">
        <v>671</v>
      </c>
      <c r="V68" s="1640"/>
      <c r="W68" s="1586"/>
      <c r="X68" s="1589"/>
      <c r="Z68" s="374"/>
    </row>
    <row r="69" spans="2:30" ht="17.25" customHeight="1">
      <c r="B69" s="234" t="s">
        <v>676</v>
      </c>
      <c r="C69" s="208"/>
      <c r="D69" s="1552"/>
      <c r="E69" s="1609"/>
      <c r="F69" s="18"/>
      <c r="G69" s="18"/>
      <c r="H69" s="657"/>
      <c r="I69" s="657"/>
      <c r="J69" s="657"/>
      <c r="K69" s="657"/>
      <c r="L69" s="115">
        <f t="shared" si="30"/>
        <v>0</v>
      </c>
      <c r="M69" s="18">
        <f>SUMIF(Fenster!$D$10:$D$2160,Fassade!F69,Fenster!$J$10:$J$2160)</f>
        <v>0</v>
      </c>
      <c r="N69" s="18">
        <f>SUMIF(Fenster!$D$10:$D$2160,Fassade!F69,Fenster!$M$10:$M$2160)</f>
        <v>0</v>
      </c>
      <c r="O69" s="18">
        <f>SUMIFS(Fenster!$M$10:$M$2160,Fenster!$D$10:$D$2160,Fassade!F69,Fenster!$L$10:$L$2160,"&gt;2,5")</f>
        <v>0</v>
      </c>
      <c r="P69" s="18">
        <f>SUMIF(Fenster!$D$10:$D$2160,Fassade!F69,Fenster!$K$10:$K$2160)</f>
        <v>0</v>
      </c>
      <c r="Q69" s="18">
        <f t="shared" si="31"/>
        <v>0</v>
      </c>
      <c r="R69" s="187">
        <f t="shared" si="32"/>
        <v>0</v>
      </c>
      <c r="S69" s="1596"/>
      <c r="T69" s="1597"/>
      <c r="U69" s="1206"/>
      <c r="V69" s="1641"/>
      <c r="W69" s="1643"/>
      <c r="X69" s="1590"/>
    </row>
    <row r="70" spans="2:30">
      <c r="B70" s="234" t="s">
        <v>668</v>
      </c>
      <c r="C70" s="208"/>
      <c r="D70" s="1552"/>
      <c r="E70" s="1609"/>
      <c r="F70" s="18"/>
      <c r="G70" s="18"/>
      <c r="H70" s="657"/>
      <c r="I70" s="657"/>
      <c r="J70" s="657"/>
      <c r="K70" s="657"/>
      <c r="L70" s="115">
        <f t="shared" si="30"/>
        <v>0</v>
      </c>
      <c r="M70" s="18">
        <f>SUMIF(Fenster!$D$10:$D$2160,Fassade!F70,Fenster!$J$10:$J$2160)</f>
        <v>0</v>
      </c>
      <c r="N70" s="18">
        <f>SUMIF(Fenster!$D$10:$D$2160,Fassade!F70,Fenster!$M$10:$M$2160)</f>
        <v>0</v>
      </c>
      <c r="O70" s="18">
        <f>SUMIFS(Fenster!$M$10:$M$2160,Fenster!$D$10:$D$2160,Fassade!F70,Fenster!$L$10:$L$2160,"&gt;2,5")</f>
        <v>0</v>
      </c>
      <c r="P70" s="18">
        <f>SUMIF(Fenster!$D$10:$D$2160,Fassade!F70,Fenster!$K$10:$K$2160)</f>
        <v>0</v>
      </c>
      <c r="Q70" s="18">
        <f t="shared" si="31"/>
        <v>0</v>
      </c>
      <c r="R70" s="187">
        <f t="shared" si="32"/>
        <v>0</v>
      </c>
      <c r="S70" s="1596"/>
      <c r="T70" s="1597"/>
      <c r="U70" s="1206"/>
      <c r="V70" s="1641"/>
      <c r="W70" s="1643"/>
      <c r="X70" s="1590"/>
      <c r="Z70" s="317"/>
      <c r="AA70" s="317"/>
    </row>
    <row r="71" spans="2:30">
      <c r="B71" s="234" t="s">
        <v>670</v>
      </c>
      <c r="C71" s="208"/>
      <c r="D71" s="1552"/>
      <c r="E71" s="1609"/>
      <c r="F71" s="18"/>
      <c r="G71" s="18"/>
      <c r="H71" s="657"/>
      <c r="I71" s="657"/>
      <c r="J71" s="657"/>
      <c r="K71" s="657"/>
      <c r="L71" s="115">
        <f t="shared" si="30"/>
        <v>0</v>
      </c>
      <c r="M71" s="18">
        <f>SUMIF(Fenster!$D$10:$D$2160,Fassade!F71,Fenster!$J$10:$J$2160)</f>
        <v>0</v>
      </c>
      <c r="N71" s="18">
        <f>SUMIF(Fenster!$D$10:$D$2160,Fassade!F71,Fenster!$M$10:$M$2160)</f>
        <v>0</v>
      </c>
      <c r="O71" s="18">
        <f>SUMIFS(Fenster!$M$10:$M$2160,Fenster!$D$10:$D$2160,Fassade!F71,Fenster!$L$10:$L$2160,"&gt;2,5")</f>
        <v>0</v>
      </c>
      <c r="P71" s="18">
        <f>SUMIF(Fenster!$D$10:$D$2160,Fassade!F71,Fenster!$K$10:$K$2160)</f>
        <v>0</v>
      </c>
      <c r="Q71" s="18">
        <f t="shared" si="31"/>
        <v>0</v>
      </c>
      <c r="R71" s="187">
        <f t="shared" si="32"/>
        <v>0</v>
      </c>
      <c r="S71" s="1596"/>
      <c r="T71" s="1597"/>
      <c r="U71" s="1207"/>
      <c r="V71" s="1641"/>
      <c r="W71" s="1643"/>
      <c r="X71" s="1590"/>
      <c r="AA71" s="167"/>
    </row>
    <row r="72" spans="2:30">
      <c r="B72" s="234" t="s">
        <v>672</v>
      </c>
      <c r="C72" s="121"/>
      <c r="D72" s="1552"/>
      <c r="E72" s="1609"/>
      <c r="F72" s="18"/>
      <c r="G72" s="18"/>
      <c r="H72" s="657"/>
      <c r="I72" s="657"/>
      <c r="J72" s="657"/>
      <c r="K72" s="657"/>
      <c r="L72" s="115">
        <f t="shared" si="30"/>
        <v>0</v>
      </c>
      <c r="M72" s="18">
        <f>SUMIF(Fenster!$D$10:$D$2160,Fassade!F72,Fenster!$J$10:$J$2160)</f>
        <v>0</v>
      </c>
      <c r="N72" s="18">
        <f>SUMIF(Fenster!$D$10:$D$2160,Fassade!F72,Fenster!$M$10:$M$2160)</f>
        <v>0</v>
      </c>
      <c r="O72" s="18">
        <f>SUMIFS(Fenster!$M$10:$M$2160,Fenster!$D$10:$D$2160,Fassade!F72,Fenster!$L$10:$L$2160,"&gt;2,5")</f>
        <v>0</v>
      </c>
      <c r="P72" s="18">
        <f>SUMIF(Fenster!$D$10:$D$2160,Fassade!F72,Fenster!$K$10:$K$2160)</f>
        <v>0</v>
      </c>
      <c r="Q72" s="18">
        <f t="shared" si="31"/>
        <v>0</v>
      </c>
      <c r="R72" s="187">
        <f t="shared" si="32"/>
        <v>0</v>
      </c>
      <c r="S72" s="1596"/>
      <c r="T72" s="1597"/>
      <c r="U72" s="1207"/>
      <c r="V72" s="1641"/>
      <c r="W72" s="1643"/>
      <c r="X72" s="1590"/>
    </row>
    <row r="73" spans="2:30">
      <c r="B73" s="234"/>
      <c r="C73" s="121"/>
      <c r="D73" s="1552"/>
      <c r="E73" s="1609"/>
      <c r="F73" s="18"/>
      <c r="G73" s="18"/>
      <c r="H73" s="657"/>
      <c r="I73" s="657"/>
      <c r="J73" s="657"/>
      <c r="K73" s="657"/>
      <c r="L73" s="115">
        <f t="shared" si="30"/>
        <v>0</v>
      </c>
      <c r="M73" s="18">
        <f>SUMIF(Fenster!$D$10:$D$2160,Fassade!F73,Fenster!$J$10:$J$2160)</f>
        <v>0</v>
      </c>
      <c r="N73" s="18">
        <f>SUMIF(Fenster!$D$10:$D$2160,Fassade!F73,Fenster!$M$10:$M$2160)</f>
        <v>0</v>
      </c>
      <c r="O73" s="18">
        <f>SUMIFS(Fenster!$M$10:$M$2160,Fenster!$D$10:$D$2160,Fassade!F73,Fenster!$L$10:$L$2160,"&gt;2,5")</f>
        <v>0</v>
      </c>
      <c r="P73" s="18">
        <f>SUMIF(Fenster!$D$10:$D$2160,Fassade!F73,Fenster!$K$10:$K$2160)</f>
        <v>0</v>
      </c>
      <c r="Q73" s="18">
        <f t="shared" si="31"/>
        <v>0</v>
      </c>
      <c r="R73" s="187">
        <f t="shared" si="32"/>
        <v>0</v>
      </c>
      <c r="S73" s="1596"/>
      <c r="T73" s="1597"/>
      <c r="U73" s="1206"/>
      <c r="V73" s="1641"/>
      <c r="W73" s="1643"/>
      <c r="X73" s="1590"/>
    </row>
    <row r="74" spans="2:30" ht="21.75" customHeight="1">
      <c r="B74" s="234"/>
      <c r="C74" s="121"/>
      <c r="D74" s="1552"/>
      <c r="E74" s="1609"/>
      <c r="F74" s="1612" t="s">
        <v>187</v>
      </c>
      <c r="G74" s="18"/>
      <c r="H74" s="657"/>
      <c r="I74" s="657"/>
      <c r="J74" s="657"/>
      <c r="K74" s="657"/>
      <c r="L74" s="1614">
        <f t="shared" ref="L74" si="33">SUM(L64:L73)</f>
        <v>0</v>
      </c>
      <c r="M74" s="1477">
        <f t="shared" ref="M74" si="34">SUM(M64:M73)</f>
        <v>0</v>
      </c>
      <c r="N74" s="1477">
        <f t="shared" ref="N74" si="35">SUM(N64:N73)</f>
        <v>0</v>
      </c>
      <c r="O74" s="1477">
        <f t="shared" ref="O74" si="36">SUM(O64:O73)</f>
        <v>0</v>
      </c>
      <c r="P74" s="1477">
        <f t="shared" ref="P74" si="37">SUM(P64:P73)</f>
        <v>0</v>
      </c>
      <c r="Q74" s="1477">
        <f t="shared" ref="Q74" si="38">SUM(Q64:Q73)</f>
        <v>0</v>
      </c>
      <c r="R74" s="1483">
        <f>SUM(R64:R73)</f>
        <v>0</v>
      </c>
      <c r="S74" s="1596"/>
      <c r="T74" s="1597"/>
      <c r="U74" s="1208"/>
      <c r="V74" s="1641"/>
      <c r="W74" s="1643"/>
      <c r="X74" s="1590"/>
    </row>
    <row r="75" spans="2:30" ht="17.399999999999999" thickBot="1">
      <c r="B75" s="789"/>
      <c r="C75" s="787"/>
      <c r="D75" s="1610"/>
      <c r="E75" s="1611"/>
      <c r="F75" s="1613"/>
      <c r="G75" s="788"/>
      <c r="H75" s="788"/>
      <c r="I75" s="788"/>
      <c r="J75" s="788"/>
      <c r="K75" s="788"/>
      <c r="L75" s="1615"/>
      <c r="M75" s="1592"/>
      <c r="N75" s="1592"/>
      <c r="O75" s="1592"/>
      <c r="P75" s="1592"/>
      <c r="Q75" s="1592"/>
      <c r="R75" s="1605"/>
      <c r="S75" s="1598"/>
      <c r="T75" s="1599"/>
      <c r="U75" s="1209"/>
      <c r="V75" s="1642"/>
      <c r="W75" s="1644"/>
      <c r="X75" s="1590"/>
      <c r="Z75" s="375"/>
    </row>
    <row r="76" spans="2:30" s="167" customFormat="1" ht="57" customHeight="1">
      <c r="B76" s="135" t="s">
        <v>673</v>
      </c>
      <c r="C76" s="127"/>
      <c r="D76" s="1552" t="e" vm="3">
        <v>#VALUE!</v>
      </c>
      <c r="E76" s="1609"/>
      <c r="F76" s="229" t="s">
        <v>296</v>
      </c>
      <c r="G76" s="229" t="s">
        <v>272</v>
      </c>
      <c r="H76" s="229" t="s">
        <v>300</v>
      </c>
      <c r="I76" s="229" t="s">
        <v>301</v>
      </c>
      <c r="J76" s="177" t="s">
        <v>652</v>
      </c>
      <c r="K76" s="177" t="s">
        <v>653</v>
      </c>
      <c r="L76" s="177" t="s">
        <v>654</v>
      </c>
      <c r="M76" s="177" t="s">
        <v>655</v>
      </c>
      <c r="N76" s="177" t="s">
        <v>656</v>
      </c>
      <c r="O76" s="177" t="s">
        <v>657</v>
      </c>
      <c r="P76" s="177" t="s">
        <v>658</v>
      </c>
      <c r="Q76" s="177" t="s">
        <v>659</v>
      </c>
      <c r="R76" s="713" t="s">
        <v>660</v>
      </c>
      <c r="S76" s="1600"/>
      <c r="T76" s="1597"/>
      <c r="U76" s="1200" t="s">
        <v>661</v>
      </c>
      <c r="V76" s="995" t="str" cm="1">
        <f t="array" ref="V76">_xlfn.XLOOKUP(U76&amp;Allgemein!$C$45,Fassadenpositionen[[#Headers],[WDVS:]]&amp;Fassadenpositionen[Position Fassade],Fassadenpositionen[WDVS:],"",0,1)</f>
        <v>Nein</v>
      </c>
      <c r="W76" s="995" t="str" cm="1">
        <f t="array" ref="W76">_xlfn.XLOOKUP(U76&amp;Allgemein!$C$61,Fassadenpositionen[[#Headers],[WDVS:]]&amp;Fassadenpositionen[Position Fassade],Fassadenpositionen[WDVS:],"",0,1)</f>
        <v>Nein</v>
      </c>
      <c r="X76" s="1004" t="str" cm="1">
        <f t="array" ref="X76">_xlfn.XLOOKUP(U76&amp;Allgemein!$C$77,Fassadenpositionen[[#Headers],[WDVS:]]&amp;Fassadenpositionen[Position Fassade],Fassadenpositionen[WDVS:],"",0,1)</f>
        <v>Nein</v>
      </c>
      <c r="Y76" s="10"/>
      <c r="Z76" s="10"/>
      <c r="AA76" s="10"/>
      <c r="AB76" s="10"/>
      <c r="AC76" s="10"/>
      <c r="AD76" s="10"/>
    </row>
    <row r="77" spans="2:30" ht="23.85" customHeight="1">
      <c r="B77" s="135" t="s">
        <v>662</v>
      </c>
      <c r="C77" s="121"/>
      <c r="D77" s="1552"/>
      <c r="E77" s="1609"/>
      <c r="F77" s="18"/>
      <c r="G77" s="18"/>
      <c r="H77" s="657"/>
      <c r="I77" s="657"/>
      <c r="J77" s="657"/>
      <c r="K77" s="657"/>
      <c r="L77" s="115">
        <f t="shared" ref="L77:L86" si="39">H77*I77+J77</f>
        <v>0</v>
      </c>
      <c r="M77" s="18">
        <f>SUMIF(Fenster!$D$10:$D$2160,Fassade!F77,Fenster!$J$10:$J$2160)</f>
        <v>0</v>
      </c>
      <c r="N77" s="18">
        <f>SUMIF(Fenster!$D$10:$D$2160,Fassade!F77,Fenster!$M$10:$M$2160)</f>
        <v>0</v>
      </c>
      <c r="O77" s="18">
        <f>SUMIFS(Fenster!$M$10:$M$2160,Fenster!$D$10:$D$2160,Fassade!F77,Fenster!$L$10:$L$2160,"&gt;2,5")</f>
        <v>0</v>
      </c>
      <c r="P77" s="18">
        <f>SUMIF(Fenster!$D$10:$D$2160,Fassade!F77,Fenster!$K$10:$K$2160)</f>
        <v>0</v>
      </c>
      <c r="Q77" s="18">
        <f t="shared" ref="Q77:Q86" si="40">L77-O77</f>
        <v>0</v>
      </c>
      <c r="R77" s="187">
        <f t="shared" ref="R77:R86" si="41">L77-N77</f>
        <v>0</v>
      </c>
      <c r="S77" s="1596"/>
      <c r="T77" s="1597"/>
      <c r="U77" s="1201" t="s">
        <v>663</v>
      </c>
      <c r="V77" s="997">
        <v>0</v>
      </c>
      <c r="W77" s="952">
        <v>0</v>
      </c>
      <c r="X77" s="988">
        <v>0</v>
      </c>
    </row>
    <row r="78" spans="2:30" ht="22.35" customHeight="1">
      <c r="B78" s="234" t="s">
        <v>664</v>
      </c>
      <c r="C78" s="208"/>
      <c r="D78" s="1552"/>
      <c r="E78" s="1609"/>
      <c r="F78" s="18"/>
      <c r="G78" s="18"/>
      <c r="H78" s="657"/>
      <c r="I78" s="657"/>
      <c r="J78" s="657"/>
      <c r="K78" s="657"/>
      <c r="L78" s="115">
        <f t="shared" si="39"/>
        <v>0</v>
      </c>
      <c r="M78" s="18">
        <f>SUMIF(Fenster!$D$10:$D$2160,Fassade!F78,Fenster!$J$10:$J$2160)</f>
        <v>0</v>
      </c>
      <c r="N78" s="18">
        <f>SUMIF(Fenster!$D$10:$D$2160,Fassade!F78,Fenster!$M$10:$M$2160)</f>
        <v>0</v>
      </c>
      <c r="O78" s="18">
        <f>SUMIFS(Fenster!$M$10:$M$2160,Fenster!$D$10:$D$2160,Fassade!F78,Fenster!$L$10:$L$2160,"&gt;2,5")</f>
        <v>0</v>
      </c>
      <c r="P78" s="18">
        <f>SUMIF(Fenster!$D$10:$D$2160,Fassade!F78,Fenster!$K$10:$K$2160)</f>
        <v>0</v>
      </c>
      <c r="Q78" s="18">
        <f t="shared" si="40"/>
        <v>0</v>
      </c>
      <c r="R78" s="187">
        <f t="shared" si="41"/>
        <v>0</v>
      </c>
      <c r="S78" s="1596"/>
      <c r="T78" s="1597"/>
      <c r="U78" s="1202" t="s">
        <v>665</v>
      </c>
      <c r="V78" s="998">
        <f>IF(V76="Ja",(Q87+V77)*$V$9,0)</f>
        <v>0</v>
      </c>
      <c r="W78" s="958">
        <f>IF(W76="Ja",(Q87+W77)*$V$9,0)</f>
        <v>0</v>
      </c>
      <c r="X78" s="999">
        <f>IF(X76="Ja",(Q87+X77)*$V$9,0)</f>
        <v>0</v>
      </c>
    </row>
    <row r="79" spans="2:30">
      <c r="B79" s="234" t="s">
        <v>666</v>
      </c>
      <c r="C79" s="208"/>
      <c r="D79" s="1552"/>
      <c r="E79" s="1609"/>
      <c r="F79" s="18"/>
      <c r="G79" s="18"/>
      <c r="H79" s="657"/>
      <c r="I79" s="657"/>
      <c r="J79" s="657"/>
      <c r="K79" s="657"/>
      <c r="L79" s="115">
        <f t="shared" si="39"/>
        <v>0</v>
      </c>
      <c r="M79" s="18">
        <f>SUMIF(Fenster!$D$10:$D$2160,Fassade!F79,Fenster!$J$10:$J$2160)</f>
        <v>0</v>
      </c>
      <c r="N79" s="18">
        <f>SUMIF(Fenster!$D$10:$D$2160,Fassade!F79,Fenster!$M$10:$M$2160)</f>
        <v>0</v>
      </c>
      <c r="O79" s="18">
        <f>SUMIFS(Fenster!$M$10:$M$2160,Fenster!$D$10:$D$2160,Fassade!F79,Fenster!$L$10:$L$2160,"&gt;2,5")</f>
        <v>0</v>
      </c>
      <c r="P79" s="18">
        <f>SUMIF(Fenster!$D$10:$D$2160,Fassade!F79,Fenster!$K$10:$K$2160)</f>
        <v>0</v>
      </c>
      <c r="Q79" s="18">
        <f t="shared" si="40"/>
        <v>0</v>
      </c>
      <c r="R79" s="187">
        <f t="shared" si="41"/>
        <v>0</v>
      </c>
      <c r="S79" s="1596"/>
      <c r="T79" s="1597"/>
      <c r="U79" s="1203" t="s">
        <v>667</v>
      </c>
      <c r="V79" s="998">
        <f>IF(V76="Ja",(R87+V77)*$V$9,0)</f>
        <v>0</v>
      </c>
      <c r="W79" s="958">
        <f>IF(W76="Ja",(R87+W77)*$V$9,0)</f>
        <v>0</v>
      </c>
      <c r="X79" s="999">
        <f>IF(X76="Ja",(R87+X77)*$V$9,0)</f>
        <v>0</v>
      </c>
    </row>
    <row r="80" spans="2:30">
      <c r="B80" s="234" t="s">
        <v>674</v>
      </c>
      <c r="C80" s="208"/>
      <c r="D80" s="1552"/>
      <c r="E80" s="1609"/>
      <c r="F80" s="18"/>
      <c r="G80" s="18"/>
      <c r="H80" s="657"/>
      <c r="I80" s="657"/>
      <c r="J80" s="657"/>
      <c r="K80" s="657"/>
      <c r="L80" s="115">
        <f t="shared" si="39"/>
        <v>0</v>
      </c>
      <c r="M80" s="18">
        <f>SUMIF(Fenster!$D$10:$D$2160,Fassade!F80,Fenster!$J$10:$J$2160)</f>
        <v>0</v>
      </c>
      <c r="N80" s="18">
        <f>SUMIF(Fenster!$D$10:$D$2160,Fassade!F80,Fenster!$M$10:$M$2160)</f>
        <v>0</v>
      </c>
      <c r="O80" s="18">
        <f>SUMIFS(Fenster!$M$10:$M$2160,Fenster!$D$10:$D$2160,Fassade!F80,Fenster!$L$10:$L$2160,"&gt;2,5")</f>
        <v>0</v>
      </c>
      <c r="P80" s="18">
        <f>SUMIF(Fenster!$D$10:$D$2160,Fassade!F80,Fenster!$K$10:$K$2160)</f>
        <v>0</v>
      </c>
      <c r="Q80" s="18">
        <f t="shared" si="40"/>
        <v>0</v>
      </c>
      <c r="R80" s="187">
        <f t="shared" si="41"/>
        <v>0</v>
      </c>
      <c r="S80" s="1596"/>
      <c r="T80" s="1597"/>
      <c r="U80" s="1204" t="s">
        <v>669</v>
      </c>
      <c r="V80" s="958" t="str">
        <f>Allgemein!$D$45</f>
        <v>-</v>
      </c>
      <c r="W80" s="958" t="str">
        <f>Allgemein!$D$61</f>
        <v>-</v>
      </c>
      <c r="X80" s="1000" t="str">
        <f>Allgemein!$D$77</f>
        <v>-</v>
      </c>
    </row>
    <row r="81" spans="2:30">
      <c r="B81" s="234" t="s">
        <v>675</v>
      </c>
      <c r="C81" s="208"/>
      <c r="D81" s="1552"/>
      <c r="E81" s="1609"/>
      <c r="F81" s="18"/>
      <c r="G81" s="18"/>
      <c r="H81" s="657"/>
      <c r="I81" s="657"/>
      <c r="J81" s="657"/>
      <c r="K81" s="657"/>
      <c r="L81" s="115">
        <f t="shared" si="39"/>
        <v>0</v>
      </c>
      <c r="M81" s="18">
        <f>SUMIF(Fenster!$D$10:$D$2160,Fassade!F81,Fenster!$J$10:$J$2160)</f>
        <v>0</v>
      </c>
      <c r="N81" s="18">
        <f>SUMIF(Fenster!$D$10:$D$2160,Fassade!F81,Fenster!$M$10:$M$2160)</f>
        <v>0</v>
      </c>
      <c r="O81" s="18">
        <f>SUMIFS(Fenster!$M$10:$M$2160,Fenster!$D$10:$D$2160,Fassade!F81,Fenster!$L$10:$L$2160,"&gt;2,5")</f>
        <v>0</v>
      </c>
      <c r="P81" s="18">
        <f>SUMIF(Fenster!$D$10:$D$2160,Fassade!F81,Fenster!$K$10:$K$2160)</f>
        <v>0</v>
      </c>
      <c r="Q81" s="18">
        <f t="shared" si="40"/>
        <v>0</v>
      </c>
      <c r="R81" s="187">
        <f t="shared" si="41"/>
        <v>0</v>
      </c>
      <c r="S81" s="1596"/>
      <c r="T81" s="1597"/>
      <c r="U81" s="1205" t="s">
        <v>671</v>
      </c>
      <c r="V81" s="1640"/>
      <c r="W81" s="1586"/>
      <c r="X81" s="1589"/>
    </row>
    <row r="82" spans="2:30">
      <c r="B82" s="234" t="s">
        <v>676</v>
      </c>
      <c r="C82" s="208"/>
      <c r="D82" s="1552"/>
      <c r="E82" s="1609"/>
      <c r="F82" s="18"/>
      <c r="G82" s="18"/>
      <c r="H82" s="657"/>
      <c r="I82" s="657"/>
      <c r="J82" s="657"/>
      <c r="K82" s="657"/>
      <c r="L82" s="115">
        <f t="shared" si="39"/>
        <v>0</v>
      </c>
      <c r="M82" s="18">
        <f>SUMIF(Fenster!$D$10:$D$2160,Fassade!F82,Fenster!$J$10:$J$2160)</f>
        <v>0</v>
      </c>
      <c r="N82" s="18">
        <f>SUMIF(Fenster!$D$10:$D$2160,Fassade!F82,Fenster!$M$10:$M$2160)</f>
        <v>0</v>
      </c>
      <c r="O82" s="18">
        <f>SUMIFS(Fenster!$M$10:$M$2160,Fenster!$D$10:$D$2160,Fassade!F82,Fenster!$L$10:$L$2160,"&gt;2,5")</f>
        <v>0</v>
      </c>
      <c r="P82" s="18">
        <f>SUMIF(Fenster!$D$10:$D$2160,Fassade!F82,Fenster!$K$10:$K$2160)</f>
        <v>0</v>
      </c>
      <c r="Q82" s="18">
        <f t="shared" si="40"/>
        <v>0</v>
      </c>
      <c r="R82" s="187">
        <f t="shared" si="41"/>
        <v>0</v>
      </c>
      <c r="S82" s="1596"/>
      <c r="T82" s="1597"/>
      <c r="U82" s="1206"/>
      <c r="V82" s="1641"/>
      <c r="W82" s="1643"/>
      <c r="X82" s="1590"/>
    </row>
    <row r="83" spans="2:30">
      <c r="B83" s="234" t="s">
        <v>668</v>
      </c>
      <c r="C83" s="208"/>
      <c r="D83" s="1552"/>
      <c r="E83" s="1609"/>
      <c r="F83" s="18"/>
      <c r="G83" s="18"/>
      <c r="H83" s="657"/>
      <c r="I83" s="657"/>
      <c r="J83" s="657"/>
      <c r="K83" s="657"/>
      <c r="L83" s="115">
        <f t="shared" si="39"/>
        <v>0</v>
      </c>
      <c r="M83" s="18">
        <f>SUMIF(Fenster!$D$10:$D$2160,Fassade!F83,Fenster!$J$10:$J$2160)</f>
        <v>0</v>
      </c>
      <c r="N83" s="18">
        <f>SUMIF(Fenster!$D$10:$D$2160,Fassade!F83,Fenster!$M$10:$M$2160)</f>
        <v>0</v>
      </c>
      <c r="O83" s="18">
        <f>SUMIFS(Fenster!$M$10:$M$2160,Fenster!$D$10:$D$2160,Fassade!F83,Fenster!$L$10:$L$2160,"&gt;2,5")</f>
        <v>0</v>
      </c>
      <c r="P83" s="18">
        <f>SUMIF(Fenster!$D$10:$D$2160,Fassade!F83,Fenster!$K$10:$K$2160)</f>
        <v>0</v>
      </c>
      <c r="Q83" s="18">
        <f t="shared" si="40"/>
        <v>0</v>
      </c>
      <c r="R83" s="187">
        <f t="shared" si="41"/>
        <v>0</v>
      </c>
      <c r="S83" s="1596"/>
      <c r="T83" s="1597"/>
      <c r="U83" s="1206"/>
      <c r="V83" s="1641"/>
      <c r="W83" s="1643"/>
      <c r="X83" s="1590"/>
    </row>
    <row r="84" spans="2:30">
      <c r="B84" s="234" t="s">
        <v>670</v>
      </c>
      <c r="C84" s="208"/>
      <c r="D84" s="1552"/>
      <c r="E84" s="1609"/>
      <c r="F84" s="18"/>
      <c r="G84" s="18"/>
      <c r="H84" s="657"/>
      <c r="I84" s="657"/>
      <c r="J84" s="657"/>
      <c r="K84" s="657"/>
      <c r="L84" s="115">
        <f t="shared" si="39"/>
        <v>0</v>
      </c>
      <c r="M84" s="18">
        <f>SUMIF(Fenster!$D$10:$D$2160,Fassade!F84,Fenster!$J$10:$J$2160)</f>
        <v>0</v>
      </c>
      <c r="N84" s="18">
        <f>SUMIF(Fenster!$D$10:$D$2160,Fassade!F84,Fenster!$M$10:$M$2160)</f>
        <v>0</v>
      </c>
      <c r="O84" s="18">
        <f>SUMIFS(Fenster!$M$10:$M$2160,Fenster!$D$10:$D$2160,Fassade!F84,Fenster!$L$10:$L$2160,"&gt;2,5")</f>
        <v>0</v>
      </c>
      <c r="P84" s="18">
        <f>SUMIF(Fenster!$D$10:$D$2160,Fassade!F84,Fenster!$K$10:$K$2160)</f>
        <v>0</v>
      </c>
      <c r="Q84" s="18">
        <f t="shared" si="40"/>
        <v>0</v>
      </c>
      <c r="R84" s="187">
        <f t="shared" si="41"/>
        <v>0</v>
      </c>
      <c r="S84" s="1596"/>
      <c r="T84" s="1597"/>
      <c r="U84" s="1207"/>
      <c r="V84" s="1641"/>
      <c r="W84" s="1643"/>
      <c r="X84" s="1590"/>
    </row>
    <row r="85" spans="2:30" ht="18" customHeight="1">
      <c r="B85" s="234" t="s">
        <v>672</v>
      </c>
      <c r="C85" s="121"/>
      <c r="D85" s="1552"/>
      <c r="E85" s="1609"/>
      <c r="F85" s="18"/>
      <c r="G85" s="18"/>
      <c r="H85" s="657"/>
      <c r="I85" s="657"/>
      <c r="J85" s="657"/>
      <c r="K85" s="657"/>
      <c r="L85" s="115">
        <f t="shared" si="39"/>
        <v>0</v>
      </c>
      <c r="M85" s="18">
        <f>SUMIF(Fenster!$D$10:$D$2160,Fassade!F85,Fenster!$J$10:$J$2160)</f>
        <v>0</v>
      </c>
      <c r="N85" s="18">
        <f>SUMIF(Fenster!$D$10:$D$2160,Fassade!F85,Fenster!$M$10:$M$2160)</f>
        <v>0</v>
      </c>
      <c r="O85" s="18">
        <f>SUMIFS(Fenster!$M$10:$M$2160,Fenster!$D$10:$D$2160,Fassade!F85,Fenster!$L$10:$L$2160,"&gt;2,5")</f>
        <v>0</v>
      </c>
      <c r="P85" s="18">
        <f>SUMIF(Fenster!$D$10:$D$2160,Fassade!F85,Fenster!$K$10:$K$2160)</f>
        <v>0</v>
      </c>
      <c r="Q85" s="18">
        <f t="shared" si="40"/>
        <v>0</v>
      </c>
      <c r="R85" s="187">
        <f t="shared" si="41"/>
        <v>0</v>
      </c>
      <c r="S85" s="1596"/>
      <c r="T85" s="1597"/>
      <c r="U85" s="1207"/>
      <c r="V85" s="1641"/>
      <c r="W85" s="1643"/>
      <c r="X85" s="1590"/>
    </row>
    <row r="86" spans="2:30">
      <c r="B86" s="234"/>
      <c r="C86" s="121"/>
      <c r="D86" s="1552"/>
      <c r="E86" s="1609"/>
      <c r="F86" s="18"/>
      <c r="G86" s="18"/>
      <c r="H86" s="657"/>
      <c r="I86" s="657"/>
      <c r="J86" s="657"/>
      <c r="K86" s="657"/>
      <c r="L86" s="115">
        <f t="shared" si="39"/>
        <v>0</v>
      </c>
      <c r="M86" s="18">
        <f>SUMIF(Fenster!$D$10:$D$2160,Fassade!F86,Fenster!$J$10:$J$2160)</f>
        <v>0</v>
      </c>
      <c r="N86" s="18">
        <f>SUMIF(Fenster!$D$10:$D$2160,Fassade!F86,Fenster!$M$10:$M$2160)</f>
        <v>0</v>
      </c>
      <c r="O86" s="18">
        <f>SUMIFS(Fenster!$M$10:$M$2160,Fenster!$D$10:$D$2160,Fassade!F86,Fenster!$L$10:$L$2160,"&gt;2,5")</f>
        <v>0</v>
      </c>
      <c r="P86" s="18">
        <f>SUMIF(Fenster!$D$10:$D$2160,Fassade!F86,Fenster!$K$10:$K$2160)</f>
        <v>0</v>
      </c>
      <c r="Q86" s="18">
        <f t="shared" si="40"/>
        <v>0</v>
      </c>
      <c r="R86" s="187">
        <f t="shared" si="41"/>
        <v>0</v>
      </c>
      <c r="S86" s="1596"/>
      <c r="T86" s="1597"/>
      <c r="U86" s="1206"/>
      <c r="V86" s="1641"/>
      <c r="W86" s="1643"/>
      <c r="X86" s="1590"/>
    </row>
    <row r="87" spans="2:30">
      <c r="B87" s="234"/>
      <c r="C87" s="121"/>
      <c r="D87" s="1552"/>
      <c r="E87" s="1609"/>
      <c r="F87" s="1612" t="s">
        <v>187</v>
      </c>
      <c r="G87" s="18"/>
      <c r="H87" s="657"/>
      <c r="I87" s="657"/>
      <c r="J87" s="657"/>
      <c r="K87" s="657"/>
      <c r="L87" s="1614">
        <f t="shared" ref="L87" si="42">SUM(L77:L86)</f>
        <v>0</v>
      </c>
      <c r="M87" s="1477">
        <f t="shared" ref="M87" si="43">SUM(M77:M86)</f>
        <v>0</v>
      </c>
      <c r="N87" s="1477">
        <f t="shared" ref="N87" si="44">SUM(N77:N86)</f>
        <v>0</v>
      </c>
      <c r="O87" s="1477">
        <f t="shared" ref="O87" si="45">SUM(O77:O86)</f>
        <v>0</v>
      </c>
      <c r="P87" s="1477">
        <f t="shared" ref="P87" si="46">SUM(P77:P86)</f>
        <v>0</v>
      </c>
      <c r="Q87" s="1477">
        <f t="shared" ref="Q87" si="47">SUM(Q77:Q86)</f>
        <v>0</v>
      </c>
      <c r="R87" s="1483">
        <f>SUM(R77:R86)</f>
        <v>0</v>
      </c>
      <c r="S87" s="1596"/>
      <c r="T87" s="1597"/>
      <c r="U87" s="1208"/>
      <c r="V87" s="1641"/>
      <c r="W87" s="1643"/>
      <c r="X87" s="1590"/>
    </row>
    <row r="88" spans="2:30" ht="17.399999999999999" thickBot="1">
      <c r="B88" s="789"/>
      <c r="C88" s="787"/>
      <c r="D88" s="1610"/>
      <c r="E88" s="1611"/>
      <c r="F88" s="1613"/>
      <c r="G88" s="788"/>
      <c r="H88" s="788"/>
      <c r="I88" s="788"/>
      <c r="J88" s="788"/>
      <c r="K88" s="788"/>
      <c r="L88" s="1615"/>
      <c r="M88" s="1592"/>
      <c r="N88" s="1592"/>
      <c r="O88" s="1592"/>
      <c r="P88" s="1592"/>
      <c r="Q88" s="1592"/>
      <c r="R88" s="1605"/>
      <c r="S88" s="1598"/>
      <c r="T88" s="1599"/>
      <c r="U88" s="1209"/>
      <c r="V88" s="1642"/>
      <c r="W88" s="1644"/>
      <c r="X88" s="1591"/>
    </row>
    <row r="89" spans="2:30" ht="57" customHeight="1">
      <c r="B89" s="135" t="s">
        <v>677</v>
      </c>
      <c r="C89" s="127"/>
      <c r="D89" s="1552" t="e" vm="4">
        <v>#VALUE!</v>
      </c>
      <c r="E89" s="1609"/>
      <c r="F89" s="229" t="s">
        <v>296</v>
      </c>
      <c r="G89" s="229" t="s">
        <v>272</v>
      </c>
      <c r="H89" s="229" t="s">
        <v>300</v>
      </c>
      <c r="I89" s="229" t="s">
        <v>301</v>
      </c>
      <c r="J89" s="177" t="s">
        <v>652</v>
      </c>
      <c r="K89" s="177" t="s">
        <v>653</v>
      </c>
      <c r="L89" s="177" t="s">
        <v>654</v>
      </c>
      <c r="M89" s="177" t="s">
        <v>655</v>
      </c>
      <c r="N89" s="177" t="s">
        <v>656</v>
      </c>
      <c r="O89" s="177" t="s">
        <v>657</v>
      </c>
      <c r="P89" s="177" t="s">
        <v>658</v>
      </c>
      <c r="Q89" s="177" t="s">
        <v>659</v>
      </c>
      <c r="R89" s="713" t="s">
        <v>660</v>
      </c>
      <c r="S89" s="1600"/>
      <c r="T89" s="1597"/>
      <c r="U89" s="1200" t="s">
        <v>661</v>
      </c>
      <c r="V89" s="995" t="str" cm="1">
        <f t="array" ref="V89">_xlfn.XLOOKUP(U89&amp;Allgemein!$C$45,Fassadenpositionen[[#Headers],[WDVS:]]&amp;Fassadenpositionen[Position Fassade],Fassadenpositionen[WDVS:],"",0,1)</f>
        <v>Nein</v>
      </c>
      <c r="W89" s="995" t="str" cm="1">
        <f t="array" ref="W89">_xlfn.XLOOKUP(U89&amp;Allgemein!$C$61,Fassadenpositionen[[#Headers],[WDVS:]]&amp;Fassadenpositionen[Position Fassade],Fassadenpositionen[WDVS:],"",0,1)</f>
        <v>Nein</v>
      </c>
      <c r="X89" s="1432" t="str" cm="1">
        <f t="array" ref="X89">_xlfn.XLOOKUP(U89&amp;Allgemein!$C$77,Fassadenpositionen[[#Headers],[WDVS:]]&amp;Fassadenpositionen[Position Fassade],Fassadenpositionen[WDVS:],"",0,1)</f>
        <v>Nein</v>
      </c>
      <c r="Y89" s="167"/>
      <c r="Z89" s="167"/>
      <c r="AA89" s="167"/>
      <c r="AB89" s="167"/>
      <c r="AC89" s="167"/>
      <c r="AD89" s="167"/>
    </row>
    <row r="90" spans="2:30">
      <c r="B90" s="135" t="s">
        <v>662</v>
      </c>
      <c r="C90" s="18"/>
      <c r="D90" s="1552"/>
      <c r="E90" s="1609"/>
      <c r="F90" s="18"/>
      <c r="G90" s="18"/>
      <c r="H90" s="657"/>
      <c r="I90" s="657"/>
      <c r="J90" s="657"/>
      <c r="K90" s="657"/>
      <c r="L90" s="115">
        <f t="shared" ref="L90:L99" si="48">H90*I90+J90</f>
        <v>0</v>
      </c>
      <c r="M90" s="18">
        <f>SUMIF(Fenster!$D$10:$D$2160,Fassade!F90,Fenster!$J$10:$J$2160)</f>
        <v>0</v>
      </c>
      <c r="N90" s="18">
        <f>SUMIF(Fenster!$D$10:$D$2160,Fassade!F90,Fenster!$M$10:$M$2160)</f>
        <v>0</v>
      </c>
      <c r="O90" s="18">
        <f>SUMIFS(Fenster!$M$10:$M$2160,Fenster!$D$10:$D$2160,Fassade!F90,Fenster!$L$10:$L$2160,"&gt;2,5")</f>
        <v>0</v>
      </c>
      <c r="P90" s="18">
        <f>SUMIF(Fenster!$D$10:$D$2160,Fassade!F90,Fenster!$K$10:$K$2160)</f>
        <v>0</v>
      </c>
      <c r="Q90" s="18">
        <f t="shared" ref="Q90:Q99" si="49">L90-O90</f>
        <v>0</v>
      </c>
      <c r="R90" s="187">
        <f t="shared" ref="R90:R99" si="50">L90-N90</f>
        <v>0</v>
      </c>
      <c r="S90" s="1596"/>
      <c r="T90" s="1597"/>
      <c r="U90" s="1201" t="s">
        <v>663</v>
      </c>
      <c r="V90" s="997">
        <v>0</v>
      </c>
      <c r="W90" s="952">
        <v>0</v>
      </c>
      <c r="X90" s="988">
        <v>0</v>
      </c>
    </row>
    <row r="91" spans="2:30">
      <c r="B91" s="234" t="s">
        <v>664</v>
      </c>
      <c r="C91" s="208"/>
      <c r="D91" s="1552"/>
      <c r="E91" s="1609"/>
      <c r="F91" s="18"/>
      <c r="G91" s="18"/>
      <c r="H91" s="657"/>
      <c r="I91" s="657"/>
      <c r="J91" s="657"/>
      <c r="K91" s="657"/>
      <c r="L91" s="115">
        <f t="shared" si="48"/>
        <v>0</v>
      </c>
      <c r="M91" s="18">
        <f>SUMIF(Fenster!$D$10:$D$2160,Fassade!F91,Fenster!$J$10:$J$2160)</f>
        <v>0</v>
      </c>
      <c r="N91" s="18">
        <f>SUMIF(Fenster!$D$10:$D$2160,Fassade!F91,Fenster!$M$10:$M$2160)</f>
        <v>0</v>
      </c>
      <c r="O91" s="18">
        <f>SUMIFS(Fenster!$M$10:$M$2160,Fenster!$D$10:$D$2160,Fassade!F91,Fenster!$L$10:$L$2160,"&gt;2,5")</f>
        <v>0</v>
      </c>
      <c r="P91" s="18">
        <f>SUMIF(Fenster!$D$10:$D$2160,Fassade!F91,Fenster!$K$10:$K$2160)</f>
        <v>0</v>
      </c>
      <c r="Q91" s="18">
        <f t="shared" si="49"/>
        <v>0</v>
      </c>
      <c r="R91" s="187">
        <f t="shared" si="50"/>
        <v>0</v>
      </c>
      <c r="S91" s="1596"/>
      <c r="T91" s="1597"/>
      <c r="U91" s="1202" t="s">
        <v>665</v>
      </c>
      <c r="V91" s="998">
        <f>IF(V89="Ja",(Q100+V90)*$V$9,0)</f>
        <v>0</v>
      </c>
      <c r="W91" s="958">
        <f>IF(W89="Ja",(Q100+W90)*$V$9,0)</f>
        <v>0</v>
      </c>
      <c r="X91" s="999">
        <f>IF(X89="Ja",(Q100+X90)*$V$9,0)</f>
        <v>0</v>
      </c>
    </row>
    <row r="92" spans="2:30">
      <c r="B92" s="234" t="s">
        <v>666</v>
      </c>
      <c r="C92" s="208"/>
      <c r="D92" s="1552"/>
      <c r="E92" s="1609"/>
      <c r="F92" s="18"/>
      <c r="G92" s="18"/>
      <c r="H92" s="657"/>
      <c r="I92" s="657"/>
      <c r="J92" s="657"/>
      <c r="K92" s="657"/>
      <c r="L92" s="115">
        <f t="shared" si="48"/>
        <v>0</v>
      </c>
      <c r="M92" s="18">
        <f>SUMIF(Fenster!$D$10:$D$2160,Fassade!F92,Fenster!$J$10:$J$2160)</f>
        <v>0</v>
      </c>
      <c r="N92" s="18">
        <f>SUMIF(Fenster!$D$10:$D$2160,Fassade!F92,Fenster!$M$10:$M$2160)</f>
        <v>0</v>
      </c>
      <c r="O92" s="18">
        <f>SUMIFS(Fenster!$M$10:$M$2160,Fenster!$D$10:$D$2160,Fassade!F92,Fenster!$L$10:$L$2160,"&gt;2,5")</f>
        <v>0</v>
      </c>
      <c r="P92" s="18">
        <f>SUMIF(Fenster!$D$10:$D$2160,Fassade!F92,Fenster!$K$10:$K$2160)</f>
        <v>0</v>
      </c>
      <c r="Q92" s="18">
        <f t="shared" si="49"/>
        <v>0</v>
      </c>
      <c r="R92" s="187">
        <f t="shared" si="50"/>
        <v>0</v>
      </c>
      <c r="S92" s="1596"/>
      <c r="T92" s="1597"/>
      <c r="U92" s="1203" t="s">
        <v>667</v>
      </c>
      <c r="V92" s="998">
        <f>IF(V89="Ja",(R100+V90)*$V$9,0)</f>
        <v>0</v>
      </c>
      <c r="W92" s="958">
        <f>IF(W89="Ja",(R100+W90)*$V$9,0)</f>
        <v>0</v>
      </c>
      <c r="X92" s="999">
        <f>IF(X89="Ja",(R100+X90)*$V$9,0)</f>
        <v>0</v>
      </c>
    </row>
    <row r="93" spans="2:30">
      <c r="B93" s="234" t="s">
        <v>674</v>
      </c>
      <c r="C93" s="208"/>
      <c r="D93" s="1552"/>
      <c r="E93" s="1609"/>
      <c r="F93" s="18"/>
      <c r="G93" s="18"/>
      <c r="H93" s="657"/>
      <c r="I93" s="657"/>
      <c r="J93" s="657"/>
      <c r="K93" s="657"/>
      <c r="L93" s="115">
        <f t="shared" si="48"/>
        <v>0</v>
      </c>
      <c r="M93" s="18">
        <f>SUMIF(Fenster!$D$10:$D$2160,Fassade!F93,Fenster!$J$10:$J$2160)</f>
        <v>0</v>
      </c>
      <c r="N93" s="18">
        <f>SUMIF(Fenster!$D$10:$D$2160,Fassade!F93,Fenster!$M$10:$M$2160)</f>
        <v>0</v>
      </c>
      <c r="O93" s="18">
        <f>SUMIFS(Fenster!$M$10:$M$2160,Fenster!$D$10:$D$2160,Fassade!F93,Fenster!$L$10:$L$2160,"&gt;2,5")</f>
        <v>0</v>
      </c>
      <c r="P93" s="18">
        <f>SUMIF(Fenster!$D$10:$D$2160,Fassade!F93,Fenster!$K$10:$K$2160)</f>
        <v>0</v>
      </c>
      <c r="Q93" s="18">
        <f t="shared" si="49"/>
        <v>0</v>
      </c>
      <c r="R93" s="187">
        <f t="shared" si="50"/>
        <v>0</v>
      </c>
      <c r="S93" s="1596"/>
      <c r="T93" s="1597"/>
      <c r="U93" s="1204" t="s">
        <v>669</v>
      </c>
      <c r="V93" s="958" t="str">
        <f>Allgemein!$D$45</f>
        <v>-</v>
      </c>
      <c r="W93" s="958" t="str">
        <f>Allgemein!$D$61</f>
        <v>-</v>
      </c>
      <c r="X93" s="1000" t="str">
        <f>Allgemein!$D$77</f>
        <v>-</v>
      </c>
    </row>
    <row r="94" spans="2:30">
      <c r="B94" s="234" t="s">
        <v>675</v>
      </c>
      <c r="C94" s="208"/>
      <c r="D94" s="1552"/>
      <c r="E94" s="1609"/>
      <c r="F94" s="18"/>
      <c r="G94" s="18"/>
      <c r="H94" s="657"/>
      <c r="I94" s="657"/>
      <c r="J94" s="657"/>
      <c r="K94" s="657"/>
      <c r="L94" s="115">
        <f t="shared" si="48"/>
        <v>0</v>
      </c>
      <c r="M94" s="18">
        <f>SUMIF(Fenster!$D$10:$D$2160,Fassade!F94,Fenster!$J$10:$J$2160)</f>
        <v>0</v>
      </c>
      <c r="N94" s="18">
        <f>SUMIF(Fenster!$D$10:$D$2160,Fassade!F94,Fenster!$M$10:$M$2160)</f>
        <v>0</v>
      </c>
      <c r="O94" s="18">
        <f>SUMIFS(Fenster!$M$10:$M$2160,Fenster!$D$10:$D$2160,Fassade!F94,Fenster!$L$10:$L$2160,"&gt;2,5")</f>
        <v>0</v>
      </c>
      <c r="P94" s="18">
        <f>SUMIF(Fenster!$D$10:$D$2160,Fassade!F94,Fenster!$K$10:$K$2160)</f>
        <v>0</v>
      </c>
      <c r="Q94" s="18">
        <f t="shared" si="49"/>
        <v>0</v>
      </c>
      <c r="R94" s="187">
        <f t="shared" si="50"/>
        <v>0</v>
      </c>
      <c r="S94" s="1596"/>
      <c r="T94" s="1597"/>
      <c r="U94" s="1205" t="s">
        <v>671</v>
      </c>
      <c r="V94" s="1640"/>
      <c r="W94" s="1586"/>
      <c r="X94" s="1589"/>
    </row>
    <row r="95" spans="2:30">
      <c r="B95" s="234" t="s">
        <v>676</v>
      </c>
      <c r="C95" s="208"/>
      <c r="D95" s="1552"/>
      <c r="E95" s="1609"/>
      <c r="F95" s="18"/>
      <c r="G95" s="18"/>
      <c r="H95" s="657"/>
      <c r="I95" s="657"/>
      <c r="J95" s="657"/>
      <c r="K95" s="657"/>
      <c r="L95" s="115">
        <f t="shared" si="48"/>
        <v>0</v>
      </c>
      <c r="M95" s="18">
        <f>SUMIF(Fenster!$D$10:$D$2160,Fassade!F95,Fenster!$J$10:$J$2160)</f>
        <v>0</v>
      </c>
      <c r="N95" s="18">
        <f>SUMIF(Fenster!$D$10:$D$2160,Fassade!F95,Fenster!$M$10:$M$2160)</f>
        <v>0</v>
      </c>
      <c r="O95" s="18">
        <f>SUMIFS(Fenster!$M$10:$M$2160,Fenster!$D$10:$D$2160,Fassade!F95,Fenster!$L$10:$L$2160,"&gt;2,5")</f>
        <v>0</v>
      </c>
      <c r="P95" s="18">
        <f>SUMIF(Fenster!$D$10:$D$2160,Fassade!F95,Fenster!$K$10:$K$2160)</f>
        <v>0</v>
      </c>
      <c r="Q95" s="18">
        <f t="shared" si="49"/>
        <v>0</v>
      </c>
      <c r="R95" s="187">
        <f t="shared" si="50"/>
        <v>0</v>
      </c>
      <c r="S95" s="1596"/>
      <c r="T95" s="1597"/>
      <c r="U95" s="1206"/>
      <c r="V95" s="1641"/>
      <c r="W95" s="1643"/>
      <c r="X95" s="1590"/>
    </row>
    <row r="96" spans="2:30">
      <c r="B96" s="234" t="s">
        <v>668</v>
      </c>
      <c r="C96" s="208"/>
      <c r="D96" s="1552"/>
      <c r="E96" s="1609"/>
      <c r="F96" s="18"/>
      <c r="G96" s="18"/>
      <c r="H96" s="657"/>
      <c r="I96" s="657"/>
      <c r="J96" s="657"/>
      <c r="K96" s="657"/>
      <c r="L96" s="115">
        <f t="shared" si="48"/>
        <v>0</v>
      </c>
      <c r="M96" s="18">
        <f>SUMIF(Fenster!$D$10:$D$2160,Fassade!F96,Fenster!$J$10:$J$2160)</f>
        <v>0</v>
      </c>
      <c r="N96" s="18">
        <f>SUMIF(Fenster!$D$10:$D$2160,Fassade!F96,Fenster!$M$10:$M$2160)</f>
        <v>0</v>
      </c>
      <c r="O96" s="18">
        <f>SUMIFS(Fenster!$M$10:$M$2160,Fenster!$D$10:$D$2160,Fassade!F96,Fenster!$L$10:$L$2160,"&gt;2,5")</f>
        <v>0</v>
      </c>
      <c r="P96" s="18">
        <f>SUMIF(Fenster!$D$10:$D$2160,Fassade!F96,Fenster!$K$10:$K$2160)</f>
        <v>0</v>
      </c>
      <c r="Q96" s="18">
        <f t="shared" si="49"/>
        <v>0</v>
      </c>
      <c r="R96" s="187">
        <f t="shared" si="50"/>
        <v>0</v>
      </c>
      <c r="S96" s="1596"/>
      <c r="T96" s="1597"/>
      <c r="U96" s="1206"/>
      <c r="V96" s="1641"/>
      <c r="W96" s="1643"/>
      <c r="X96" s="1590"/>
    </row>
    <row r="97" spans="2:31">
      <c r="B97" s="234" t="s">
        <v>670</v>
      </c>
      <c r="C97" s="208"/>
      <c r="D97" s="1552"/>
      <c r="E97" s="1609"/>
      <c r="F97" s="18"/>
      <c r="G97" s="18"/>
      <c r="H97" s="657"/>
      <c r="I97" s="657"/>
      <c r="J97" s="657"/>
      <c r="K97" s="657"/>
      <c r="L97" s="115">
        <f t="shared" si="48"/>
        <v>0</v>
      </c>
      <c r="M97" s="18">
        <f>SUMIF(Fenster!$D$10:$D$2160,Fassade!F97,Fenster!$J$10:$J$2160)</f>
        <v>0</v>
      </c>
      <c r="N97" s="18">
        <f>SUMIF(Fenster!$D$10:$D$2160,Fassade!F97,Fenster!$M$10:$M$2160)</f>
        <v>0</v>
      </c>
      <c r="O97" s="18">
        <f>SUMIFS(Fenster!$M$10:$M$2160,Fenster!$D$10:$D$2160,Fassade!F97,Fenster!$L$10:$L$2160,"&gt;2,5")</f>
        <v>0</v>
      </c>
      <c r="P97" s="18">
        <f>SUMIF(Fenster!$D$10:$D$2160,Fassade!F97,Fenster!$K$10:$K$2160)</f>
        <v>0</v>
      </c>
      <c r="Q97" s="18">
        <f t="shared" si="49"/>
        <v>0</v>
      </c>
      <c r="R97" s="187">
        <f t="shared" si="50"/>
        <v>0</v>
      </c>
      <c r="S97" s="1596"/>
      <c r="T97" s="1597"/>
      <c r="U97" s="1207"/>
      <c r="V97" s="1641"/>
      <c r="W97" s="1643"/>
      <c r="X97" s="1590"/>
      <c r="AC97" s="317"/>
      <c r="AD97" s="317"/>
    </row>
    <row r="98" spans="2:31">
      <c r="B98" s="234" t="s">
        <v>672</v>
      </c>
      <c r="C98" s="121"/>
      <c r="D98" s="1552"/>
      <c r="E98" s="1609"/>
      <c r="F98" s="18"/>
      <c r="G98" s="18"/>
      <c r="H98" s="657"/>
      <c r="I98" s="657"/>
      <c r="J98" s="657"/>
      <c r="K98" s="657"/>
      <c r="L98" s="115">
        <f t="shared" si="48"/>
        <v>0</v>
      </c>
      <c r="M98" s="18">
        <f>SUMIF(Fenster!$D$10:$D$2160,Fassade!F98,Fenster!$J$10:$J$2160)</f>
        <v>0</v>
      </c>
      <c r="N98" s="18">
        <f>SUMIF(Fenster!$D$10:$D$2160,Fassade!F98,Fenster!$M$10:$M$2160)</f>
        <v>0</v>
      </c>
      <c r="O98" s="18">
        <f>SUMIFS(Fenster!$M$10:$M$2160,Fenster!$D$10:$D$2160,Fassade!F98,Fenster!$L$10:$L$2160,"&gt;2,5")</f>
        <v>0</v>
      </c>
      <c r="P98" s="18">
        <f>SUMIF(Fenster!$D$10:$D$2160,Fassade!F98,Fenster!$K$10:$K$2160)</f>
        <v>0</v>
      </c>
      <c r="Q98" s="18">
        <f t="shared" si="49"/>
        <v>0</v>
      </c>
      <c r="R98" s="187">
        <f t="shared" si="50"/>
        <v>0</v>
      </c>
      <c r="S98" s="1596"/>
      <c r="T98" s="1597"/>
      <c r="U98" s="1207"/>
      <c r="V98" s="1641"/>
      <c r="W98" s="1643"/>
      <c r="X98" s="1590"/>
      <c r="AC98" s="317"/>
      <c r="AD98" s="246"/>
      <c r="AE98" s="246"/>
    </row>
    <row r="99" spans="2:31">
      <c r="B99" s="234"/>
      <c r="C99" s="121"/>
      <c r="D99" s="1552"/>
      <c r="E99" s="1609"/>
      <c r="F99" s="18"/>
      <c r="G99" s="18"/>
      <c r="H99" s="657"/>
      <c r="I99" s="657"/>
      <c r="J99" s="657"/>
      <c r="K99" s="657"/>
      <c r="L99" s="115">
        <f t="shared" si="48"/>
        <v>0</v>
      </c>
      <c r="M99" s="18">
        <f>SUMIF(Fenster!$D$10:$D$2160,Fassade!F99,Fenster!$J$10:$J$2160)</f>
        <v>0</v>
      </c>
      <c r="N99" s="18">
        <f>SUMIF(Fenster!$D$10:$D$2160,Fassade!F99,Fenster!$M$10:$M$2160)</f>
        <v>0</v>
      </c>
      <c r="O99" s="18">
        <f>SUMIFS(Fenster!$M$10:$M$2160,Fenster!$D$10:$D$2160,Fassade!F99,Fenster!$L$10:$L$2160,"&gt;2,5")</f>
        <v>0</v>
      </c>
      <c r="P99" s="18">
        <f>SUMIF(Fenster!$D$10:$D$2160,Fassade!F99,Fenster!$K$10:$K$2160)</f>
        <v>0</v>
      </c>
      <c r="Q99" s="18">
        <f t="shared" si="49"/>
        <v>0</v>
      </c>
      <c r="R99" s="187">
        <f t="shared" si="50"/>
        <v>0</v>
      </c>
      <c r="S99" s="1596"/>
      <c r="T99" s="1597"/>
      <c r="U99" s="1206"/>
      <c r="V99" s="1641"/>
      <c r="W99" s="1643"/>
      <c r="X99" s="1590"/>
    </row>
    <row r="100" spans="2:31">
      <c r="B100" s="234"/>
      <c r="C100" s="121"/>
      <c r="D100" s="1552"/>
      <c r="E100" s="1609"/>
      <c r="F100" s="1612" t="s">
        <v>187</v>
      </c>
      <c r="G100" s="18"/>
      <c r="H100" s="657"/>
      <c r="I100" s="657"/>
      <c r="J100" s="657"/>
      <c r="K100" s="657"/>
      <c r="L100" s="1614">
        <f t="shared" ref="L100" si="51">SUM(L90:L99)</f>
        <v>0</v>
      </c>
      <c r="M100" s="1477">
        <f t="shared" ref="M100" si="52">SUM(M90:M99)</f>
        <v>0</v>
      </c>
      <c r="N100" s="1477">
        <f t="shared" ref="N100" si="53">SUM(N90:N99)</f>
        <v>0</v>
      </c>
      <c r="O100" s="1477">
        <f t="shared" ref="O100" si="54">SUM(O90:O99)</f>
        <v>0</v>
      </c>
      <c r="P100" s="1477">
        <f t="shared" ref="P100" si="55">SUM(P90:P99)</f>
        <v>0</v>
      </c>
      <c r="Q100" s="1477">
        <f t="shared" ref="Q100" si="56">SUM(Q90:Q99)</f>
        <v>0</v>
      </c>
      <c r="R100" s="1483">
        <f>SUM(R90:R99)</f>
        <v>0</v>
      </c>
      <c r="S100" s="1596"/>
      <c r="T100" s="1597"/>
      <c r="U100" s="1208"/>
      <c r="V100" s="1641"/>
      <c r="W100" s="1643"/>
      <c r="X100" s="1590"/>
      <c r="AD100" s="167"/>
    </row>
    <row r="101" spans="2:31" ht="17.399999999999999" thickBot="1">
      <c r="B101" s="789"/>
      <c r="C101" s="787"/>
      <c r="D101" s="1610"/>
      <c r="E101" s="1611"/>
      <c r="F101" s="1613"/>
      <c r="G101" s="788"/>
      <c r="H101" s="788"/>
      <c r="I101" s="788"/>
      <c r="J101" s="788"/>
      <c r="K101" s="788"/>
      <c r="L101" s="1615"/>
      <c r="M101" s="1592"/>
      <c r="N101" s="1592"/>
      <c r="O101" s="1592"/>
      <c r="P101" s="1592"/>
      <c r="Q101" s="1592"/>
      <c r="R101" s="1605"/>
      <c r="S101" s="1598"/>
      <c r="T101" s="1599"/>
      <c r="U101" s="1209"/>
      <c r="V101" s="1642"/>
      <c r="W101" s="1644"/>
      <c r="X101" s="1590"/>
      <c r="AD101" s="167"/>
    </row>
    <row r="102" spans="2:31" ht="57" customHeight="1">
      <c r="B102" s="135" t="s">
        <v>677</v>
      </c>
      <c r="C102" s="127"/>
      <c r="D102" s="1552" t="e" vm="4">
        <v>#VALUE!</v>
      </c>
      <c r="E102" s="1609"/>
      <c r="F102" s="229" t="s">
        <v>296</v>
      </c>
      <c r="G102" s="229" t="s">
        <v>272</v>
      </c>
      <c r="H102" s="229" t="s">
        <v>300</v>
      </c>
      <c r="I102" s="229" t="s">
        <v>301</v>
      </c>
      <c r="J102" s="177" t="s">
        <v>652</v>
      </c>
      <c r="K102" s="177" t="s">
        <v>653</v>
      </c>
      <c r="L102" s="177" t="s">
        <v>654</v>
      </c>
      <c r="M102" s="177" t="s">
        <v>655</v>
      </c>
      <c r="N102" s="177" t="s">
        <v>656</v>
      </c>
      <c r="O102" s="177" t="s">
        <v>657</v>
      </c>
      <c r="P102" s="177" t="s">
        <v>658</v>
      </c>
      <c r="Q102" s="177" t="s">
        <v>659</v>
      </c>
      <c r="R102" s="713" t="s">
        <v>660</v>
      </c>
      <c r="S102" s="1600"/>
      <c r="T102" s="1597"/>
      <c r="U102" s="1200" t="s">
        <v>661</v>
      </c>
      <c r="V102" s="995" t="str" cm="1">
        <f t="array" ref="V102">_xlfn.XLOOKUP(U102&amp;Allgemein!$C$45,Fassadenpositionen[[#Headers],[WDVS:]]&amp;Fassadenpositionen[Position Fassade],Fassadenpositionen[WDVS:],"",0,1)</f>
        <v>Nein</v>
      </c>
      <c r="W102" s="995" t="str" cm="1">
        <f t="array" ref="W102">_xlfn.XLOOKUP(U102&amp;Allgemein!$C$61,Fassadenpositionen[[#Headers],[WDVS:]]&amp;Fassadenpositionen[Position Fassade],Fassadenpositionen[WDVS:],"",0,1)</f>
        <v>Nein</v>
      </c>
      <c r="X102" s="1004" t="str" cm="1">
        <f t="array" ref="X102">_xlfn.XLOOKUP(U102&amp;Allgemein!$C$77,Fassadenpositionen[[#Headers],[WDVS:]]&amp;Fassadenpositionen[Position Fassade],Fassadenpositionen[WDVS:],"",0,1)</f>
        <v>Nein</v>
      </c>
      <c r="AD102" s="167"/>
    </row>
    <row r="103" spans="2:31">
      <c r="B103" s="135" t="s">
        <v>662</v>
      </c>
      <c r="C103" s="18"/>
      <c r="D103" s="1552"/>
      <c r="E103" s="1609"/>
      <c r="F103" s="18"/>
      <c r="G103" s="18"/>
      <c r="H103" s="657"/>
      <c r="I103" s="657"/>
      <c r="J103" s="657"/>
      <c r="K103" s="657"/>
      <c r="L103" s="115">
        <f t="shared" ref="L103:L112" si="57">H103*I103+J103</f>
        <v>0</v>
      </c>
      <c r="M103" s="18">
        <f>SUMIF(Fenster!$D$10:$D$2160,Fassade!F103,Fenster!$J$10:$J$2160)</f>
        <v>0</v>
      </c>
      <c r="N103" s="18">
        <f>SUMIF(Fenster!$D$10:$D$2160,Fassade!F103,Fenster!$M$10:$M$2160)</f>
        <v>0</v>
      </c>
      <c r="O103" s="18">
        <f>SUMIFS(Fenster!$M$10:$M$2160,Fenster!$D$10:$D$2160,Fassade!F103,Fenster!$L$10:$L$2160,"&gt;2,5")</f>
        <v>0</v>
      </c>
      <c r="P103" s="18">
        <f>SUMIF(Fenster!$D$10:$D$2160,Fassade!F103,Fenster!$K$10:$K$2160)</f>
        <v>0</v>
      </c>
      <c r="Q103" s="18">
        <f t="shared" ref="Q103:Q112" si="58">L103-O103</f>
        <v>0</v>
      </c>
      <c r="R103" s="187">
        <f t="shared" ref="R103:R112" si="59">L103-N103</f>
        <v>0</v>
      </c>
      <c r="S103" s="1596"/>
      <c r="T103" s="1597"/>
      <c r="U103" s="1201" t="s">
        <v>663</v>
      </c>
      <c r="V103" s="997">
        <v>0</v>
      </c>
      <c r="W103" s="952">
        <v>0</v>
      </c>
      <c r="X103" s="988">
        <v>0</v>
      </c>
      <c r="AD103" s="167"/>
    </row>
    <row r="104" spans="2:31">
      <c r="B104" s="234" t="s">
        <v>664</v>
      </c>
      <c r="C104" s="208"/>
      <c r="D104" s="1552"/>
      <c r="E104" s="1609"/>
      <c r="F104" s="18"/>
      <c r="G104" s="18"/>
      <c r="H104" s="657"/>
      <c r="I104" s="657"/>
      <c r="J104" s="657"/>
      <c r="K104" s="657"/>
      <c r="L104" s="115">
        <f t="shared" si="57"/>
        <v>0</v>
      </c>
      <c r="M104" s="18">
        <f>SUMIF(Fenster!$D$10:$D$2160,Fassade!F104,Fenster!$J$10:$J$2160)</f>
        <v>0</v>
      </c>
      <c r="N104" s="18">
        <f>SUMIF(Fenster!$D$10:$D$2160,Fassade!F104,Fenster!$M$10:$M$2160)</f>
        <v>0</v>
      </c>
      <c r="O104" s="18">
        <f>SUMIFS(Fenster!$M$10:$M$2160,Fenster!$D$10:$D$2160,Fassade!F104,Fenster!$L$10:$L$2160,"&gt;2,5")</f>
        <v>0</v>
      </c>
      <c r="P104" s="18">
        <f>SUMIF(Fenster!$D$10:$D$2160,Fassade!F104,Fenster!$K$10:$K$2160)</f>
        <v>0</v>
      </c>
      <c r="Q104" s="18">
        <f t="shared" si="58"/>
        <v>0</v>
      </c>
      <c r="R104" s="187">
        <f t="shared" si="59"/>
        <v>0</v>
      </c>
      <c r="S104" s="1596"/>
      <c r="T104" s="1597"/>
      <c r="U104" s="1202" t="s">
        <v>665</v>
      </c>
      <c r="V104" s="998">
        <f>IF(V102="Ja",(Q113+V103)*$V$9,0)</f>
        <v>0</v>
      </c>
      <c r="W104" s="958">
        <f>IF(W102="Ja",(Q113+W103)*$V$9,0)</f>
        <v>0</v>
      </c>
      <c r="X104" s="999">
        <f>IF(X102="Ja",(Q113+X103)*$V$9,0)</f>
        <v>0</v>
      </c>
      <c r="AD104" s="167"/>
    </row>
    <row r="105" spans="2:31">
      <c r="B105" s="234" t="s">
        <v>666</v>
      </c>
      <c r="C105" s="208"/>
      <c r="D105" s="1552"/>
      <c r="E105" s="1609"/>
      <c r="F105" s="18"/>
      <c r="G105" s="18"/>
      <c r="H105" s="657"/>
      <c r="I105" s="657"/>
      <c r="J105" s="657"/>
      <c r="K105" s="657"/>
      <c r="L105" s="115">
        <f t="shared" si="57"/>
        <v>0</v>
      </c>
      <c r="M105" s="18">
        <f>SUMIF(Fenster!$D$10:$D$2160,Fassade!F105,Fenster!$J$10:$J$2160)</f>
        <v>0</v>
      </c>
      <c r="N105" s="18">
        <f>SUMIF(Fenster!$D$10:$D$2160,Fassade!F105,Fenster!$M$10:$M$2160)</f>
        <v>0</v>
      </c>
      <c r="O105" s="18">
        <f>SUMIFS(Fenster!$M$10:$M$2160,Fenster!$D$10:$D$2160,Fassade!F105,Fenster!$L$10:$L$2160,"&gt;2,5")</f>
        <v>0</v>
      </c>
      <c r="P105" s="18">
        <f>SUMIF(Fenster!$D$10:$D$2160,Fassade!F105,Fenster!$K$10:$K$2160)</f>
        <v>0</v>
      </c>
      <c r="Q105" s="18">
        <f t="shared" si="58"/>
        <v>0</v>
      </c>
      <c r="R105" s="187">
        <f t="shared" si="59"/>
        <v>0</v>
      </c>
      <c r="S105" s="1596"/>
      <c r="T105" s="1597"/>
      <c r="U105" s="1203" t="s">
        <v>667</v>
      </c>
      <c r="V105" s="998">
        <f>IF(V102="Ja",(R113+V103)*$V$9,0)</f>
        <v>0</v>
      </c>
      <c r="W105" s="958">
        <f>IF(W102="Ja",(R113+W103)*$V$9,0)</f>
        <v>0</v>
      </c>
      <c r="X105" s="999">
        <f>IF(X102="Ja",(R113+X103)*$V$9,0)</f>
        <v>0</v>
      </c>
    </row>
    <row r="106" spans="2:31">
      <c r="B106" s="234" t="s">
        <v>674</v>
      </c>
      <c r="C106" s="208"/>
      <c r="D106" s="1552"/>
      <c r="E106" s="1609"/>
      <c r="F106" s="18"/>
      <c r="G106" s="18"/>
      <c r="H106" s="657"/>
      <c r="I106" s="657"/>
      <c r="J106" s="657"/>
      <c r="K106" s="657"/>
      <c r="L106" s="115">
        <f t="shared" si="57"/>
        <v>0</v>
      </c>
      <c r="M106" s="18">
        <f>SUMIF(Fenster!$D$10:$D$2160,Fassade!F106,Fenster!$J$10:$J$2160)</f>
        <v>0</v>
      </c>
      <c r="N106" s="18">
        <f>SUMIF(Fenster!$D$10:$D$2160,Fassade!F106,Fenster!$M$10:$M$2160)</f>
        <v>0</v>
      </c>
      <c r="O106" s="18">
        <f>SUMIFS(Fenster!$M$10:$M$2160,Fenster!$D$10:$D$2160,Fassade!F106,Fenster!$L$10:$L$2160,"&gt;2,5")</f>
        <v>0</v>
      </c>
      <c r="P106" s="18">
        <f>SUMIF(Fenster!$D$10:$D$2160,Fassade!F106,Fenster!$K$10:$K$2160)</f>
        <v>0</v>
      </c>
      <c r="Q106" s="18">
        <f t="shared" si="58"/>
        <v>0</v>
      </c>
      <c r="R106" s="187">
        <f t="shared" si="59"/>
        <v>0</v>
      </c>
      <c r="S106" s="1596"/>
      <c r="T106" s="1597"/>
      <c r="U106" s="1204" t="s">
        <v>669</v>
      </c>
      <c r="V106" s="958" t="str">
        <f>Allgemein!$D$45</f>
        <v>-</v>
      </c>
      <c r="W106" s="958" t="str">
        <f>Allgemein!$D$61</f>
        <v>-</v>
      </c>
      <c r="X106" s="1000" t="str">
        <f>Allgemein!$D$77</f>
        <v>-</v>
      </c>
    </row>
    <row r="107" spans="2:31">
      <c r="B107" s="234" t="s">
        <v>675</v>
      </c>
      <c r="C107" s="208"/>
      <c r="D107" s="1552"/>
      <c r="E107" s="1609"/>
      <c r="F107" s="18"/>
      <c r="G107" s="18"/>
      <c r="H107" s="657"/>
      <c r="I107" s="657"/>
      <c r="J107" s="657"/>
      <c r="K107" s="657"/>
      <c r="L107" s="115">
        <f t="shared" si="57"/>
        <v>0</v>
      </c>
      <c r="M107" s="18">
        <f>SUMIF(Fenster!$D$10:$D$2160,Fassade!F107,Fenster!$J$10:$J$2160)</f>
        <v>0</v>
      </c>
      <c r="N107" s="18">
        <f>SUMIF(Fenster!$D$10:$D$2160,Fassade!F107,Fenster!$M$10:$M$2160)</f>
        <v>0</v>
      </c>
      <c r="O107" s="18">
        <f>SUMIFS(Fenster!$M$10:$M$2160,Fenster!$D$10:$D$2160,Fassade!F107,Fenster!$L$10:$L$2160,"&gt;2,5")</f>
        <v>0</v>
      </c>
      <c r="P107" s="18">
        <f>SUMIF(Fenster!$D$10:$D$2160,Fassade!F107,Fenster!$K$10:$K$2160)</f>
        <v>0</v>
      </c>
      <c r="Q107" s="18">
        <f t="shared" si="58"/>
        <v>0</v>
      </c>
      <c r="R107" s="187">
        <f t="shared" si="59"/>
        <v>0</v>
      </c>
      <c r="S107" s="1596"/>
      <c r="T107" s="1597"/>
      <c r="U107" s="1205" t="s">
        <v>671</v>
      </c>
      <c r="V107" s="1640"/>
      <c r="W107" s="1586"/>
      <c r="X107" s="1589"/>
    </row>
    <row r="108" spans="2:31">
      <c r="B108" s="234" t="s">
        <v>676</v>
      </c>
      <c r="C108" s="208"/>
      <c r="D108" s="1552"/>
      <c r="E108" s="1609"/>
      <c r="F108" s="18"/>
      <c r="G108" s="18"/>
      <c r="H108" s="657"/>
      <c r="I108" s="657"/>
      <c r="J108" s="657"/>
      <c r="K108" s="657"/>
      <c r="L108" s="115">
        <f t="shared" si="57"/>
        <v>0</v>
      </c>
      <c r="M108" s="18">
        <f>SUMIF(Fenster!$D$10:$D$2160,Fassade!F108,Fenster!$J$10:$J$2160)</f>
        <v>0</v>
      </c>
      <c r="N108" s="18">
        <f>SUMIF(Fenster!$D$10:$D$2160,Fassade!F108,Fenster!$M$10:$M$2160)</f>
        <v>0</v>
      </c>
      <c r="O108" s="18">
        <f>SUMIFS(Fenster!$M$10:$M$2160,Fenster!$D$10:$D$2160,Fassade!F108,Fenster!$L$10:$L$2160,"&gt;2,5")</f>
        <v>0</v>
      </c>
      <c r="P108" s="18">
        <f>SUMIF(Fenster!$D$10:$D$2160,Fassade!F108,Fenster!$K$10:$K$2160)</f>
        <v>0</v>
      </c>
      <c r="Q108" s="18">
        <f t="shared" si="58"/>
        <v>0</v>
      </c>
      <c r="R108" s="187">
        <f t="shared" si="59"/>
        <v>0</v>
      </c>
      <c r="S108" s="1596"/>
      <c r="T108" s="1597"/>
      <c r="U108" s="1206"/>
      <c r="V108" s="1641"/>
      <c r="W108" s="1643"/>
      <c r="X108" s="1590"/>
    </row>
    <row r="109" spans="2:31">
      <c r="B109" s="234" t="s">
        <v>668</v>
      </c>
      <c r="C109" s="208"/>
      <c r="D109" s="1552"/>
      <c r="E109" s="1609"/>
      <c r="F109" s="18"/>
      <c r="G109" s="18"/>
      <c r="H109" s="657"/>
      <c r="I109" s="657"/>
      <c r="J109" s="657"/>
      <c r="K109" s="657"/>
      <c r="L109" s="115">
        <f t="shared" si="57"/>
        <v>0</v>
      </c>
      <c r="M109" s="18">
        <f>SUMIF(Fenster!$D$10:$D$2160,Fassade!F109,Fenster!$J$10:$J$2160)</f>
        <v>0</v>
      </c>
      <c r="N109" s="18">
        <f>SUMIF(Fenster!$D$10:$D$2160,Fassade!F109,Fenster!$M$10:$M$2160)</f>
        <v>0</v>
      </c>
      <c r="O109" s="18">
        <f>SUMIFS(Fenster!$M$10:$M$2160,Fenster!$D$10:$D$2160,Fassade!F109,Fenster!$L$10:$L$2160,"&gt;2,5")</f>
        <v>0</v>
      </c>
      <c r="P109" s="18">
        <f>SUMIF(Fenster!$D$10:$D$2160,Fassade!F109,Fenster!$K$10:$K$2160)</f>
        <v>0</v>
      </c>
      <c r="Q109" s="18">
        <f t="shared" si="58"/>
        <v>0</v>
      </c>
      <c r="R109" s="187">
        <f t="shared" si="59"/>
        <v>0</v>
      </c>
      <c r="S109" s="1596"/>
      <c r="T109" s="1597"/>
      <c r="U109" s="1206"/>
      <c r="V109" s="1641"/>
      <c r="W109" s="1643"/>
      <c r="X109" s="1590"/>
    </row>
    <row r="110" spans="2:31">
      <c r="B110" s="234" t="s">
        <v>670</v>
      </c>
      <c r="C110" s="208"/>
      <c r="D110" s="1552"/>
      <c r="E110" s="1609"/>
      <c r="F110" s="18"/>
      <c r="G110" s="18"/>
      <c r="H110" s="657"/>
      <c r="I110" s="657"/>
      <c r="J110" s="657"/>
      <c r="K110" s="657"/>
      <c r="L110" s="115">
        <f t="shared" si="57"/>
        <v>0</v>
      </c>
      <c r="M110" s="18">
        <f>SUMIF(Fenster!$D$10:$D$2160,Fassade!F110,Fenster!$J$10:$J$2160)</f>
        <v>0</v>
      </c>
      <c r="N110" s="18">
        <f>SUMIF(Fenster!$D$10:$D$2160,Fassade!F110,Fenster!$M$10:$M$2160)</f>
        <v>0</v>
      </c>
      <c r="O110" s="18">
        <f>SUMIFS(Fenster!$M$10:$M$2160,Fenster!$D$10:$D$2160,Fassade!F110,Fenster!$L$10:$L$2160,"&gt;2,5")</f>
        <v>0</v>
      </c>
      <c r="P110" s="18">
        <f>SUMIF(Fenster!$D$10:$D$2160,Fassade!F110,Fenster!$K$10:$K$2160)</f>
        <v>0</v>
      </c>
      <c r="Q110" s="18">
        <f t="shared" si="58"/>
        <v>0</v>
      </c>
      <c r="R110" s="187">
        <f t="shared" si="59"/>
        <v>0</v>
      </c>
      <c r="S110" s="1596"/>
      <c r="T110" s="1597"/>
      <c r="U110" s="1207"/>
      <c r="V110" s="1641"/>
      <c r="W110" s="1643"/>
      <c r="X110" s="1590"/>
    </row>
    <row r="111" spans="2:31">
      <c r="B111" s="234" t="s">
        <v>672</v>
      </c>
      <c r="C111" s="121"/>
      <c r="D111" s="1552"/>
      <c r="E111" s="1609"/>
      <c r="F111" s="18"/>
      <c r="G111" s="18"/>
      <c r="H111" s="657"/>
      <c r="I111" s="657"/>
      <c r="J111" s="657"/>
      <c r="K111" s="657"/>
      <c r="L111" s="115">
        <f t="shared" si="57"/>
        <v>0</v>
      </c>
      <c r="M111" s="18">
        <f>SUMIF(Fenster!$D$10:$D$2160,Fassade!F111,Fenster!$J$10:$J$2160)</f>
        <v>0</v>
      </c>
      <c r="N111" s="18">
        <f>SUMIF(Fenster!$D$10:$D$2160,Fassade!F111,Fenster!$M$10:$M$2160)</f>
        <v>0</v>
      </c>
      <c r="O111" s="18">
        <f>SUMIFS(Fenster!$M$10:$M$2160,Fenster!$D$10:$D$2160,Fassade!F111,Fenster!$L$10:$L$2160,"&gt;2,5")</f>
        <v>0</v>
      </c>
      <c r="P111" s="18">
        <f>SUMIF(Fenster!$D$10:$D$2160,Fassade!F111,Fenster!$K$10:$K$2160)</f>
        <v>0</v>
      </c>
      <c r="Q111" s="18">
        <f t="shared" si="58"/>
        <v>0</v>
      </c>
      <c r="R111" s="187">
        <f t="shared" si="59"/>
        <v>0</v>
      </c>
      <c r="S111" s="1596"/>
      <c r="T111" s="1597"/>
      <c r="U111" s="1207"/>
      <c r="V111" s="1641"/>
      <c r="W111" s="1643"/>
      <c r="X111" s="1590"/>
    </row>
    <row r="112" spans="2:31">
      <c r="B112" s="234"/>
      <c r="C112" s="121"/>
      <c r="D112" s="1552"/>
      <c r="E112" s="1609"/>
      <c r="F112" s="18"/>
      <c r="G112" s="18"/>
      <c r="H112" s="657"/>
      <c r="I112" s="657"/>
      <c r="J112" s="657"/>
      <c r="K112" s="657"/>
      <c r="L112" s="115">
        <f t="shared" si="57"/>
        <v>0</v>
      </c>
      <c r="M112" s="18">
        <f>SUMIF(Fenster!$D$10:$D$2160,Fassade!F112,Fenster!$J$10:$J$2160)</f>
        <v>0</v>
      </c>
      <c r="N112" s="18">
        <f>SUMIF(Fenster!$D$10:$D$2160,Fassade!F112,Fenster!$M$10:$M$2160)</f>
        <v>0</v>
      </c>
      <c r="O112" s="18">
        <f>SUMIFS(Fenster!$M$10:$M$2160,Fenster!$D$10:$D$2160,Fassade!F112,Fenster!$L$10:$L$2160,"&gt;2,5")</f>
        <v>0</v>
      </c>
      <c r="P112" s="18">
        <f>SUMIF(Fenster!$D$10:$D$2160,Fassade!F112,Fenster!$K$10:$K$2160)</f>
        <v>0</v>
      </c>
      <c r="Q112" s="18">
        <f t="shared" si="58"/>
        <v>0</v>
      </c>
      <c r="R112" s="187">
        <f t="shared" si="59"/>
        <v>0</v>
      </c>
      <c r="S112" s="1596"/>
      <c r="T112" s="1597"/>
      <c r="U112" s="1206"/>
      <c r="V112" s="1641"/>
      <c r="W112" s="1643"/>
      <c r="X112" s="1590"/>
    </row>
    <row r="113" spans="2:24">
      <c r="B113" s="234"/>
      <c r="C113" s="121"/>
      <c r="D113" s="1552"/>
      <c r="E113" s="1609"/>
      <c r="F113" s="1612" t="s">
        <v>187</v>
      </c>
      <c r="G113" s="18"/>
      <c r="H113" s="657"/>
      <c r="I113" s="657"/>
      <c r="J113" s="657"/>
      <c r="K113" s="657"/>
      <c r="L113" s="1614">
        <f t="shared" ref="L113" si="60">SUM(L103:L112)</f>
        <v>0</v>
      </c>
      <c r="M113" s="1477">
        <f t="shared" ref="M113" si="61">SUM(M103:M112)</f>
        <v>0</v>
      </c>
      <c r="N113" s="1477">
        <f t="shared" ref="N113" si="62">SUM(N103:N112)</f>
        <v>0</v>
      </c>
      <c r="O113" s="1477">
        <f t="shared" ref="O113" si="63">SUM(O103:O112)</f>
        <v>0</v>
      </c>
      <c r="P113" s="1477">
        <f t="shared" ref="P113" si="64">SUM(P103:P112)</f>
        <v>0</v>
      </c>
      <c r="Q113" s="1477">
        <f t="shared" ref="Q113" si="65">SUM(Q103:Q112)</f>
        <v>0</v>
      </c>
      <c r="R113" s="1483">
        <f>SUM(R103:R112)</f>
        <v>0</v>
      </c>
      <c r="S113" s="1596"/>
      <c r="T113" s="1597"/>
      <c r="U113" s="1208"/>
      <c r="V113" s="1641"/>
      <c r="W113" s="1643"/>
      <c r="X113" s="1590"/>
    </row>
    <row r="114" spans="2:24" ht="17.399999999999999" thickBot="1">
      <c r="B114" s="789"/>
      <c r="C114" s="787"/>
      <c r="D114" s="1610"/>
      <c r="E114" s="1611"/>
      <c r="F114" s="1613"/>
      <c r="G114" s="788"/>
      <c r="H114" s="788"/>
      <c r="I114" s="788"/>
      <c r="J114" s="788"/>
      <c r="K114" s="788"/>
      <c r="L114" s="1615"/>
      <c r="M114" s="1592"/>
      <c r="N114" s="1592"/>
      <c r="O114" s="1592"/>
      <c r="P114" s="1592"/>
      <c r="Q114" s="1592"/>
      <c r="R114" s="1605"/>
      <c r="S114" s="1598"/>
      <c r="T114" s="1599"/>
      <c r="U114" s="1209"/>
      <c r="V114" s="1642"/>
      <c r="W114" s="1644"/>
      <c r="X114" s="1590"/>
    </row>
    <row r="115" spans="2:24" ht="57" customHeight="1">
      <c r="B115" s="135" t="s">
        <v>677</v>
      </c>
      <c r="C115" s="127"/>
      <c r="D115" s="1552" t="e" vm="4">
        <v>#VALUE!</v>
      </c>
      <c r="E115" s="1609"/>
      <c r="F115" s="229" t="s">
        <v>296</v>
      </c>
      <c r="G115" s="229" t="s">
        <v>272</v>
      </c>
      <c r="H115" s="229" t="s">
        <v>300</v>
      </c>
      <c r="I115" s="229" t="s">
        <v>301</v>
      </c>
      <c r="J115" s="177" t="s">
        <v>652</v>
      </c>
      <c r="K115" s="177" t="s">
        <v>653</v>
      </c>
      <c r="L115" s="177" t="s">
        <v>654</v>
      </c>
      <c r="M115" s="177" t="s">
        <v>655</v>
      </c>
      <c r="N115" s="177" t="s">
        <v>656</v>
      </c>
      <c r="O115" s="177" t="s">
        <v>657</v>
      </c>
      <c r="P115" s="177" t="s">
        <v>658</v>
      </c>
      <c r="Q115" s="177" t="s">
        <v>659</v>
      </c>
      <c r="R115" s="713" t="s">
        <v>660</v>
      </c>
      <c r="S115" s="1600"/>
      <c r="T115" s="1597"/>
      <c r="U115" s="1200" t="s">
        <v>661</v>
      </c>
      <c r="V115" s="995" t="str" cm="1">
        <f t="array" ref="V115">_xlfn.XLOOKUP(U115&amp;Allgemein!$C$45,Fassadenpositionen[[#Headers],[WDVS:]]&amp;Fassadenpositionen[Position Fassade],Fassadenpositionen[WDVS:],"",0,1)</f>
        <v>Nein</v>
      </c>
      <c r="W115" s="995" t="str" cm="1">
        <f t="array" ref="W115">_xlfn.XLOOKUP(U115&amp;Allgemein!$C$61,Fassadenpositionen[[#Headers],[WDVS:]]&amp;Fassadenpositionen[Position Fassade],Fassadenpositionen[WDVS:],"",0,1)</f>
        <v>Nein</v>
      </c>
      <c r="X115" s="1004" t="str" cm="1">
        <f t="array" ref="X115">_xlfn.XLOOKUP(U115&amp;Allgemein!$C$77,Fassadenpositionen[[#Headers],[WDVS:]]&amp;Fassadenpositionen[Position Fassade],Fassadenpositionen[WDVS:],"",0,1)</f>
        <v>Nein</v>
      </c>
    </row>
    <row r="116" spans="2:24">
      <c r="B116" s="135" t="s">
        <v>662</v>
      </c>
      <c r="C116" s="18"/>
      <c r="D116" s="1552"/>
      <c r="E116" s="1609"/>
      <c r="F116" s="18"/>
      <c r="G116" s="18"/>
      <c r="H116" s="657"/>
      <c r="I116" s="657"/>
      <c r="J116" s="657"/>
      <c r="K116" s="657"/>
      <c r="L116" s="115">
        <f t="shared" ref="L116:L125" si="66">H116*I116+J116</f>
        <v>0</v>
      </c>
      <c r="M116" s="18">
        <f>SUMIF(Fenster!$D$10:$D$2160,Fassade!F116,Fenster!$J$10:$J$2160)</f>
        <v>0</v>
      </c>
      <c r="N116" s="18">
        <f>SUMIF(Fenster!$D$10:$D$2160,Fassade!F116,Fenster!$M$10:$M$2160)</f>
        <v>0</v>
      </c>
      <c r="O116" s="18">
        <f>SUMIFS(Fenster!$M$10:$M$2160,Fenster!$D$10:$D$2160,Fassade!F116,Fenster!$L$10:$L$2160,"&gt;2,5")</f>
        <v>0</v>
      </c>
      <c r="P116" s="18">
        <f>SUMIF(Fenster!$D$10:$D$2160,Fassade!F116,Fenster!$K$10:$K$2160)</f>
        <v>0</v>
      </c>
      <c r="Q116" s="18">
        <f t="shared" ref="Q116:Q125" si="67">L116-O116</f>
        <v>0</v>
      </c>
      <c r="R116" s="187">
        <f t="shared" ref="R116:R125" si="68">L116-N116</f>
        <v>0</v>
      </c>
      <c r="S116" s="1596"/>
      <c r="T116" s="1597"/>
      <c r="U116" s="1201" t="s">
        <v>663</v>
      </c>
      <c r="V116" s="997">
        <v>0</v>
      </c>
      <c r="W116" s="952">
        <v>0</v>
      </c>
      <c r="X116" s="988">
        <v>0</v>
      </c>
    </row>
    <row r="117" spans="2:24">
      <c r="B117" s="234" t="s">
        <v>664</v>
      </c>
      <c r="C117" s="208"/>
      <c r="D117" s="1552"/>
      <c r="E117" s="1609"/>
      <c r="F117" s="18"/>
      <c r="G117" s="18"/>
      <c r="H117" s="657"/>
      <c r="I117" s="657"/>
      <c r="J117" s="657"/>
      <c r="K117" s="657"/>
      <c r="L117" s="115">
        <f t="shared" si="66"/>
        <v>0</v>
      </c>
      <c r="M117" s="18">
        <f>SUMIF(Fenster!$D$10:$D$2160,Fassade!F117,Fenster!$J$10:$J$2160)</f>
        <v>0</v>
      </c>
      <c r="N117" s="18">
        <f>SUMIF(Fenster!$D$10:$D$2160,Fassade!F117,Fenster!$M$10:$M$2160)</f>
        <v>0</v>
      </c>
      <c r="O117" s="18">
        <f>SUMIFS(Fenster!$M$10:$M$2160,Fenster!$D$10:$D$2160,Fassade!F117,Fenster!$L$10:$L$2160,"&gt;2,5")</f>
        <v>0</v>
      </c>
      <c r="P117" s="18">
        <f>SUMIF(Fenster!$D$10:$D$2160,Fassade!F117,Fenster!$K$10:$K$2160)</f>
        <v>0</v>
      </c>
      <c r="Q117" s="18">
        <f t="shared" si="67"/>
        <v>0</v>
      </c>
      <c r="R117" s="187">
        <f t="shared" si="68"/>
        <v>0</v>
      </c>
      <c r="S117" s="1596"/>
      <c r="T117" s="1597"/>
      <c r="U117" s="1202" t="s">
        <v>665</v>
      </c>
      <c r="V117" s="998">
        <f>IF(V115="Ja",(Q126+V116)*$V$9,0)</f>
        <v>0</v>
      </c>
      <c r="W117" s="958">
        <f>IF(W115="Ja",(Q126+W116)*$V$9,0)</f>
        <v>0</v>
      </c>
      <c r="X117" s="999">
        <f>IF(X115="Ja",(Q126+X116)*$V$9,0)</f>
        <v>0</v>
      </c>
    </row>
    <row r="118" spans="2:24">
      <c r="B118" s="234" t="s">
        <v>666</v>
      </c>
      <c r="C118" s="208"/>
      <c r="D118" s="1552"/>
      <c r="E118" s="1609"/>
      <c r="F118" s="18"/>
      <c r="G118" s="18"/>
      <c r="H118" s="657"/>
      <c r="I118" s="657"/>
      <c r="J118" s="657"/>
      <c r="K118" s="657"/>
      <c r="L118" s="115">
        <f t="shared" si="66"/>
        <v>0</v>
      </c>
      <c r="M118" s="18">
        <f>SUMIF(Fenster!$D$10:$D$2160,Fassade!F118,Fenster!$J$10:$J$2160)</f>
        <v>0</v>
      </c>
      <c r="N118" s="18">
        <f>SUMIF(Fenster!$D$10:$D$2160,Fassade!F118,Fenster!$M$10:$M$2160)</f>
        <v>0</v>
      </c>
      <c r="O118" s="18">
        <f>SUMIFS(Fenster!$M$10:$M$2160,Fenster!$D$10:$D$2160,Fassade!F118,Fenster!$L$10:$L$2160,"&gt;2,5")</f>
        <v>0</v>
      </c>
      <c r="P118" s="18">
        <f>SUMIF(Fenster!$D$10:$D$2160,Fassade!F118,Fenster!$K$10:$K$2160)</f>
        <v>0</v>
      </c>
      <c r="Q118" s="18">
        <f t="shared" si="67"/>
        <v>0</v>
      </c>
      <c r="R118" s="187">
        <f t="shared" si="68"/>
        <v>0</v>
      </c>
      <c r="S118" s="1596"/>
      <c r="T118" s="1597"/>
      <c r="U118" s="1203" t="s">
        <v>667</v>
      </c>
      <c r="V118" s="998">
        <f>IF(V115="Ja",(R126+V116)*$V$9,0)</f>
        <v>0</v>
      </c>
      <c r="W118" s="958">
        <f>IF(W115="Ja",(R126+W116)*$V$9,0)</f>
        <v>0</v>
      </c>
      <c r="X118" s="999">
        <f>IF(X115="Ja",(R126+X116)*$V$9,0)</f>
        <v>0</v>
      </c>
    </row>
    <row r="119" spans="2:24">
      <c r="B119" s="234" t="s">
        <v>674</v>
      </c>
      <c r="C119" s="208"/>
      <c r="D119" s="1552"/>
      <c r="E119" s="1609"/>
      <c r="F119" s="18"/>
      <c r="G119" s="18"/>
      <c r="H119" s="657"/>
      <c r="I119" s="657"/>
      <c r="J119" s="657"/>
      <c r="K119" s="657"/>
      <c r="L119" s="115">
        <f t="shared" si="66"/>
        <v>0</v>
      </c>
      <c r="M119" s="18">
        <f>SUMIF(Fenster!$D$10:$D$2160,Fassade!F119,Fenster!$J$10:$J$2160)</f>
        <v>0</v>
      </c>
      <c r="N119" s="18">
        <f>SUMIF(Fenster!$D$10:$D$2160,Fassade!F119,Fenster!$M$10:$M$2160)</f>
        <v>0</v>
      </c>
      <c r="O119" s="18">
        <f>SUMIFS(Fenster!$M$10:$M$2160,Fenster!$D$10:$D$2160,Fassade!F119,Fenster!$L$10:$L$2160,"&gt;2,5")</f>
        <v>0</v>
      </c>
      <c r="P119" s="18">
        <f>SUMIF(Fenster!$D$10:$D$2160,Fassade!F119,Fenster!$K$10:$K$2160)</f>
        <v>0</v>
      </c>
      <c r="Q119" s="18">
        <f t="shared" si="67"/>
        <v>0</v>
      </c>
      <c r="R119" s="187">
        <f t="shared" si="68"/>
        <v>0</v>
      </c>
      <c r="S119" s="1596"/>
      <c r="T119" s="1597"/>
      <c r="U119" s="1204" t="s">
        <v>669</v>
      </c>
      <c r="V119" s="958" t="str">
        <f>Allgemein!$D$45</f>
        <v>-</v>
      </c>
      <c r="W119" s="958" t="str">
        <f>Allgemein!$D$61</f>
        <v>-</v>
      </c>
      <c r="X119" s="1000" t="str">
        <f>Allgemein!$D$77</f>
        <v>-</v>
      </c>
    </row>
    <row r="120" spans="2:24">
      <c r="B120" s="234" t="s">
        <v>675</v>
      </c>
      <c r="C120" s="208"/>
      <c r="D120" s="1552"/>
      <c r="E120" s="1609"/>
      <c r="F120" s="18"/>
      <c r="G120" s="18"/>
      <c r="H120" s="657"/>
      <c r="I120" s="657"/>
      <c r="J120" s="657"/>
      <c r="K120" s="657"/>
      <c r="L120" s="115">
        <f t="shared" si="66"/>
        <v>0</v>
      </c>
      <c r="M120" s="18">
        <f>SUMIF(Fenster!$D$10:$D$2160,Fassade!F120,Fenster!$J$10:$J$2160)</f>
        <v>0</v>
      </c>
      <c r="N120" s="18">
        <f>SUMIF(Fenster!$D$10:$D$2160,Fassade!F120,Fenster!$M$10:$M$2160)</f>
        <v>0</v>
      </c>
      <c r="O120" s="18">
        <f>SUMIFS(Fenster!$M$10:$M$2160,Fenster!$D$10:$D$2160,Fassade!F120,Fenster!$L$10:$L$2160,"&gt;2,5")</f>
        <v>0</v>
      </c>
      <c r="P120" s="18">
        <f>SUMIF(Fenster!$D$10:$D$2160,Fassade!F120,Fenster!$K$10:$K$2160)</f>
        <v>0</v>
      </c>
      <c r="Q120" s="18">
        <f t="shared" si="67"/>
        <v>0</v>
      </c>
      <c r="R120" s="187">
        <f t="shared" si="68"/>
        <v>0</v>
      </c>
      <c r="S120" s="1596"/>
      <c r="T120" s="1597"/>
      <c r="U120" s="1205" t="s">
        <v>671</v>
      </c>
      <c r="V120" s="1640"/>
      <c r="W120" s="1586"/>
      <c r="X120" s="1589"/>
    </row>
    <row r="121" spans="2:24">
      <c r="B121" s="234" t="s">
        <v>676</v>
      </c>
      <c r="C121" s="208"/>
      <c r="D121" s="1552"/>
      <c r="E121" s="1609"/>
      <c r="F121" s="18"/>
      <c r="G121" s="18"/>
      <c r="H121" s="657"/>
      <c r="I121" s="657"/>
      <c r="J121" s="657"/>
      <c r="K121" s="657"/>
      <c r="L121" s="115">
        <f t="shared" si="66"/>
        <v>0</v>
      </c>
      <c r="M121" s="18">
        <f>SUMIF(Fenster!$D$10:$D$2160,Fassade!F121,Fenster!$J$10:$J$2160)</f>
        <v>0</v>
      </c>
      <c r="N121" s="18">
        <f>SUMIF(Fenster!$D$10:$D$2160,Fassade!F121,Fenster!$M$10:$M$2160)</f>
        <v>0</v>
      </c>
      <c r="O121" s="18">
        <f>SUMIFS(Fenster!$M$10:$M$2160,Fenster!$D$10:$D$2160,Fassade!F121,Fenster!$L$10:$L$2160,"&gt;2,5")</f>
        <v>0</v>
      </c>
      <c r="P121" s="18">
        <f>SUMIF(Fenster!$D$10:$D$2160,Fassade!F121,Fenster!$K$10:$K$2160)</f>
        <v>0</v>
      </c>
      <c r="Q121" s="18">
        <f t="shared" si="67"/>
        <v>0</v>
      </c>
      <c r="R121" s="187">
        <f t="shared" si="68"/>
        <v>0</v>
      </c>
      <c r="S121" s="1596"/>
      <c r="T121" s="1597"/>
      <c r="U121" s="1206"/>
      <c r="V121" s="1641"/>
      <c r="W121" s="1643"/>
      <c r="X121" s="1590"/>
    </row>
    <row r="122" spans="2:24">
      <c r="B122" s="234" t="s">
        <v>668</v>
      </c>
      <c r="C122" s="208"/>
      <c r="D122" s="1552"/>
      <c r="E122" s="1609"/>
      <c r="F122" s="18"/>
      <c r="G122" s="18"/>
      <c r="H122" s="657"/>
      <c r="I122" s="657"/>
      <c r="J122" s="657"/>
      <c r="K122" s="657"/>
      <c r="L122" s="115">
        <f t="shared" si="66"/>
        <v>0</v>
      </c>
      <c r="M122" s="18">
        <f>SUMIF(Fenster!$D$10:$D$2160,Fassade!F122,Fenster!$J$10:$J$2160)</f>
        <v>0</v>
      </c>
      <c r="N122" s="18">
        <f>SUMIF(Fenster!$D$10:$D$2160,Fassade!F122,Fenster!$M$10:$M$2160)</f>
        <v>0</v>
      </c>
      <c r="O122" s="18">
        <f>SUMIFS(Fenster!$M$10:$M$2160,Fenster!$D$10:$D$2160,Fassade!F122,Fenster!$L$10:$L$2160,"&gt;2,5")</f>
        <v>0</v>
      </c>
      <c r="P122" s="18">
        <f>SUMIF(Fenster!$D$10:$D$2160,Fassade!F122,Fenster!$K$10:$K$2160)</f>
        <v>0</v>
      </c>
      <c r="Q122" s="18">
        <f t="shared" si="67"/>
        <v>0</v>
      </c>
      <c r="R122" s="187">
        <f t="shared" si="68"/>
        <v>0</v>
      </c>
      <c r="S122" s="1596"/>
      <c r="T122" s="1597"/>
      <c r="U122" s="1206"/>
      <c r="V122" s="1641"/>
      <c r="W122" s="1643"/>
      <c r="X122" s="1590"/>
    </row>
    <row r="123" spans="2:24">
      <c r="B123" s="234" t="s">
        <v>670</v>
      </c>
      <c r="C123" s="208"/>
      <c r="D123" s="1552"/>
      <c r="E123" s="1609"/>
      <c r="F123" s="18"/>
      <c r="G123" s="18"/>
      <c r="H123" s="657"/>
      <c r="I123" s="657"/>
      <c r="J123" s="657"/>
      <c r="K123" s="657"/>
      <c r="L123" s="115">
        <f t="shared" si="66"/>
        <v>0</v>
      </c>
      <c r="M123" s="18">
        <f>SUMIF(Fenster!$D$10:$D$2160,Fassade!F123,Fenster!$J$10:$J$2160)</f>
        <v>0</v>
      </c>
      <c r="N123" s="18">
        <f>SUMIF(Fenster!$D$10:$D$2160,Fassade!F123,Fenster!$M$10:$M$2160)</f>
        <v>0</v>
      </c>
      <c r="O123" s="18">
        <f>SUMIFS(Fenster!$M$10:$M$2160,Fenster!$D$10:$D$2160,Fassade!F123,Fenster!$L$10:$L$2160,"&gt;2,5")</f>
        <v>0</v>
      </c>
      <c r="P123" s="18">
        <f>SUMIF(Fenster!$D$10:$D$2160,Fassade!F123,Fenster!$K$10:$K$2160)</f>
        <v>0</v>
      </c>
      <c r="Q123" s="18">
        <f t="shared" si="67"/>
        <v>0</v>
      </c>
      <c r="R123" s="187">
        <f t="shared" si="68"/>
        <v>0</v>
      </c>
      <c r="S123" s="1596"/>
      <c r="T123" s="1597"/>
      <c r="U123" s="1207"/>
      <c r="V123" s="1641"/>
      <c r="W123" s="1643"/>
      <c r="X123" s="1590"/>
    </row>
    <row r="124" spans="2:24">
      <c r="B124" s="234" t="s">
        <v>672</v>
      </c>
      <c r="C124" s="121"/>
      <c r="D124" s="1552"/>
      <c r="E124" s="1609"/>
      <c r="F124" s="18"/>
      <c r="G124" s="18"/>
      <c r="H124" s="657"/>
      <c r="I124" s="657"/>
      <c r="J124" s="657"/>
      <c r="K124" s="657"/>
      <c r="L124" s="115">
        <f t="shared" si="66"/>
        <v>0</v>
      </c>
      <c r="M124" s="18">
        <f>SUMIF(Fenster!$D$10:$D$2160,Fassade!F124,Fenster!$J$10:$J$2160)</f>
        <v>0</v>
      </c>
      <c r="N124" s="18">
        <f>SUMIF(Fenster!$D$10:$D$2160,Fassade!F124,Fenster!$M$10:$M$2160)</f>
        <v>0</v>
      </c>
      <c r="O124" s="18">
        <f>SUMIFS(Fenster!$M$10:$M$2160,Fenster!$D$10:$D$2160,Fassade!F124,Fenster!$L$10:$L$2160,"&gt;2,5")</f>
        <v>0</v>
      </c>
      <c r="P124" s="18">
        <f>SUMIF(Fenster!$D$10:$D$2160,Fassade!F124,Fenster!$K$10:$K$2160)</f>
        <v>0</v>
      </c>
      <c r="Q124" s="18">
        <f t="shared" si="67"/>
        <v>0</v>
      </c>
      <c r="R124" s="187">
        <f t="shared" si="68"/>
        <v>0</v>
      </c>
      <c r="S124" s="1596"/>
      <c r="T124" s="1597"/>
      <c r="U124" s="1207"/>
      <c r="V124" s="1641"/>
      <c r="W124" s="1643"/>
      <c r="X124" s="1590"/>
    </row>
    <row r="125" spans="2:24">
      <c r="B125" s="234"/>
      <c r="C125" s="121"/>
      <c r="D125" s="1552"/>
      <c r="E125" s="1609"/>
      <c r="F125" s="18"/>
      <c r="G125" s="18"/>
      <c r="H125" s="657"/>
      <c r="I125" s="657"/>
      <c r="J125" s="657"/>
      <c r="K125" s="657"/>
      <c r="L125" s="115">
        <f t="shared" si="66"/>
        <v>0</v>
      </c>
      <c r="M125" s="18">
        <f>SUMIF(Fenster!$D$10:$D$2160,Fassade!F125,Fenster!$J$10:$J$2160)</f>
        <v>0</v>
      </c>
      <c r="N125" s="18">
        <f>SUMIF(Fenster!$D$10:$D$2160,Fassade!F125,Fenster!$M$10:$M$2160)</f>
        <v>0</v>
      </c>
      <c r="O125" s="18">
        <f>SUMIFS(Fenster!$M$10:$M$2160,Fenster!$D$10:$D$2160,Fassade!F125,Fenster!$L$10:$L$2160,"&gt;2,5")</f>
        <v>0</v>
      </c>
      <c r="P125" s="18">
        <f>SUMIF(Fenster!$D$10:$D$2160,Fassade!F125,Fenster!$K$10:$K$2160)</f>
        <v>0</v>
      </c>
      <c r="Q125" s="18">
        <f t="shared" si="67"/>
        <v>0</v>
      </c>
      <c r="R125" s="187">
        <f t="shared" si="68"/>
        <v>0</v>
      </c>
      <c r="S125" s="1596"/>
      <c r="T125" s="1597"/>
      <c r="U125" s="1206"/>
      <c r="V125" s="1641"/>
      <c r="W125" s="1643"/>
      <c r="X125" s="1590"/>
    </row>
    <row r="126" spans="2:24">
      <c r="B126" s="234"/>
      <c r="C126" s="121"/>
      <c r="D126" s="1552"/>
      <c r="E126" s="1609"/>
      <c r="F126" s="1612" t="s">
        <v>187</v>
      </c>
      <c r="G126" s="18"/>
      <c r="H126" s="657"/>
      <c r="I126" s="657"/>
      <c r="J126" s="657"/>
      <c r="K126" s="657"/>
      <c r="L126" s="1614">
        <f t="shared" ref="L126" si="69">SUM(L116:L125)</f>
        <v>0</v>
      </c>
      <c r="M126" s="1477">
        <f t="shared" ref="M126" si="70">SUM(M116:M125)</f>
        <v>0</v>
      </c>
      <c r="N126" s="1477">
        <f t="shared" ref="N126" si="71">SUM(N116:N125)</f>
        <v>0</v>
      </c>
      <c r="O126" s="1477">
        <f t="shared" ref="O126" si="72">SUM(O116:O125)</f>
        <v>0</v>
      </c>
      <c r="P126" s="1477">
        <f t="shared" ref="P126" si="73">SUM(P116:P125)</f>
        <v>0</v>
      </c>
      <c r="Q126" s="1477">
        <f t="shared" ref="Q126" si="74">SUM(Q116:Q125)</f>
        <v>0</v>
      </c>
      <c r="R126" s="1483">
        <f>SUM(R116:R125)</f>
        <v>0</v>
      </c>
      <c r="S126" s="1596"/>
      <c r="T126" s="1597"/>
      <c r="U126" s="1208"/>
      <c r="V126" s="1641"/>
      <c r="W126" s="1643"/>
      <c r="X126" s="1590"/>
    </row>
    <row r="127" spans="2:24" ht="17.399999999999999" thickBot="1">
      <c r="B127" s="789"/>
      <c r="C127" s="787"/>
      <c r="D127" s="1610"/>
      <c r="E127" s="1611"/>
      <c r="F127" s="1613"/>
      <c r="G127" s="788"/>
      <c r="H127" s="788"/>
      <c r="I127" s="788"/>
      <c r="J127" s="788"/>
      <c r="K127" s="788"/>
      <c r="L127" s="1615"/>
      <c r="M127" s="1592"/>
      <c r="N127" s="1592"/>
      <c r="O127" s="1592"/>
      <c r="P127" s="1592"/>
      <c r="Q127" s="1592"/>
      <c r="R127" s="1605"/>
      <c r="S127" s="1598"/>
      <c r="T127" s="1599"/>
      <c r="U127" s="1209"/>
      <c r="V127" s="1642"/>
      <c r="W127" s="1644"/>
      <c r="X127" s="1590"/>
    </row>
    <row r="128" spans="2:24" ht="57" customHeight="1">
      <c r="B128" s="792" t="s">
        <v>678</v>
      </c>
      <c r="C128" s="783"/>
      <c r="D128" s="1619" t="e" vm="5">
        <v>#VALUE!</v>
      </c>
      <c r="E128" s="1620"/>
      <c r="F128" s="784" t="s">
        <v>296</v>
      </c>
      <c r="G128" s="229" t="s">
        <v>272</v>
      </c>
      <c r="H128" s="229" t="s">
        <v>300</v>
      </c>
      <c r="I128" s="229" t="s">
        <v>301</v>
      </c>
      <c r="J128" s="177" t="s">
        <v>652</v>
      </c>
      <c r="K128" s="177" t="s">
        <v>653</v>
      </c>
      <c r="L128" s="785" t="s">
        <v>654</v>
      </c>
      <c r="M128" s="785" t="s">
        <v>655</v>
      </c>
      <c r="N128" s="785" t="s">
        <v>656</v>
      </c>
      <c r="O128" s="785" t="s">
        <v>657</v>
      </c>
      <c r="P128" s="785" t="s">
        <v>658</v>
      </c>
      <c r="Q128" s="785" t="s">
        <v>659</v>
      </c>
      <c r="R128" s="786" t="s">
        <v>660</v>
      </c>
      <c r="S128" s="1594"/>
      <c r="T128" s="1595"/>
      <c r="U128" s="1200" t="s">
        <v>661</v>
      </c>
      <c r="V128" s="995" t="str" cm="1">
        <f t="array" ref="V128">_xlfn.XLOOKUP(U128&amp;Allgemein!$C$45,Fassadenpositionen[[#Headers],[WDVS:]]&amp;Fassadenpositionen[Position Fassade],Fassadenpositionen[WDVS:],"",0,1)</f>
        <v>Nein</v>
      </c>
      <c r="W128" s="995" t="str" cm="1">
        <f t="array" ref="W128">_xlfn.XLOOKUP(U128&amp;Allgemein!$C$61,Fassadenpositionen[[#Headers],[WDVS:]]&amp;Fassadenpositionen[Position Fassade],Fassadenpositionen[WDVS:],"",0,1)</f>
        <v>Nein</v>
      </c>
      <c r="X128" s="1004" t="str" cm="1">
        <f t="array" ref="X128">_xlfn.XLOOKUP(U128&amp;Allgemein!$C$77,Fassadenpositionen[[#Headers],[WDVS:]]&amp;Fassadenpositionen[Position Fassade],Fassadenpositionen[WDVS:],"",0,1)</f>
        <v>Nein</v>
      </c>
    </row>
    <row r="129" spans="2:24">
      <c r="B129" s="135" t="s">
        <v>662</v>
      </c>
      <c r="C129" s="18"/>
      <c r="D129" s="1552"/>
      <c r="E129" s="1609"/>
      <c r="F129" s="18"/>
      <c r="G129" s="18"/>
      <c r="H129" s="657"/>
      <c r="I129" s="657"/>
      <c r="J129" s="657"/>
      <c r="K129" s="657"/>
      <c r="L129" s="115">
        <f t="shared" ref="L129:L138" si="75">H129*I129+J129</f>
        <v>0</v>
      </c>
      <c r="M129" s="18">
        <f>SUMIF(Fenster!$D$10:$D$2160,Fassade!F129,Fenster!$J$10:$J$2160)</f>
        <v>0</v>
      </c>
      <c r="N129" s="18">
        <f>SUMIF(Fenster!$D$10:$D$2160,Fassade!F129,Fenster!$M$10:$M$2160)</f>
        <v>0</v>
      </c>
      <c r="O129" s="18">
        <f>SUMIFS(Fenster!$M$10:$M$2160,Fenster!$D$10:$D$2160,Fassade!F129,Fenster!$L$10:$L$2160,"&gt;2,5")</f>
        <v>0</v>
      </c>
      <c r="P129" s="18">
        <f>SUMIF(Fenster!$D$10:$D$2160,Fassade!F129,Fenster!$K$10:$K$2160)</f>
        <v>0</v>
      </c>
      <c r="Q129" s="18">
        <f t="shared" ref="Q129:Q138" si="76">L129-O129</f>
        <v>0</v>
      </c>
      <c r="R129" s="187">
        <f t="shared" ref="R129:R138" si="77">L129-N129</f>
        <v>0</v>
      </c>
      <c r="S129" s="1596"/>
      <c r="T129" s="1597"/>
      <c r="U129" s="1201" t="s">
        <v>663</v>
      </c>
      <c r="V129" s="997">
        <v>0</v>
      </c>
      <c r="W129" s="952">
        <v>0</v>
      </c>
      <c r="X129" s="988">
        <v>0</v>
      </c>
    </row>
    <row r="130" spans="2:24">
      <c r="B130" s="234" t="s">
        <v>664</v>
      </c>
      <c r="C130" s="208"/>
      <c r="D130" s="1552"/>
      <c r="E130" s="1609"/>
      <c r="F130" s="18"/>
      <c r="G130" s="18"/>
      <c r="H130" s="657"/>
      <c r="I130" s="657"/>
      <c r="J130" s="657"/>
      <c r="K130" s="657"/>
      <c r="L130" s="115">
        <f t="shared" si="75"/>
        <v>0</v>
      </c>
      <c r="M130" s="18">
        <f>SUMIF(Fenster!$D$10:$D$2160,Fassade!F130,Fenster!$J$10:$J$2160)</f>
        <v>0</v>
      </c>
      <c r="N130" s="18">
        <f>SUMIF(Fenster!$D$10:$D$2160,Fassade!F130,Fenster!$M$10:$M$2160)</f>
        <v>0</v>
      </c>
      <c r="O130" s="18">
        <f>SUMIFS(Fenster!$M$10:$M$2160,Fenster!$D$10:$D$2160,Fassade!F130,Fenster!$L$10:$L$2160,"&gt;2,5")</f>
        <v>0</v>
      </c>
      <c r="P130" s="18">
        <f>SUMIF(Fenster!$D$10:$D$2160,Fassade!F130,Fenster!$K$10:$K$2160)</f>
        <v>0</v>
      </c>
      <c r="Q130" s="18">
        <f t="shared" si="76"/>
        <v>0</v>
      </c>
      <c r="R130" s="187">
        <f t="shared" si="77"/>
        <v>0</v>
      </c>
      <c r="S130" s="1596"/>
      <c r="T130" s="1597"/>
      <c r="U130" s="1202" t="s">
        <v>665</v>
      </c>
      <c r="V130" s="998">
        <f>IF(V128="Ja",(Q139+V129)*$V$9,0)</f>
        <v>0</v>
      </c>
      <c r="W130" s="958">
        <f>IF(W128="Ja",(Q139+W129)*$V$9,0)</f>
        <v>0</v>
      </c>
      <c r="X130" s="999">
        <f>IF(X128="Ja",(Q139+X129)*$V$9,0)</f>
        <v>0</v>
      </c>
    </row>
    <row r="131" spans="2:24">
      <c r="B131" s="234" t="s">
        <v>666</v>
      </c>
      <c r="C131" s="208"/>
      <c r="D131" s="1552"/>
      <c r="E131" s="1609"/>
      <c r="F131" s="18"/>
      <c r="G131" s="18"/>
      <c r="H131" s="657"/>
      <c r="I131" s="657"/>
      <c r="J131" s="657"/>
      <c r="K131" s="657"/>
      <c r="L131" s="115">
        <f t="shared" si="75"/>
        <v>0</v>
      </c>
      <c r="M131" s="18">
        <f>SUMIF(Fenster!$D$10:$D$2160,Fassade!F131,Fenster!$J$10:$J$2160)</f>
        <v>0</v>
      </c>
      <c r="N131" s="18">
        <f>SUMIF(Fenster!$D$10:$D$2160,Fassade!F131,Fenster!$M$10:$M$2160)</f>
        <v>0</v>
      </c>
      <c r="O131" s="18">
        <f>SUMIFS(Fenster!$M$10:$M$2160,Fenster!$D$10:$D$2160,Fassade!F131,Fenster!$L$10:$L$2160,"&gt;2,5")</f>
        <v>0</v>
      </c>
      <c r="P131" s="18">
        <f>SUMIF(Fenster!$D$10:$D$2160,Fassade!F131,Fenster!$K$10:$K$2160)</f>
        <v>0</v>
      </c>
      <c r="Q131" s="18">
        <f t="shared" si="76"/>
        <v>0</v>
      </c>
      <c r="R131" s="187">
        <f t="shared" si="77"/>
        <v>0</v>
      </c>
      <c r="S131" s="1596"/>
      <c r="T131" s="1597"/>
      <c r="U131" s="1203" t="s">
        <v>667</v>
      </c>
      <c r="V131" s="998">
        <f>IF(V128="Ja",(R139+V129)*$V$9,0)</f>
        <v>0</v>
      </c>
      <c r="W131" s="958">
        <f>IF(W128="Ja",(R139+W129)*$V$9,0)</f>
        <v>0</v>
      </c>
      <c r="X131" s="999">
        <f>IF(X128="Ja",(R139+X129)*$V$9,0)</f>
        <v>0</v>
      </c>
    </row>
    <row r="132" spans="2:24">
      <c r="B132" s="234" t="s">
        <v>674</v>
      </c>
      <c r="C132" s="208"/>
      <c r="D132" s="1552"/>
      <c r="E132" s="1609"/>
      <c r="F132" s="18"/>
      <c r="G132" s="18"/>
      <c r="H132" s="657"/>
      <c r="I132" s="657"/>
      <c r="J132" s="657"/>
      <c r="K132" s="657"/>
      <c r="L132" s="115">
        <f t="shared" si="75"/>
        <v>0</v>
      </c>
      <c r="M132" s="18">
        <f>SUMIF(Fenster!$D$10:$D$2160,Fassade!F132,Fenster!$J$10:$J$2160)</f>
        <v>0</v>
      </c>
      <c r="N132" s="18">
        <f>SUMIF(Fenster!$D$10:$D$2160,Fassade!F132,Fenster!$M$10:$M$2160)</f>
        <v>0</v>
      </c>
      <c r="O132" s="18">
        <f>SUMIFS(Fenster!$M$10:$M$2160,Fenster!$D$10:$D$2160,Fassade!F132,Fenster!$L$10:$L$2160,"&gt;2,5")</f>
        <v>0</v>
      </c>
      <c r="P132" s="18">
        <f>SUMIF(Fenster!$D$10:$D$2160,Fassade!F132,Fenster!$K$10:$K$2160)</f>
        <v>0</v>
      </c>
      <c r="Q132" s="18">
        <f t="shared" si="76"/>
        <v>0</v>
      </c>
      <c r="R132" s="187">
        <f t="shared" si="77"/>
        <v>0</v>
      </c>
      <c r="S132" s="1596"/>
      <c r="T132" s="1597"/>
      <c r="U132" s="1204" t="s">
        <v>669</v>
      </c>
      <c r="V132" s="958" t="str">
        <f>Allgemein!$D$45</f>
        <v>-</v>
      </c>
      <c r="W132" s="958" t="str">
        <f>Allgemein!$D$61</f>
        <v>-</v>
      </c>
      <c r="X132" s="1000" t="str">
        <f>Allgemein!$D$77</f>
        <v>-</v>
      </c>
    </row>
    <row r="133" spans="2:24">
      <c r="B133" s="234" t="s">
        <v>675</v>
      </c>
      <c r="C133" s="208"/>
      <c r="D133" s="1552"/>
      <c r="E133" s="1609"/>
      <c r="F133" s="18"/>
      <c r="G133" s="18"/>
      <c r="H133" s="657"/>
      <c r="I133" s="657"/>
      <c r="J133" s="657"/>
      <c r="K133" s="657"/>
      <c r="L133" s="115">
        <f t="shared" si="75"/>
        <v>0</v>
      </c>
      <c r="M133" s="18">
        <f>SUMIF(Fenster!$D$10:$D$2160,Fassade!F133,Fenster!$J$10:$J$2160)</f>
        <v>0</v>
      </c>
      <c r="N133" s="18">
        <f>SUMIF(Fenster!$D$10:$D$2160,Fassade!F133,Fenster!$M$10:$M$2160)</f>
        <v>0</v>
      </c>
      <c r="O133" s="18">
        <f>SUMIFS(Fenster!$M$10:$M$2160,Fenster!$D$10:$D$2160,Fassade!F133,Fenster!$L$10:$L$2160,"&gt;2,5")</f>
        <v>0</v>
      </c>
      <c r="P133" s="18">
        <f>SUMIF(Fenster!$D$10:$D$2160,Fassade!F133,Fenster!$K$10:$K$2160)</f>
        <v>0</v>
      </c>
      <c r="Q133" s="18">
        <f t="shared" si="76"/>
        <v>0</v>
      </c>
      <c r="R133" s="187">
        <f t="shared" si="77"/>
        <v>0</v>
      </c>
      <c r="S133" s="1596"/>
      <c r="T133" s="1597"/>
      <c r="U133" s="1205" t="s">
        <v>671</v>
      </c>
      <c r="V133" s="1640"/>
      <c r="W133" s="1586"/>
      <c r="X133" s="1589"/>
    </row>
    <row r="134" spans="2:24">
      <c r="B134" s="234" t="s">
        <v>676</v>
      </c>
      <c r="C134" s="208"/>
      <c r="D134" s="1552"/>
      <c r="E134" s="1609"/>
      <c r="F134" s="18"/>
      <c r="G134" s="18"/>
      <c r="H134" s="657"/>
      <c r="I134" s="657"/>
      <c r="J134" s="657"/>
      <c r="K134" s="657"/>
      <c r="L134" s="115">
        <f t="shared" si="75"/>
        <v>0</v>
      </c>
      <c r="M134" s="18">
        <f>SUMIF(Fenster!$D$10:$D$2160,Fassade!F134,Fenster!$J$10:$J$2160)</f>
        <v>0</v>
      </c>
      <c r="N134" s="18">
        <f>SUMIF(Fenster!$D$10:$D$2160,Fassade!F134,Fenster!$M$10:$M$2160)</f>
        <v>0</v>
      </c>
      <c r="O134" s="18">
        <f>SUMIFS(Fenster!$M$10:$M$2160,Fenster!$D$10:$D$2160,Fassade!F134,Fenster!$L$10:$L$2160,"&gt;2,5")</f>
        <v>0</v>
      </c>
      <c r="P134" s="18">
        <f>SUMIF(Fenster!$D$10:$D$2160,Fassade!F134,Fenster!$K$10:$K$2160)</f>
        <v>0</v>
      </c>
      <c r="Q134" s="18">
        <f t="shared" si="76"/>
        <v>0</v>
      </c>
      <c r="R134" s="187">
        <f t="shared" si="77"/>
        <v>0</v>
      </c>
      <c r="S134" s="1596"/>
      <c r="T134" s="1597"/>
      <c r="U134" s="1206"/>
      <c r="V134" s="1641"/>
      <c r="W134" s="1643"/>
      <c r="X134" s="1590"/>
    </row>
    <row r="135" spans="2:24">
      <c r="B135" s="234" t="s">
        <v>679</v>
      </c>
      <c r="C135" s="208"/>
      <c r="D135" s="1552"/>
      <c r="E135" s="1609"/>
      <c r="F135" s="18"/>
      <c r="G135" s="18"/>
      <c r="H135" s="657"/>
      <c r="I135" s="657"/>
      <c r="J135" s="657"/>
      <c r="K135" s="657"/>
      <c r="L135" s="115">
        <f t="shared" si="75"/>
        <v>0</v>
      </c>
      <c r="M135" s="18">
        <f>SUMIF(Fenster!$D$10:$D$2160,Fassade!F135,Fenster!$J$10:$J$2160)</f>
        <v>0</v>
      </c>
      <c r="N135" s="18">
        <f>SUMIF(Fenster!$D$10:$D$2160,Fassade!F135,Fenster!$M$10:$M$2160)</f>
        <v>0</v>
      </c>
      <c r="O135" s="18">
        <f>SUMIFS(Fenster!$M$10:$M$2160,Fenster!$D$10:$D$2160,Fassade!F135,Fenster!$L$10:$L$2160,"&gt;2,5")</f>
        <v>0</v>
      </c>
      <c r="P135" s="18">
        <f>SUMIF(Fenster!$D$10:$D$2160,Fassade!F135,Fenster!$K$10:$K$2160)</f>
        <v>0</v>
      </c>
      <c r="Q135" s="18">
        <f t="shared" si="76"/>
        <v>0</v>
      </c>
      <c r="R135" s="187">
        <f t="shared" si="77"/>
        <v>0</v>
      </c>
      <c r="S135" s="1596"/>
      <c r="T135" s="1597"/>
      <c r="U135" s="1206"/>
      <c r="V135" s="1641"/>
      <c r="W135" s="1643"/>
      <c r="X135" s="1590"/>
    </row>
    <row r="136" spans="2:24">
      <c r="B136" s="234" t="s">
        <v>680</v>
      </c>
      <c r="C136" s="18"/>
      <c r="D136" s="1552"/>
      <c r="E136" s="1609"/>
      <c r="F136" s="18"/>
      <c r="G136" s="18"/>
      <c r="H136" s="657"/>
      <c r="I136" s="657"/>
      <c r="J136" s="657"/>
      <c r="K136" s="657"/>
      <c r="L136" s="115">
        <f t="shared" si="75"/>
        <v>0</v>
      </c>
      <c r="M136" s="18">
        <f>SUMIF(Fenster!$D$10:$D$2160,Fassade!F136,Fenster!$J$10:$J$2160)</f>
        <v>0</v>
      </c>
      <c r="N136" s="18">
        <f>SUMIF(Fenster!$D$10:$D$2160,Fassade!F136,Fenster!$M$10:$M$2160)</f>
        <v>0</v>
      </c>
      <c r="O136" s="18">
        <f>SUMIFS(Fenster!$M$10:$M$2160,Fenster!$D$10:$D$2160,Fassade!F136,Fenster!$L$10:$L$2160,"&gt;2,5")</f>
        <v>0</v>
      </c>
      <c r="P136" s="18">
        <f>SUMIF(Fenster!$D$10:$D$2160,Fassade!F136,Fenster!$K$10:$K$2160)</f>
        <v>0</v>
      </c>
      <c r="Q136" s="18">
        <f t="shared" si="76"/>
        <v>0</v>
      </c>
      <c r="R136" s="187">
        <f t="shared" si="77"/>
        <v>0</v>
      </c>
      <c r="S136" s="1596"/>
      <c r="T136" s="1597"/>
      <c r="U136" s="1207"/>
      <c r="V136" s="1641"/>
      <c r="W136" s="1643"/>
      <c r="X136" s="1590"/>
    </row>
    <row r="137" spans="2:24">
      <c r="B137" s="234" t="s">
        <v>668</v>
      </c>
      <c r="C137" s="208"/>
      <c r="D137" s="1552"/>
      <c r="E137" s="1609"/>
      <c r="F137" s="18"/>
      <c r="G137" s="18"/>
      <c r="H137" s="657"/>
      <c r="I137" s="657"/>
      <c r="J137" s="657"/>
      <c r="K137" s="657"/>
      <c r="L137" s="115">
        <f t="shared" si="75"/>
        <v>0</v>
      </c>
      <c r="M137" s="18">
        <f>SUMIF(Fenster!$D$10:$D$2160,Fassade!F137,Fenster!$J$10:$J$2160)</f>
        <v>0</v>
      </c>
      <c r="N137" s="18">
        <f>SUMIF(Fenster!$D$10:$D$2160,Fassade!F137,Fenster!$M$10:$M$2160)</f>
        <v>0</v>
      </c>
      <c r="O137" s="18">
        <f>SUMIFS(Fenster!$M$10:$M$2160,Fenster!$D$10:$D$2160,Fassade!F137,Fenster!$L$10:$L$2160,"&gt;2,5")</f>
        <v>0</v>
      </c>
      <c r="P137" s="18">
        <f>SUMIF(Fenster!$D$10:$D$2160,Fassade!F137,Fenster!$K$10:$K$2160)</f>
        <v>0</v>
      </c>
      <c r="Q137" s="18">
        <f t="shared" si="76"/>
        <v>0</v>
      </c>
      <c r="R137" s="187">
        <f t="shared" si="77"/>
        <v>0</v>
      </c>
      <c r="S137" s="1596"/>
      <c r="T137" s="1597"/>
      <c r="U137" s="1207"/>
      <c r="V137" s="1641"/>
      <c r="W137" s="1643"/>
      <c r="X137" s="1590"/>
    </row>
    <row r="138" spans="2:24">
      <c r="B138" s="234" t="s">
        <v>670</v>
      </c>
      <c r="C138" s="208"/>
      <c r="D138" s="1552"/>
      <c r="E138" s="1609"/>
      <c r="F138" s="18"/>
      <c r="G138" s="18"/>
      <c r="H138" s="657"/>
      <c r="I138" s="657"/>
      <c r="J138" s="657"/>
      <c r="K138" s="657"/>
      <c r="L138" s="115">
        <f t="shared" si="75"/>
        <v>0</v>
      </c>
      <c r="M138" s="18">
        <f>SUMIF(Fenster!$D$10:$D$2160,Fassade!F138,Fenster!$J$10:$J$2160)</f>
        <v>0</v>
      </c>
      <c r="N138" s="18">
        <f>SUMIF(Fenster!$D$10:$D$2160,Fassade!F138,Fenster!$M$10:$M$2160)</f>
        <v>0</v>
      </c>
      <c r="O138" s="18">
        <f>SUMIFS(Fenster!$M$10:$M$2160,Fenster!$D$10:$D$2160,Fassade!F138,Fenster!$L$10:$L$2160,"&gt;2,5")</f>
        <v>0</v>
      </c>
      <c r="P138" s="18">
        <f>SUMIF(Fenster!$D$10:$D$2160,Fassade!F138,Fenster!$K$10:$K$2160)</f>
        <v>0</v>
      </c>
      <c r="Q138" s="18">
        <f t="shared" si="76"/>
        <v>0</v>
      </c>
      <c r="R138" s="187">
        <f t="shared" si="77"/>
        <v>0</v>
      </c>
      <c r="S138" s="1596"/>
      <c r="T138" s="1597"/>
      <c r="U138" s="1206"/>
      <c r="V138" s="1641"/>
      <c r="W138" s="1643"/>
      <c r="X138" s="1590"/>
    </row>
    <row r="139" spans="2:24">
      <c r="B139" s="234" t="s">
        <v>672</v>
      </c>
      <c r="C139" s="121"/>
      <c r="D139" s="1552"/>
      <c r="E139" s="1609"/>
      <c r="F139" s="1612" t="s">
        <v>187</v>
      </c>
      <c r="G139" s="18"/>
      <c r="H139" s="657"/>
      <c r="I139" s="657"/>
      <c r="J139" s="657"/>
      <c r="K139" s="657"/>
      <c r="L139" s="1614">
        <f t="shared" ref="L139" si="78">SUM(L129:L138)</f>
        <v>0</v>
      </c>
      <c r="M139" s="1477">
        <f t="shared" ref="M139" si="79">SUM(M129:M138)</f>
        <v>0</v>
      </c>
      <c r="N139" s="1477">
        <f t="shared" ref="N139" si="80">SUM(N129:N138)</f>
        <v>0</v>
      </c>
      <c r="O139" s="1477">
        <f t="shared" ref="O139" si="81">SUM(O129:O138)</f>
        <v>0</v>
      </c>
      <c r="P139" s="1477">
        <f t="shared" ref="P139" si="82">SUM(P129:P138)</f>
        <v>0</v>
      </c>
      <c r="Q139" s="1477">
        <f t="shared" ref="Q139" si="83">SUM(Q129:Q138)</f>
        <v>0</v>
      </c>
      <c r="R139" s="1483">
        <f>SUM(R129:R138)</f>
        <v>0</v>
      </c>
      <c r="S139" s="1596"/>
      <c r="T139" s="1597"/>
      <c r="U139" s="1208"/>
      <c r="V139" s="1641"/>
      <c r="W139" s="1643"/>
      <c r="X139" s="1590"/>
    </row>
    <row r="140" spans="2:24" ht="17.399999999999999" thickBot="1">
      <c r="B140" s="789"/>
      <c r="C140" s="787"/>
      <c r="D140" s="1610"/>
      <c r="E140" s="1611"/>
      <c r="F140" s="1613"/>
      <c r="G140" s="788"/>
      <c r="H140" s="788"/>
      <c r="I140" s="788"/>
      <c r="J140" s="788"/>
      <c r="K140" s="788"/>
      <c r="L140" s="1615"/>
      <c r="M140" s="1592"/>
      <c r="N140" s="1592"/>
      <c r="O140" s="1592"/>
      <c r="P140" s="1592"/>
      <c r="Q140" s="1592"/>
      <c r="R140" s="1605"/>
      <c r="S140" s="1598"/>
      <c r="T140" s="1599"/>
      <c r="U140" s="1209"/>
      <c r="V140" s="1642"/>
      <c r="W140" s="1644"/>
      <c r="X140" s="1590"/>
    </row>
    <row r="141" spans="2:24" ht="57" customHeight="1">
      <c r="B141" s="135" t="s">
        <v>678</v>
      </c>
      <c r="C141" s="127"/>
      <c r="D141" s="1552" t="e" vm="5">
        <v>#VALUE!</v>
      </c>
      <c r="E141" s="1609"/>
      <c r="F141" s="229" t="s">
        <v>296</v>
      </c>
      <c r="G141" s="229" t="s">
        <v>272</v>
      </c>
      <c r="H141" s="229" t="s">
        <v>300</v>
      </c>
      <c r="I141" s="229" t="s">
        <v>301</v>
      </c>
      <c r="J141" s="177" t="s">
        <v>652</v>
      </c>
      <c r="K141" s="177" t="s">
        <v>653</v>
      </c>
      <c r="L141" s="177" t="s">
        <v>654</v>
      </c>
      <c r="M141" s="177" t="s">
        <v>655</v>
      </c>
      <c r="N141" s="177" t="s">
        <v>656</v>
      </c>
      <c r="O141" s="177" t="s">
        <v>657</v>
      </c>
      <c r="P141" s="177" t="s">
        <v>658</v>
      </c>
      <c r="Q141" s="177" t="s">
        <v>659</v>
      </c>
      <c r="R141" s="713" t="s">
        <v>660</v>
      </c>
      <c r="S141" s="1604"/>
      <c r="T141" s="1595"/>
      <c r="U141" s="1200" t="s">
        <v>661</v>
      </c>
      <c r="V141" s="995" t="str" cm="1">
        <f t="array" ref="V141">_xlfn.XLOOKUP(U141&amp;Allgemein!$C$45,Fassadenpositionen[[#Headers],[WDVS:]]&amp;Fassadenpositionen[Position Fassade],Fassadenpositionen[WDVS:],"",0,1)</f>
        <v>Nein</v>
      </c>
      <c r="W141" s="995" t="str" cm="1">
        <f t="array" ref="W141">_xlfn.XLOOKUP(U141&amp;Allgemein!$C$61,Fassadenpositionen[[#Headers],[WDVS:]]&amp;Fassadenpositionen[Position Fassade],Fassadenpositionen[WDVS:],"",0,1)</f>
        <v>Nein</v>
      </c>
      <c r="X141" s="1004" t="str" cm="1">
        <f t="array" ref="X141">_xlfn.XLOOKUP(U141&amp;Allgemein!$C$77,Fassadenpositionen[[#Headers],[WDVS:]]&amp;Fassadenpositionen[Position Fassade],Fassadenpositionen[WDVS:],"",0,1)</f>
        <v>Nein</v>
      </c>
    </row>
    <row r="142" spans="2:24">
      <c r="B142" s="135" t="s">
        <v>662</v>
      </c>
      <c r="C142" s="18"/>
      <c r="D142" s="1552"/>
      <c r="E142" s="1609"/>
      <c r="F142" s="18"/>
      <c r="G142" s="18"/>
      <c r="H142" s="657"/>
      <c r="I142" s="657"/>
      <c r="J142" s="657"/>
      <c r="K142" s="657"/>
      <c r="L142" s="115">
        <f t="shared" ref="L142:L151" si="84">H142*I142+J142</f>
        <v>0</v>
      </c>
      <c r="M142" s="18">
        <f>SUMIF(Fenster!$D$10:$D$2160,Fassade!F142,Fenster!$J$10:$J$2160)</f>
        <v>0</v>
      </c>
      <c r="N142" s="18">
        <f>SUMIF(Fenster!$D$10:$D$2160,Fassade!F142,Fenster!$M$10:$M$2160)</f>
        <v>0</v>
      </c>
      <c r="O142" s="18">
        <f>SUMIFS(Fenster!$M$10:$M$2160,Fenster!$D$10:$D$2160,Fassade!F142,Fenster!$L$10:$L$2160,"&gt;2,5")</f>
        <v>0</v>
      </c>
      <c r="P142" s="18">
        <f>SUMIF(Fenster!$D$10:$D$2160,Fassade!F142,Fenster!$K$10:$K$2160)</f>
        <v>0</v>
      </c>
      <c r="Q142" s="18">
        <f t="shared" ref="Q142:Q151" si="85">L142-O142</f>
        <v>0</v>
      </c>
      <c r="R142" s="187">
        <f t="shared" ref="R142:R151" si="86">L142-N142</f>
        <v>0</v>
      </c>
      <c r="S142" s="1602"/>
      <c r="T142" s="1597"/>
      <c r="U142" s="1201" t="s">
        <v>663</v>
      </c>
      <c r="V142" s="997">
        <v>0</v>
      </c>
      <c r="W142" s="952">
        <v>0</v>
      </c>
      <c r="X142" s="988">
        <v>0</v>
      </c>
    </row>
    <row r="143" spans="2:24" ht="17.100000000000001" customHeight="1">
      <c r="B143" s="234" t="s">
        <v>664</v>
      </c>
      <c r="C143" s="208"/>
      <c r="D143" s="1552"/>
      <c r="E143" s="1609"/>
      <c r="F143" s="18"/>
      <c r="G143" s="18"/>
      <c r="H143" s="657"/>
      <c r="I143" s="657"/>
      <c r="J143" s="657"/>
      <c r="K143" s="657"/>
      <c r="L143" s="115">
        <f t="shared" si="84"/>
        <v>0</v>
      </c>
      <c r="M143" s="18">
        <f>SUMIF(Fenster!$D$10:$D$2160,Fassade!F143,Fenster!$J$10:$J$2160)</f>
        <v>0</v>
      </c>
      <c r="N143" s="18">
        <f>SUMIF(Fenster!$D$10:$D$2160,Fassade!F143,Fenster!$M$10:$M$2160)</f>
        <v>0</v>
      </c>
      <c r="O143" s="18">
        <f>SUMIFS(Fenster!$M$10:$M$2160,Fenster!$D$10:$D$2160,Fassade!F143,Fenster!$L$10:$L$2160,"&gt;2,5")</f>
        <v>0</v>
      </c>
      <c r="P143" s="18">
        <f>SUMIF(Fenster!$D$10:$D$2160,Fassade!F143,Fenster!$K$10:$K$2160)</f>
        <v>0</v>
      </c>
      <c r="Q143" s="18">
        <f t="shared" si="85"/>
        <v>0</v>
      </c>
      <c r="R143" s="187">
        <f t="shared" si="86"/>
        <v>0</v>
      </c>
      <c r="S143" s="1602"/>
      <c r="T143" s="1597"/>
      <c r="U143" s="1202" t="s">
        <v>665</v>
      </c>
      <c r="V143" s="998">
        <f>IF(V141="Ja",(Q152+V142)*$V$9,0)</f>
        <v>0</v>
      </c>
      <c r="W143" s="958">
        <f>IF(W141="Ja",(Q152+W142)*$V$9,0)</f>
        <v>0</v>
      </c>
      <c r="X143" s="999">
        <f>IF(X141="Ja",(Q152+X142)*$V$9,0)</f>
        <v>0</v>
      </c>
    </row>
    <row r="144" spans="2:24">
      <c r="B144" s="234" t="s">
        <v>666</v>
      </c>
      <c r="C144" s="208"/>
      <c r="D144" s="1552"/>
      <c r="E144" s="1609"/>
      <c r="F144" s="18"/>
      <c r="G144" s="18"/>
      <c r="H144" s="657"/>
      <c r="I144" s="657"/>
      <c r="J144" s="657"/>
      <c r="K144" s="657"/>
      <c r="L144" s="115">
        <f t="shared" si="84"/>
        <v>0</v>
      </c>
      <c r="M144" s="18">
        <f>SUMIF(Fenster!$D$10:$D$2160,Fassade!F144,Fenster!$J$10:$J$2160)</f>
        <v>0</v>
      </c>
      <c r="N144" s="18">
        <f>SUMIF(Fenster!$D$10:$D$2160,Fassade!F144,Fenster!$M$10:$M$2160)</f>
        <v>0</v>
      </c>
      <c r="O144" s="18">
        <f>SUMIFS(Fenster!$M$10:$M$2160,Fenster!$D$10:$D$2160,Fassade!F144,Fenster!$L$10:$L$2160,"&gt;2,5")</f>
        <v>0</v>
      </c>
      <c r="P144" s="18">
        <f>SUMIF(Fenster!$D$10:$D$2160,Fassade!F144,Fenster!$K$10:$K$2160)</f>
        <v>0</v>
      </c>
      <c r="Q144" s="18">
        <f t="shared" si="85"/>
        <v>0</v>
      </c>
      <c r="R144" s="187">
        <f t="shared" si="86"/>
        <v>0</v>
      </c>
      <c r="S144" s="1602"/>
      <c r="T144" s="1597"/>
      <c r="U144" s="1203" t="s">
        <v>667</v>
      </c>
      <c r="V144" s="998">
        <f>IF(V141="Ja",(R152+V142)*$V$9,0)</f>
        <v>0</v>
      </c>
      <c r="W144" s="958">
        <f>IF(W141="Ja",(R152+W142)*$V$9,0)</f>
        <v>0</v>
      </c>
      <c r="X144" s="999">
        <f>IF(X141="Ja",(R152+X142)*$V$9,0)</f>
        <v>0</v>
      </c>
    </row>
    <row r="145" spans="2:24">
      <c r="B145" s="234" t="s">
        <v>674</v>
      </c>
      <c r="C145" s="208"/>
      <c r="D145" s="1552"/>
      <c r="E145" s="1609"/>
      <c r="F145" s="18"/>
      <c r="G145" s="18"/>
      <c r="H145" s="657"/>
      <c r="I145" s="657"/>
      <c r="J145" s="657"/>
      <c r="K145" s="657"/>
      <c r="L145" s="115">
        <f t="shared" si="84"/>
        <v>0</v>
      </c>
      <c r="M145" s="18">
        <f>SUMIF(Fenster!$D$10:$D$2160,Fassade!F145,Fenster!$J$10:$J$2160)</f>
        <v>0</v>
      </c>
      <c r="N145" s="18">
        <f>SUMIF(Fenster!$D$10:$D$2160,Fassade!F145,Fenster!$M$10:$M$2160)</f>
        <v>0</v>
      </c>
      <c r="O145" s="18">
        <f>SUMIFS(Fenster!$M$10:$M$2160,Fenster!$D$10:$D$2160,Fassade!F145,Fenster!$L$10:$L$2160,"&gt;2,5")</f>
        <v>0</v>
      </c>
      <c r="P145" s="18">
        <f>SUMIF(Fenster!$D$10:$D$2160,Fassade!F145,Fenster!$K$10:$K$2160)</f>
        <v>0</v>
      </c>
      <c r="Q145" s="18">
        <f t="shared" si="85"/>
        <v>0</v>
      </c>
      <c r="R145" s="187">
        <f t="shared" si="86"/>
        <v>0</v>
      </c>
      <c r="S145" s="1602"/>
      <c r="T145" s="1597"/>
      <c r="U145" s="1204" t="s">
        <v>669</v>
      </c>
      <c r="V145" s="958" t="str">
        <f>Allgemein!$D$45</f>
        <v>-</v>
      </c>
      <c r="W145" s="958" t="str">
        <f>Allgemein!$D$61</f>
        <v>-</v>
      </c>
      <c r="X145" s="1000" t="str">
        <f>Allgemein!$D$77</f>
        <v>-</v>
      </c>
    </row>
    <row r="146" spans="2:24">
      <c r="B146" s="234" t="s">
        <v>675</v>
      </c>
      <c r="C146" s="208"/>
      <c r="D146" s="1552"/>
      <c r="E146" s="1609"/>
      <c r="F146" s="18"/>
      <c r="G146" s="18"/>
      <c r="H146" s="657"/>
      <c r="I146" s="657"/>
      <c r="J146" s="657"/>
      <c r="K146" s="657"/>
      <c r="L146" s="115">
        <f t="shared" si="84"/>
        <v>0</v>
      </c>
      <c r="M146" s="18">
        <f>SUMIF(Fenster!$D$10:$D$2160,Fassade!F146,Fenster!$J$10:$J$2160)</f>
        <v>0</v>
      </c>
      <c r="N146" s="18">
        <f>SUMIF(Fenster!$D$10:$D$2160,Fassade!F146,Fenster!$M$10:$M$2160)</f>
        <v>0</v>
      </c>
      <c r="O146" s="18">
        <f>SUMIFS(Fenster!$M$10:$M$2160,Fenster!$D$10:$D$2160,Fassade!F146,Fenster!$L$10:$L$2160,"&gt;2,5")</f>
        <v>0</v>
      </c>
      <c r="P146" s="18">
        <f>SUMIF(Fenster!$D$10:$D$2160,Fassade!F146,Fenster!$K$10:$K$2160)</f>
        <v>0</v>
      </c>
      <c r="Q146" s="18">
        <f t="shared" si="85"/>
        <v>0</v>
      </c>
      <c r="R146" s="187">
        <f t="shared" si="86"/>
        <v>0</v>
      </c>
      <c r="S146" s="1602"/>
      <c r="T146" s="1597"/>
      <c r="U146" s="1205" t="s">
        <v>671</v>
      </c>
      <c r="V146" s="1640"/>
      <c r="W146" s="1586"/>
      <c r="X146" s="1589"/>
    </row>
    <row r="147" spans="2:24">
      <c r="B147" s="234" t="s">
        <v>676</v>
      </c>
      <c r="C147" s="208"/>
      <c r="D147" s="1552"/>
      <c r="E147" s="1609"/>
      <c r="F147" s="18"/>
      <c r="G147" s="18"/>
      <c r="H147" s="657"/>
      <c r="I147" s="657"/>
      <c r="J147" s="657"/>
      <c r="K147" s="657"/>
      <c r="L147" s="115">
        <f t="shared" si="84"/>
        <v>0</v>
      </c>
      <c r="M147" s="18">
        <f>SUMIF(Fenster!$D$10:$D$2160,Fassade!F147,Fenster!$J$10:$J$2160)</f>
        <v>0</v>
      </c>
      <c r="N147" s="18">
        <f>SUMIF(Fenster!$D$10:$D$2160,Fassade!F147,Fenster!$M$10:$M$2160)</f>
        <v>0</v>
      </c>
      <c r="O147" s="18">
        <f>SUMIFS(Fenster!$M$10:$M$2160,Fenster!$D$10:$D$2160,Fassade!F147,Fenster!$L$10:$L$2160,"&gt;2,5")</f>
        <v>0</v>
      </c>
      <c r="P147" s="18">
        <f>SUMIF(Fenster!$D$10:$D$2160,Fassade!F147,Fenster!$K$10:$K$2160)</f>
        <v>0</v>
      </c>
      <c r="Q147" s="18">
        <f t="shared" si="85"/>
        <v>0</v>
      </c>
      <c r="R147" s="187">
        <f t="shared" si="86"/>
        <v>0</v>
      </c>
      <c r="S147" s="1602"/>
      <c r="T147" s="1597"/>
      <c r="U147" s="1206"/>
      <c r="V147" s="1641"/>
      <c r="W147" s="1643"/>
      <c r="X147" s="1590"/>
    </row>
    <row r="148" spans="2:24">
      <c r="B148" s="234" t="s">
        <v>679</v>
      </c>
      <c r="C148" s="208"/>
      <c r="D148" s="1552"/>
      <c r="E148" s="1609"/>
      <c r="F148" s="18"/>
      <c r="G148" s="18"/>
      <c r="H148" s="657"/>
      <c r="I148" s="657"/>
      <c r="J148" s="657"/>
      <c r="K148" s="657"/>
      <c r="L148" s="115">
        <f t="shared" si="84"/>
        <v>0</v>
      </c>
      <c r="M148" s="18">
        <f>SUMIF(Fenster!$D$10:$D$2160,Fassade!F148,Fenster!$J$10:$J$2160)</f>
        <v>0</v>
      </c>
      <c r="N148" s="18">
        <f>SUMIF(Fenster!$D$10:$D$2160,Fassade!F148,Fenster!$M$10:$M$2160)</f>
        <v>0</v>
      </c>
      <c r="O148" s="18">
        <f>SUMIFS(Fenster!$M$10:$M$2160,Fenster!$D$10:$D$2160,Fassade!F148,Fenster!$L$10:$L$2160,"&gt;2,5")</f>
        <v>0</v>
      </c>
      <c r="P148" s="18">
        <f>SUMIF(Fenster!$D$10:$D$2160,Fassade!F148,Fenster!$K$10:$K$2160)</f>
        <v>0</v>
      </c>
      <c r="Q148" s="18">
        <f t="shared" si="85"/>
        <v>0</v>
      </c>
      <c r="R148" s="187">
        <f t="shared" si="86"/>
        <v>0</v>
      </c>
      <c r="S148" s="1602"/>
      <c r="T148" s="1597"/>
      <c r="U148" s="1206"/>
      <c r="V148" s="1641"/>
      <c r="W148" s="1643"/>
      <c r="X148" s="1590"/>
    </row>
    <row r="149" spans="2:24" ht="17.100000000000001" customHeight="1">
      <c r="B149" s="234" t="s">
        <v>680</v>
      </c>
      <c r="C149" s="18"/>
      <c r="D149" s="1552"/>
      <c r="E149" s="1609"/>
      <c r="F149" s="18"/>
      <c r="G149" s="18"/>
      <c r="H149" s="657"/>
      <c r="I149" s="657"/>
      <c r="J149" s="657"/>
      <c r="K149" s="657"/>
      <c r="L149" s="115">
        <f t="shared" si="84"/>
        <v>0</v>
      </c>
      <c r="M149" s="18">
        <f>SUMIF(Fenster!$D$10:$D$2160,Fassade!F149,Fenster!$J$10:$J$2160)</f>
        <v>0</v>
      </c>
      <c r="N149" s="18">
        <f>SUMIF(Fenster!$D$10:$D$2160,Fassade!F149,Fenster!$M$10:$M$2160)</f>
        <v>0</v>
      </c>
      <c r="O149" s="18">
        <f>SUMIFS(Fenster!$M$10:$M$2160,Fenster!$D$10:$D$2160,Fassade!F149,Fenster!$L$10:$L$2160,"&gt;2,5")</f>
        <v>0</v>
      </c>
      <c r="P149" s="18">
        <f>SUMIF(Fenster!$D$10:$D$2160,Fassade!F149,Fenster!$K$10:$K$2160)</f>
        <v>0</v>
      </c>
      <c r="Q149" s="18">
        <f t="shared" si="85"/>
        <v>0</v>
      </c>
      <c r="R149" s="187">
        <f t="shared" si="86"/>
        <v>0</v>
      </c>
      <c r="S149" s="1602"/>
      <c r="T149" s="1597"/>
      <c r="U149" s="1207"/>
      <c r="V149" s="1641"/>
      <c r="W149" s="1643"/>
      <c r="X149" s="1590"/>
    </row>
    <row r="150" spans="2:24">
      <c r="B150" s="234" t="s">
        <v>668</v>
      </c>
      <c r="C150" s="208"/>
      <c r="D150" s="1552"/>
      <c r="E150" s="1609"/>
      <c r="F150" s="18"/>
      <c r="G150" s="18"/>
      <c r="H150" s="657"/>
      <c r="I150" s="657"/>
      <c r="J150" s="657"/>
      <c r="K150" s="657"/>
      <c r="L150" s="115">
        <f t="shared" si="84"/>
        <v>0</v>
      </c>
      <c r="M150" s="18">
        <f>SUMIF(Fenster!$D$10:$D$2160,Fassade!F150,Fenster!$J$10:$J$2160)</f>
        <v>0</v>
      </c>
      <c r="N150" s="18">
        <f>SUMIF(Fenster!$D$10:$D$2160,Fassade!F150,Fenster!$M$10:$M$2160)</f>
        <v>0</v>
      </c>
      <c r="O150" s="18">
        <f>SUMIFS(Fenster!$M$10:$M$2160,Fenster!$D$10:$D$2160,Fassade!F150,Fenster!$L$10:$L$2160,"&gt;2,5")</f>
        <v>0</v>
      </c>
      <c r="P150" s="18">
        <f>SUMIF(Fenster!$D$10:$D$2160,Fassade!F150,Fenster!$K$10:$K$2160)</f>
        <v>0</v>
      </c>
      <c r="Q150" s="18">
        <f t="shared" si="85"/>
        <v>0</v>
      </c>
      <c r="R150" s="187">
        <f t="shared" si="86"/>
        <v>0</v>
      </c>
      <c r="S150" s="1602"/>
      <c r="T150" s="1597"/>
      <c r="U150" s="1207"/>
      <c r="V150" s="1641"/>
      <c r="W150" s="1643"/>
      <c r="X150" s="1590"/>
    </row>
    <row r="151" spans="2:24">
      <c r="B151" s="234" t="s">
        <v>670</v>
      </c>
      <c r="C151" s="208"/>
      <c r="D151" s="1552"/>
      <c r="E151" s="1609"/>
      <c r="F151" s="18"/>
      <c r="G151" s="18"/>
      <c r="H151" s="657"/>
      <c r="I151" s="657"/>
      <c r="J151" s="657"/>
      <c r="K151" s="657"/>
      <c r="L151" s="115">
        <f t="shared" si="84"/>
        <v>0</v>
      </c>
      <c r="M151" s="18">
        <f>SUMIF(Fenster!$D$10:$D$2160,Fassade!F151,Fenster!$J$10:$J$2160)</f>
        <v>0</v>
      </c>
      <c r="N151" s="18">
        <f>SUMIF(Fenster!$D$10:$D$2160,Fassade!F151,Fenster!$M$10:$M$2160)</f>
        <v>0</v>
      </c>
      <c r="O151" s="18">
        <f>SUMIFS(Fenster!$M$10:$M$2160,Fenster!$D$10:$D$2160,Fassade!F151,Fenster!$L$10:$L$2160,"&gt;2,5")</f>
        <v>0</v>
      </c>
      <c r="P151" s="18">
        <f>SUMIF(Fenster!$D$10:$D$2160,Fassade!F151,Fenster!$K$10:$K$2160)</f>
        <v>0</v>
      </c>
      <c r="Q151" s="18">
        <f t="shared" si="85"/>
        <v>0</v>
      </c>
      <c r="R151" s="187">
        <f t="shared" si="86"/>
        <v>0</v>
      </c>
      <c r="S151" s="1602"/>
      <c r="T151" s="1597"/>
      <c r="U151" s="1206"/>
      <c r="V151" s="1641"/>
      <c r="W151" s="1643"/>
      <c r="X151" s="1590"/>
    </row>
    <row r="152" spans="2:24">
      <c r="B152" s="234" t="s">
        <v>672</v>
      </c>
      <c r="C152" s="121"/>
      <c r="D152" s="1552"/>
      <c r="E152" s="1609"/>
      <c r="F152" s="1612" t="s">
        <v>187</v>
      </c>
      <c r="G152" s="18"/>
      <c r="H152" s="657"/>
      <c r="I152" s="657"/>
      <c r="J152" s="657"/>
      <c r="K152" s="657"/>
      <c r="L152" s="1614">
        <f t="shared" ref="L152" si="87">SUM(L142:L151)</f>
        <v>0</v>
      </c>
      <c r="M152" s="1477">
        <f t="shared" ref="M152" si="88">SUM(M142:M151)</f>
        <v>0</v>
      </c>
      <c r="N152" s="1477">
        <f t="shared" ref="N152" si="89">SUM(N142:N151)</f>
        <v>0</v>
      </c>
      <c r="O152" s="1477">
        <f t="shared" ref="O152" si="90">SUM(O142:O151)</f>
        <v>0</v>
      </c>
      <c r="P152" s="1477">
        <f t="shared" ref="P152" si="91">SUM(P142:P151)</f>
        <v>0</v>
      </c>
      <c r="Q152" s="1477">
        <f t="shared" ref="Q152" si="92">SUM(Q142:Q151)</f>
        <v>0</v>
      </c>
      <c r="R152" s="1483">
        <f>SUM(R142:R151)</f>
        <v>0</v>
      </c>
      <c r="S152" s="1602"/>
      <c r="T152" s="1597"/>
      <c r="U152" s="1208"/>
      <c r="V152" s="1641"/>
      <c r="W152" s="1643"/>
      <c r="X152" s="1590"/>
    </row>
    <row r="153" spans="2:24" ht="17.399999999999999" thickBot="1">
      <c r="B153" s="789"/>
      <c r="C153" s="787"/>
      <c r="D153" s="1610"/>
      <c r="E153" s="1611"/>
      <c r="F153" s="1613"/>
      <c r="G153" s="788"/>
      <c r="H153" s="788"/>
      <c r="I153" s="788"/>
      <c r="J153" s="788"/>
      <c r="K153" s="788"/>
      <c r="L153" s="1615"/>
      <c r="M153" s="1592"/>
      <c r="N153" s="1592"/>
      <c r="O153" s="1592"/>
      <c r="P153" s="1592"/>
      <c r="Q153" s="1592"/>
      <c r="R153" s="1605"/>
      <c r="S153" s="1603"/>
      <c r="T153" s="1599"/>
      <c r="U153" s="1209"/>
      <c r="V153" s="1642"/>
      <c r="W153" s="1644"/>
      <c r="X153" s="1590"/>
    </row>
    <row r="154" spans="2:24" ht="57" customHeight="1">
      <c r="B154" s="135" t="s">
        <v>678</v>
      </c>
      <c r="C154" s="127"/>
      <c r="D154" s="1552" t="e" vm="5">
        <v>#VALUE!</v>
      </c>
      <c r="E154" s="1609"/>
      <c r="F154" s="229" t="s">
        <v>296</v>
      </c>
      <c r="G154" s="229" t="s">
        <v>272</v>
      </c>
      <c r="H154" s="229" t="s">
        <v>300</v>
      </c>
      <c r="I154" s="229" t="s">
        <v>301</v>
      </c>
      <c r="J154" s="177" t="s">
        <v>652</v>
      </c>
      <c r="K154" s="177" t="s">
        <v>653</v>
      </c>
      <c r="L154" s="177" t="s">
        <v>654</v>
      </c>
      <c r="M154" s="177" t="s">
        <v>655</v>
      </c>
      <c r="N154" s="177" t="s">
        <v>656</v>
      </c>
      <c r="O154" s="177" t="s">
        <v>657</v>
      </c>
      <c r="P154" s="177" t="s">
        <v>658</v>
      </c>
      <c r="Q154" s="177" t="s">
        <v>659</v>
      </c>
      <c r="R154" s="713" t="s">
        <v>660</v>
      </c>
      <c r="S154" s="1601"/>
      <c r="T154" s="1597"/>
      <c r="U154" s="1200" t="s">
        <v>661</v>
      </c>
      <c r="V154" s="995" t="str" cm="1">
        <f t="array" ref="V154">_xlfn.XLOOKUP(U154&amp;Allgemein!$C$45,Fassadenpositionen[[#Headers],[WDVS:]]&amp;Fassadenpositionen[Position Fassade],Fassadenpositionen[WDVS:],"",0,1)</f>
        <v>Nein</v>
      </c>
      <c r="W154" s="995" t="str" cm="1">
        <f t="array" ref="W154">_xlfn.XLOOKUP(U154&amp;Allgemein!$C$61,Fassadenpositionen[[#Headers],[WDVS:]]&amp;Fassadenpositionen[Position Fassade],Fassadenpositionen[WDVS:],"",0,1)</f>
        <v>Nein</v>
      </c>
      <c r="X154" s="1004" t="str" cm="1">
        <f t="array" ref="X154">_xlfn.XLOOKUP(U154&amp;Allgemein!$C$77,Fassadenpositionen[[#Headers],[WDVS:]]&amp;Fassadenpositionen[Position Fassade],Fassadenpositionen[WDVS:],"",0,1)</f>
        <v>Nein</v>
      </c>
    </row>
    <row r="155" spans="2:24">
      <c r="B155" s="135" t="s">
        <v>662</v>
      </c>
      <c r="C155" s="18"/>
      <c r="D155" s="1552"/>
      <c r="E155" s="1609"/>
      <c r="F155" s="18"/>
      <c r="G155" s="18"/>
      <c r="H155" s="657"/>
      <c r="I155" s="657"/>
      <c r="J155" s="657"/>
      <c r="K155" s="657"/>
      <c r="L155" s="115">
        <f t="shared" ref="L155:L164" si="93">H155*I155+J155</f>
        <v>0</v>
      </c>
      <c r="M155" s="18">
        <f>SUMIF(Fenster!$D$10:$D$2160,Fassade!F155,Fenster!$J$10:$J$2160)</f>
        <v>0</v>
      </c>
      <c r="N155" s="18">
        <f>SUMIF(Fenster!$D$10:$D$2160,Fassade!F155,Fenster!$M$10:$M$2160)</f>
        <v>0</v>
      </c>
      <c r="O155" s="18">
        <f>SUMIFS(Fenster!$M$10:$M$2160,Fenster!$D$10:$D$2160,Fassade!F155,Fenster!$L$10:$L$2160,"&gt;2,5")</f>
        <v>0</v>
      </c>
      <c r="P155" s="18">
        <f>SUMIF(Fenster!$D$10:$D$2160,Fassade!F155,Fenster!$K$10:$K$2160)</f>
        <v>0</v>
      </c>
      <c r="Q155" s="18">
        <f t="shared" ref="Q155:Q164" si="94">L155-O155</f>
        <v>0</v>
      </c>
      <c r="R155" s="187">
        <f t="shared" ref="R155:R164" si="95">L155-N155</f>
        <v>0</v>
      </c>
      <c r="S155" s="1602"/>
      <c r="T155" s="1597"/>
      <c r="U155" s="1201" t="s">
        <v>663</v>
      </c>
      <c r="V155" s="997">
        <v>0</v>
      </c>
      <c r="W155" s="952">
        <v>0</v>
      </c>
      <c r="X155" s="988">
        <v>0</v>
      </c>
    </row>
    <row r="156" spans="2:24">
      <c r="B156" s="234" t="s">
        <v>664</v>
      </c>
      <c r="C156" s="208"/>
      <c r="D156" s="1552"/>
      <c r="E156" s="1609"/>
      <c r="F156" s="18"/>
      <c r="G156" s="18"/>
      <c r="H156" s="657"/>
      <c r="I156" s="657"/>
      <c r="J156" s="657"/>
      <c r="K156" s="657"/>
      <c r="L156" s="115">
        <f t="shared" si="93"/>
        <v>0</v>
      </c>
      <c r="M156" s="18">
        <f>SUMIF(Fenster!$D$10:$D$2160,Fassade!F156,Fenster!$J$10:$J$2160)</f>
        <v>0</v>
      </c>
      <c r="N156" s="18">
        <f>SUMIF(Fenster!$D$10:$D$2160,Fassade!F156,Fenster!$M$10:$M$2160)</f>
        <v>0</v>
      </c>
      <c r="O156" s="18">
        <f>SUMIFS(Fenster!$M$10:$M$2160,Fenster!$D$10:$D$2160,Fassade!F156,Fenster!$L$10:$L$2160,"&gt;2,5")</f>
        <v>0</v>
      </c>
      <c r="P156" s="18">
        <f>SUMIF(Fenster!$D$10:$D$2160,Fassade!F156,Fenster!$K$10:$K$2160)</f>
        <v>0</v>
      </c>
      <c r="Q156" s="18">
        <f t="shared" si="94"/>
        <v>0</v>
      </c>
      <c r="R156" s="187">
        <f t="shared" si="95"/>
        <v>0</v>
      </c>
      <c r="S156" s="1602"/>
      <c r="T156" s="1597"/>
      <c r="U156" s="1202" t="s">
        <v>665</v>
      </c>
      <c r="V156" s="998">
        <f>IF(V154="Ja",(Q165+V155)*$V$9,0)</f>
        <v>0</v>
      </c>
      <c r="W156" s="958">
        <f>IF(W154="Ja",(Q165+W155)*$V$9,0)</f>
        <v>0</v>
      </c>
      <c r="X156" s="999">
        <f>IF(X154="Ja",(Q165+X155)*$V$9,0)</f>
        <v>0</v>
      </c>
    </row>
    <row r="157" spans="2:24">
      <c r="B157" s="234" t="s">
        <v>666</v>
      </c>
      <c r="C157" s="208"/>
      <c r="D157" s="1552"/>
      <c r="E157" s="1609"/>
      <c r="F157" s="18"/>
      <c r="G157" s="18"/>
      <c r="H157" s="657"/>
      <c r="I157" s="657"/>
      <c r="J157" s="657"/>
      <c r="K157" s="657"/>
      <c r="L157" s="115">
        <f t="shared" si="93"/>
        <v>0</v>
      </c>
      <c r="M157" s="18">
        <f>SUMIF(Fenster!$D$10:$D$2160,Fassade!F157,Fenster!$J$10:$J$2160)</f>
        <v>0</v>
      </c>
      <c r="N157" s="18">
        <f>SUMIF(Fenster!$D$10:$D$2160,Fassade!F157,Fenster!$M$10:$M$2160)</f>
        <v>0</v>
      </c>
      <c r="O157" s="18">
        <f>SUMIFS(Fenster!$M$10:$M$2160,Fenster!$D$10:$D$2160,Fassade!F157,Fenster!$L$10:$L$2160,"&gt;2,5")</f>
        <v>0</v>
      </c>
      <c r="P157" s="18">
        <f>SUMIF(Fenster!$D$10:$D$2160,Fassade!F157,Fenster!$K$10:$K$2160)</f>
        <v>0</v>
      </c>
      <c r="Q157" s="18">
        <f t="shared" si="94"/>
        <v>0</v>
      </c>
      <c r="R157" s="187">
        <f t="shared" si="95"/>
        <v>0</v>
      </c>
      <c r="S157" s="1602"/>
      <c r="T157" s="1597"/>
      <c r="U157" s="1203" t="s">
        <v>667</v>
      </c>
      <c r="V157" s="998">
        <f>IF(V154="Ja",(R165+V155)*$V$9,0)</f>
        <v>0</v>
      </c>
      <c r="W157" s="958">
        <f>IF(W154="Ja",(R165+W155)*$V$9,0)</f>
        <v>0</v>
      </c>
      <c r="X157" s="999">
        <f>IF(X154="Ja",(R165+X155)*$V$9,0)</f>
        <v>0</v>
      </c>
    </row>
    <row r="158" spans="2:24">
      <c r="B158" s="234" t="s">
        <v>674</v>
      </c>
      <c r="C158" s="208"/>
      <c r="D158" s="1552"/>
      <c r="E158" s="1609"/>
      <c r="F158" s="18"/>
      <c r="G158" s="18"/>
      <c r="H158" s="657"/>
      <c r="I158" s="657"/>
      <c r="J158" s="657"/>
      <c r="K158" s="657"/>
      <c r="L158" s="115">
        <f t="shared" si="93"/>
        <v>0</v>
      </c>
      <c r="M158" s="18">
        <f>SUMIF(Fenster!$D$10:$D$2160,Fassade!F158,Fenster!$J$10:$J$2160)</f>
        <v>0</v>
      </c>
      <c r="N158" s="18">
        <f>SUMIF(Fenster!$D$10:$D$2160,Fassade!F158,Fenster!$M$10:$M$2160)</f>
        <v>0</v>
      </c>
      <c r="O158" s="18">
        <f>SUMIFS(Fenster!$M$10:$M$2160,Fenster!$D$10:$D$2160,Fassade!F158,Fenster!$L$10:$L$2160,"&gt;2,5")</f>
        <v>0</v>
      </c>
      <c r="P158" s="18">
        <f>SUMIF(Fenster!$D$10:$D$2160,Fassade!F158,Fenster!$K$10:$K$2160)</f>
        <v>0</v>
      </c>
      <c r="Q158" s="18">
        <f t="shared" si="94"/>
        <v>0</v>
      </c>
      <c r="R158" s="187">
        <f t="shared" si="95"/>
        <v>0</v>
      </c>
      <c r="S158" s="1602"/>
      <c r="T158" s="1597"/>
      <c r="U158" s="1204" t="s">
        <v>669</v>
      </c>
      <c r="V158" s="958" t="str">
        <f>Allgemein!$D$45</f>
        <v>-</v>
      </c>
      <c r="W158" s="958" t="str">
        <f>Allgemein!$D$61</f>
        <v>-</v>
      </c>
      <c r="X158" s="1000" t="str">
        <f>Allgemein!$D$77</f>
        <v>-</v>
      </c>
    </row>
    <row r="159" spans="2:24">
      <c r="B159" s="234" t="s">
        <v>675</v>
      </c>
      <c r="C159" s="208"/>
      <c r="D159" s="1552"/>
      <c r="E159" s="1609"/>
      <c r="F159" s="18"/>
      <c r="G159" s="18"/>
      <c r="H159" s="657"/>
      <c r="I159" s="657"/>
      <c r="J159" s="657"/>
      <c r="K159" s="657"/>
      <c r="L159" s="115">
        <f t="shared" si="93"/>
        <v>0</v>
      </c>
      <c r="M159" s="18">
        <f>SUMIF(Fenster!$D$10:$D$2160,Fassade!F159,Fenster!$J$10:$J$2160)</f>
        <v>0</v>
      </c>
      <c r="N159" s="18">
        <f>SUMIF(Fenster!$D$10:$D$2160,Fassade!F159,Fenster!$M$10:$M$2160)</f>
        <v>0</v>
      </c>
      <c r="O159" s="18">
        <f>SUMIFS(Fenster!$M$10:$M$2160,Fenster!$D$10:$D$2160,Fassade!F159,Fenster!$L$10:$L$2160,"&gt;2,5")</f>
        <v>0</v>
      </c>
      <c r="P159" s="18">
        <f>SUMIF(Fenster!$D$10:$D$2160,Fassade!F159,Fenster!$K$10:$K$2160)</f>
        <v>0</v>
      </c>
      <c r="Q159" s="18">
        <f t="shared" si="94"/>
        <v>0</v>
      </c>
      <c r="R159" s="187">
        <f t="shared" si="95"/>
        <v>0</v>
      </c>
      <c r="S159" s="1602"/>
      <c r="T159" s="1597"/>
      <c r="U159" s="1205" t="s">
        <v>671</v>
      </c>
      <c r="V159" s="1640"/>
      <c r="W159" s="1586"/>
      <c r="X159" s="1589"/>
    </row>
    <row r="160" spans="2:24">
      <c r="B160" s="234" t="s">
        <v>676</v>
      </c>
      <c r="C160" s="208"/>
      <c r="D160" s="1552"/>
      <c r="E160" s="1609"/>
      <c r="F160" s="18"/>
      <c r="G160" s="18"/>
      <c r="H160" s="657"/>
      <c r="I160" s="657"/>
      <c r="J160" s="657"/>
      <c r="K160" s="657"/>
      <c r="L160" s="115">
        <f t="shared" si="93"/>
        <v>0</v>
      </c>
      <c r="M160" s="18">
        <f>SUMIF(Fenster!$D$10:$D$2160,Fassade!F160,Fenster!$J$10:$J$2160)</f>
        <v>0</v>
      </c>
      <c r="N160" s="18">
        <f>SUMIF(Fenster!$D$10:$D$2160,Fassade!F160,Fenster!$M$10:$M$2160)</f>
        <v>0</v>
      </c>
      <c r="O160" s="18">
        <f>SUMIFS(Fenster!$M$10:$M$2160,Fenster!$D$10:$D$2160,Fassade!F160,Fenster!$L$10:$L$2160,"&gt;2,5")</f>
        <v>0</v>
      </c>
      <c r="P160" s="18">
        <f>SUMIF(Fenster!$D$10:$D$2160,Fassade!F160,Fenster!$K$10:$K$2160)</f>
        <v>0</v>
      </c>
      <c r="Q160" s="18">
        <f t="shared" si="94"/>
        <v>0</v>
      </c>
      <c r="R160" s="187">
        <f t="shared" si="95"/>
        <v>0</v>
      </c>
      <c r="S160" s="1602"/>
      <c r="T160" s="1597"/>
      <c r="U160" s="1206"/>
      <c r="V160" s="1641"/>
      <c r="W160" s="1643"/>
      <c r="X160" s="1590"/>
    </row>
    <row r="161" spans="2:24">
      <c r="B161" s="234" t="s">
        <v>679</v>
      </c>
      <c r="C161" s="208"/>
      <c r="D161" s="1552"/>
      <c r="E161" s="1609"/>
      <c r="F161" s="18"/>
      <c r="G161" s="18"/>
      <c r="H161" s="657"/>
      <c r="I161" s="657"/>
      <c r="J161" s="657"/>
      <c r="K161" s="657"/>
      <c r="L161" s="115">
        <f t="shared" si="93"/>
        <v>0</v>
      </c>
      <c r="M161" s="18">
        <f>SUMIF(Fenster!$D$10:$D$2160,Fassade!F161,Fenster!$J$10:$J$2160)</f>
        <v>0</v>
      </c>
      <c r="N161" s="18">
        <f>SUMIF(Fenster!$D$10:$D$2160,Fassade!F161,Fenster!$M$10:$M$2160)</f>
        <v>0</v>
      </c>
      <c r="O161" s="18">
        <f>SUMIFS(Fenster!$M$10:$M$2160,Fenster!$D$10:$D$2160,Fassade!F161,Fenster!$L$10:$L$2160,"&gt;2,5")</f>
        <v>0</v>
      </c>
      <c r="P161" s="18">
        <f>SUMIF(Fenster!$D$10:$D$2160,Fassade!F161,Fenster!$K$10:$K$2160)</f>
        <v>0</v>
      </c>
      <c r="Q161" s="18">
        <f t="shared" si="94"/>
        <v>0</v>
      </c>
      <c r="R161" s="187">
        <f t="shared" si="95"/>
        <v>0</v>
      </c>
      <c r="S161" s="1602"/>
      <c r="T161" s="1597"/>
      <c r="U161" s="1206"/>
      <c r="V161" s="1641"/>
      <c r="W161" s="1643"/>
      <c r="X161" s="1590"/>
    </row>
    <row r="162" spans="2:24">
      <c r="B162" s="234" t="s">
        <v>680</v>
      </c>
      <c r="C162" s="18"/>
      <c r="D162" s="1552"/>
      <c r="E162" s="1609"/>
      <c r="F162" s="18"/>
      <c r="G162" s="18"/>
      <c r="H162" s="657"/>
      <c r="I162" s="657"/>
      <c r="J162" s="657"/>
      <c r="K162" s="657"/>
      <c r="L162" s="115">
        <f t="shared" si="93"/>
        <v>0</v>
      </c>
      <c r="M162" s="18">
        <f>SUMIF(Fenster!$D$10:$D$2160,Fassade!F162,Fenster!$J$10:$J$2160)</f>
        <v>0</v>
      </c>
      <c r="N162" s="18">
        <f>SUMIF(Fenster!$D$10:$D$2160,Fassade!F162,Fenster!$M$10:$M$2160)</f>
        <v>0</v>
      </c>
      <c r="O162" s="18">
        <f>SUMIFS(Fenster!$M$10:$M$2160,Fenster!$D$10:$D$2160,Fassade!F162,Fenster!$L$10:$L$2160,"&gt;2,5")</f>
        <v>0</v>
      </c>
      <c r="P162" s="18">
        <f>SUMIF(Fenster!$D$10:$D$2160,Fassade!F162,Fenster!$K$10:$K$2160)</f>
        <v>0</v>
      </c>
      <c r="Q162" s="18">
        <f t="shared" si="94"/>
        <v>0</v>
      </c>
      <c r="R162" s="187">
        <f t="shared" si="95"/>
        <v>0</v>
      </c>
      <c r="S162" s="1602"/>
      <c r="T162" s="1597"/>
      <c r="U162" s="1207"/>
      <c r="V162" s="1641"/>
      <c r="W162" s="1643"/>
      <c r="X162" s="1590"/>
    </row>
    <row r="163" spans="2:24">
      <c r="B163" s="234" t="s">
        <v>668</v>
      </c>
      <c r="C163" s="208"/>
      <c r="D163" s="1552"/>
      <c r="E163" s="1609"/>
      <c r="F163" s="18"/>
      <c r="G163" s="18"/>
      <c r="H163" s="657"/>
      <c r="I163" s="657"/>
      <c r="J163" s="657"/>
      <c r="K163" s="657"/>
      <c r="L163" s="115">
        <f t="shared" si="93"/>
        <v>0</v>
      </c>
      <c r="M163" s="18">
        <f>SUMIF(Fenster!$D$10:$D$2160,Fassade!F163,Fenster!$J$10:$J$2160)</f>
        <v>0</v>
      </c>
      <c r="N163" s="18">
        <f>SUMIF(Fenster!$D$10:$D$2160,Fassade!F163,Fenster!$M$10:$M$2160)</f>
        <v>0</v>
      </c>
      <c r="O163" s="18">
        <f>SUMIFS(Fenster!$M$10:$M$2160,Fenster!$D$10:$D$2160,Fassade!F163,Fenster!$L$10:$L$2160,"&gt;2,5")</f>
        <v>0</v>
      </c>
      <c r="P163" s="18">
        <f>SUMIF(Fenster!$D$10:$D$2160,Fassade!F163,Fenster!$K$10:$K$2160)</f>
        <v>0</v>
      </c>
      <c r="Q163" s="18">
        <f t="shared" si="94"/>
        <v>0</v>
      </c>
      <c r="R163" s="187">
        <f t="shared" si="95"/>
        <v>0</v>
      </c>
      <c r="S163" s="1602"/>
      <c r="T163" s="1597"/>
      <c r="U163" s="1207"/>
      <c r="V163" s="1641"/>
      <c r="W163" s="1643"/>
      <c r="X163" s="1590"/>
    </row>
    <row r="164" spans="2:24">
      <c r="B164" s="234" t="s">
        <v>670</v>
      </c>
      <c r="C164" s="208"/>
      <c r="D164" s="1552"/>
      <c r="E164" s="1609"/>
      <c r="F164" s="18"/>
      <c r="G164" s="18"/>
      <c r="H164" s="657"/>
      <c r="I164" s="657"/>
      <c r="J164" s="657"/>
      <c r="K164" s="657"/>
      <c r="L164" s="115">
        <f t="shared" si="93"/>
        <v>0</v>
      </c>
      <c r="M164" s="18">
        <f>SUMIF(Fenster!$D$10:$D$2160,Fassade!F164,Fenster!$J$10:$J$2160)</f>
        <v>0</v>
      </c>
      <c r="N164" s="18">
        <f>SUMIF(Fenster!$D$10:$D$2160,Fassade!F164,Fenster!$M$10:$M$2160)</f>
        <v>0</v>
      </c>
      <c r="O164" s="18">
        <f>SUMIFS(Fenster!$M$10:$M$2160,Fenster!$D$10:$D$2160,Fassade!F164,Fenster!$L$10:$L$2160,"&gt;2,5")</f>
        <v>0</v>
      </c>
      <c r="P164" s="18">
        <f>SUMIF(Fenster!$D$10:$D$2160,Fassade!F164,Fenster!$K$10:$K$2160)</f>
        <v>0</v>
      </c>
      <c r="Q164" s="18">
        <f t="shared" si="94"/>
        <v>0</v>
      </c>
      <c r="R164" s="187">
        <f t="shared" si="95"/>
        <v>0</v>
      </c>
      <c r="S164" s="1602"/>
      <c r="T164" s="1597"/>
      <c r="U164" s="1206"/>
      <c r="V164" s="1641"/>
      <c r="W164" s="1643"/>
      <c r="X164" s="1590"/>
    </row>
    <row r="165" spans="2:24">
      <c r="B165" s="234" t="s">
        <v>672</v>
      </c>
      <c r="C165" s="121"/>
      <c r="D165" s="1552"/>
      <c r="E165" s="1609"/>
      <c r="F165" s="1612" t="s">
        <v>187</v>
      </c>
      <c r="G165" s="18"/>
      <c r="H165" s="657"/>
      <c r="I165" s="657"/>
      <c r="J165" s="657"/>
      <c r="K165" s="657"/>
      <c r="L165" s="1614">
        <f t="shared" ref="L165" si="96">SUM(L155:L164)</f>
        <v>0</v>
      </c>
      <c r="M165" s="1477">
        <f t="shared" ref="M165" si="97">SUM(M155:M164)</f>
        <v>0</v>
      </c>
      <c r="N165" s="1477">
        <f t="shared" ref="N165" si="98">SUM(N155:N164)</f>
        <v>0</v>
      </c>
      <c r="O165" s="1477">
        <f t="shared" ref="O165" si="99">SUM(O155:O164)</f>
        <v>0</v>
      </c>
      <c r="P165" s="1477">
        <f t="shared" ref="P165" si="100">SUM(P155:P164)</f>
        <v>0</v>
      </c>
      <c r="Q165" s="1477">
        <f t="shared" ref="Q165" si="101">SUM(Q155:Q164)</f>
        <v>0</v>
      </c>
      <c r="R165" s="1483">
        <f>SUM(R155:R164)</f>
        <v>0</v>
      </c>
      <c r="S165" s="1602"/>
      <c r="T165" s="1597"/>
      <c r="U165" s="1208"/>
      <c r="V165" s="1641"/>
      <c r="W165" s="1643"/>
      <c r="X165" s="1590"/>
    </row>
    <row r="166" spans="2:24" ht="17.399999999999999" thickBot="1">
      <c r="B166" s="789"/>
      <c r="C166" s="787"/>
      <c r="D166" s="1610"/>
      <c r="E166" s="1611"/>
      <c r="F166" s="1613"/>
      <c r="G166" s="788"/>
      <c r="H166" s="788"/>
      <c r="I166" s="788"/>
      <c r="J166" s="788"/>
      <c r="K166" s="788"/>
      <c r="L166" s="1615"/>
      <c r="M166" s="1592"/>
      <c r="N166" s="1592"/>
      <c r="O166" s="1592"/>
      <c r="P166" s="1592"/>
      <c r="Q166" s="1592"/>
      <c r="R166" s="1605"/>
      <c r="S166" s="1603"/>
      <c r="T166" s="1599"/>
      <c r="U166" s="1209"/>
      <c r="V166" s="1642"/>
      <c r="W166" s="1644"/>
      <c r="X166" s="1590"/>
    </row>
    <row r="167" spans="2:24" ht="57" customHeight="1">
      <c r="B167" s="135" t="s">
        <v>681</v>
      </c>
      <c r="C167" s="127"/>
      <c r="D167" s="1552" t="e" vm="6">
        <v>#VALUE!</v>
      </c>
      <c r="E167" s="1609"/>
      <c r="F167" s="229" t="s">
        <v>296</v>
      </c>
      <c r="G167" s="229" t="s">
        <v>272</v>
      </c>
      <c r="H167" s="229" t="s">
        <v>300</v>
      </c>
      <c r="I167" s="229" t="s">
        <v>301</v>
      </c>
      <c r="J167" s="177" t="s">
        <v>652</v>
      </c>
      <c r="K167" s="177" t="s">
        <v>653</v>
      </c>
      <c r="L167" s="177" t="s">
        <v>654</v>
      </c>
      <c r="M167" s="177" t="s">
        <v>655</v>
      </c>
      <c r="N167" s="177" t="s">
        <v>656</v>
      </c>
      <c r="O167" s="177" t="s">
        <v>657</v>
      </c>
      <c r="P167" s="177" t="s">
        <v>658</v>
      </c>
      <c r="Q167" s="177" t="s">
        <v>659</v>
      </c>
      <c r="R167" s="713" t="s">
        <v>660</v>
      </c>
      <c r="S167" s="1600"/>
      <c r="T167" s="1597"/>
      <c r="U167" s="1200" t="s">
        <v>661</v>
      </c>
      <c r="V167" s="995" t="str" cm="1">
        <f t="array" ref="V167">_xlfn.XLOOKUP(U167&amp;Allgemein!$C$45,Fassadenpositionen[[#Headers],[WDVS:]]&amp;Fassadenpositionen[Position Fassade],Fassadenpositionen[WDVS:],"",0,1)</f>
        <v>Nein</v>
      </c>
      <c r="W167" s="995" t="str" cm="1">
        <f t="array" ref="W167">_xlfn.XLOOKUP(U167&amp;Allgemein!$C$61,Fassadenpositionen[[#Headers],[WDVS:]]&amp;Fassadenpositionen[Position Fassade],Fassadenpositionen[WDVS:],"",0,1)</f>
        <v>Nein</v>
      </c>
      <c r="X167" s="1004" t="str" cm="1">
        <f t="array" ref="X167">_xlfn.XLOOKUP(U167&amp;Allgemein!$C$77,Fassadenpositionen[[#Headers],[WDVS:]]&amp;Fassadenpositionen[Position Fassade],Fassadenpositionen[WDVS:],"",0,1)</f>
        <v>Nein</v>
      </c>
    </row>
    <row r="168" spans="2:24">
      <c r="B168" s="135" t="s">
        <v>662</v>
      </c>
      <c r="C168" s="18"/>
      <c r="D168" s="1552"/>
      <c r="E168" s="1609"/>
      <c r="F168" s="18"/>
      <c r="G168" s="18"/>
      <c r="H168" s="657"/>
      <c r="I168" s="657"/>
      <c r="J168" s="657"/>
      <c r="K168" s="657"/>
      <c r="L168" s="115">
        <f t="shared" ref="L168:L177" si="102">H168*I168+J168</f>
        <v>0</v>
      </c>
      <c r="M168" s="18">
        <f>SUMIF(Fenster!$D$10:$D$2160,Fassade!F168,Fenster!$J$10:$J$2160)</f>
        <v>0</v>
      </c>
      <c r="N168" s="18">
        <f>SUMIF(Fenster!$D$10:$D$2160,Fassade!F168,Fenster!$M$10:$M$2160)</f>
        <v>0</v>
      </c>
      <c r="O168" s="18">
        <f>SUMIFS(Fenster!$M$10:$M$2160,Fenster!$D$10:$D$2160,Fassade!F168,Fenster!$L$10:$L$2160,"&gt;2,5")</f>
        <v>0</v>
      </c>
      <c r="P168" s="18">
        <f>SUMIF(Fenster!$D$10:$D$2160,Fassade!F168,Fenster!$K$10:$K$2160)</f>
        <v>0</v>
      </c>
      <c r="Q168" s="18">
        <f t="shared" ref="Q168:Q177" si="103">L168-O168</f>
        <v>0</v>
      </c>
      <c r="R168" s="187">
        <f t="shared" ref="R168:R177" si="104">L168-N168</f>
        <v>0</v>
      </c>
      <c r="S168" s="1596"/>
      <c r="T168" s="1597"/>
      <c r="U168" s="1201" t="s">
        <v>663</v>
      </c>
      <c r="V168" s="997">
        <v>0</v>
      </c>
      <c r="W168" s="952">
        <v>0</v>
      </c>
      <c r="X168" s="988">
        <v>0</v>
      </c>
    </row>
    <row r="169" spans="2:24">
      <c r="B169" s="234" t="s">
        <v>664</v>
      </c>
      <c r="C169" s="18"/>
      <c r="D169" s="1552"/>
      <c r="E169" s="1609"/>
      <c r="F169" s="18"/>
      <c r="G169" s="18"/>
      <c r="H169" s="657"/>
      <c r="I169" s="657"/>
      <c r="J169" s="657"/>
      <c r="K169" s="657"/>
      <c r="L169" s="115">
        <f t="shared" si="102"/>
        <v>0</v>
      </c>
      <c r="M169" s="18">
        <f>SUMIF(Fenster!$D$10:$D$2160,Fassade!F169,Fenster!$J$10:$J$2160)</f>
        <v>0</v>
      </c>
      <c r="N169" s="18">
        <f>SUMIF(Fenster!$D$10:$D$2160,Fassade!F169,Fenster!$M$10:$M$2160)</f>
        <v>0</v>
      </c>
      <c r="O169" s="18">
        <f>SUMIFS(Fenster!$M$10:$M$2160,Fenster!$D$10:$D$2160,Fassade!F169,Fenster!$L$10:$L$2160,"&gt;2,5")</f>
        <v>0</v>
      </c>
      <c r="P169" s="18">
        <f>SUMIF(Fenster!$D$10:$D$2160,Fassade!F169,Fenster!$K$10:$K$2160)</f>
        <v>0</v>
      </c>
      <c r="Q169" s="18">
        <f t="shared" si="103"/>
        <v>0</v>
      </c>
      <c r="R169" s="187">
        <f t="shared" si="104"/>
        <v>0</v>
      </c>
      <c r="S169" s="1596"/>
      <c r="T169" s="1597"/>
      <c r="U169" s="1202" t="s">
        <v>665</v>
      </c>
      <c r="V169" s="998">
        <f>IF(V167="Ja",(Q178+V168)*$V$9,0)</f>
        <v>0</v>
      </c>
      <c r="W169" s="958">
        <f>IF(W167="Ja",(Q178+W168)*$V$9,0)</f>
        <v>0</v>
      </c>
      <c r="X169" s="999">
        <f>IF(X167="Ja",(Q178+X168)*$V$9,0)</f>
        <v>0</v>
      </c>
    </row>
    <row r="170" spans="2:24">
      <c r="B170" s="234" t="s">
        <v>666</v>
      </c>
      <c r="C170" s="208"/>
      <c r="D170" s="1552"/>
      <c r="E170" s="1609"/>
      <c r="F170" s="18"/>
      <c r="G170" s="18"/>
      <c r="H170" s="657"/>
      <c r="I170" s="657"/>
      <c r="J170" s="657"/>
      <c r="K170" s="657"/>
      <c r="L170" s="115">
        <f t="shared" si="102"/>
        <v>0</v>
      </c>
      <c r="M170" s="18">
        <f>SUMIF(Fenster!$D$10:$D$2160,Fassade!F170,Fenster!$J$10:$J$2160)</f>
        <v>0</v>
      </c>
      <c r="N170" s="18">
        <f>SUMIF(Fenster!$D$10:$D$2160,Fassade!F170,Fenster!$M$10:$M$2160)</f>
        <v>0</v>
      </c>
      <c r="O170" s="18">
        <f>SUMIFS(Fenster!$M$10:$M$2160,Fenster!$D$10:$D$2160,Fassade!F170,Fenster!$L$10:$L$2160,"&gt;2,5")</f>
        <v>0</v>
      </c>
      <c r="P170" s="18">
        <f>SUMIF(Fenster!$D$10:$D$2160,Fassade!F170,Fenster!$K$10:$K$2160)</f>
        <v>0</v>
      </c>
      <c r="Q170" s="18">
        <f t="shared" si="103"/>
        <v>0</v>
      </c>
      <c r="R170" s="187">
        <f t="shared" si="104"/>
        <v>0</v>
      </c>
      <c r="S170" s="1596"/>
      <c r="T170" s="1597"/>
      <c r="U170" s="1203" t="s">
        <v>667</v>
      </c>
      <c r="V170" s="998">
        <f>IF(V167="Ja",(R178+V168)*$V$9,0)</f>
        <v>0</v>
      </c>
      <c r="W170" s="958">
        <f>IF(W167="Ja",(R178+W168)*$V$9,0)</f>
        <v>0</v>
      </c>
      <c r="X170" s="999">
        <f>IF(X167="Ja",(R178+X168)*$V$9,0)</f>
        <v>0</v>
      </c>
    </row>
    <row r="171" spans="2:24">
      <c r="B171" s="234" t="s">
        <v>668</v>
      </c>
      <c r="C171" s="208"/>
      <c r="D171" s="1552"/>
      <c r="E171" s="1609"/>
      <c r="F171" s="18"/>
      <c r="G171" s="18"/>
      <c r="H171" s="657"/>
      <c r="I171" s="657"/>
      <c r="J171" s="657"/>
      <c r="K171" s="657"/>
      <c r="L171" s="115">
        <f t="shared" si="102"/>
        <v>0</v>
      </c>
      <c r="M171" s="18">
        <f>SUMIF(Fenster!$D$10:$D$2160,Fassade!F171,Fenster!$J$10:$J$2160)</f>
        <v>0</v>
      </c>
      <c r="N171" s="18">
        <f>SUMIF(Fenster!$D$10:$D$2160,Fassade!F171,Fenster!$M$10:$M$2160)</f>
        <v>0</v>
      </c>
      <c r="O171" s="18">
        <f>SUMIFS(Fenster!$M$10:$M$2160,Fenster!$D$10:$D$2160,Fassade!F171,Fenster!$L$10:$L$2160,"&gt;2,5")</f>
        <v>0</v>
      </c>
      <c r="P171" s="18">
        <f>SUMIF(Fenster!$D$10:$D$2160,Fassade!F171,Fenster!$K$10:$K$2160)</f>
        <v>0</v>
      </c>
      <c r="Q171" s="18">
        <f t="shared" si="103"/>
        <v>0</v>
      </c>
      <c r="R171" s="187">
        <f t="shared" si="104"/>
        <v>0</v>
      </c>
      <c r="S171" s="1596"/>
      <c r="T171" s="1597"/>
      <c r="U171" s="1204" t="s">
        <v>669</v>
      </c>
      <c r="V171" s="958" t="str">
        <f>Allgemein!$D$45</f>
        <v>-</v>
      </c>
      <c r="W171" s="958" t="str">
        <f>Allgemein!$D$61</f>
        <v>-</v>
      </c>
      <c r="X171" s="1000" t="str">
        <f>Allgemein!$D$77</f>
        <v>-</v>
      </c>
    </row>
    <row r="172" spans="2:24">
      <c r="B172" s="234" t="s">
        <v>670</v>
      </c>
      <c r="C172" s="208"/>
      <c r="D172" s="1552"/>
      <c r="E172" s="1609"/>
      <c r="F172" s="18"/>
      <c r="G172" s="18"/>
      <c r="H172" s="657"/>
      <c r="I172" s="657"/>
      <c r="J172" s="657"/>
      <c r="K172" s="657"/>
      <c r="L172" s="115">
        <f t="shared" si="102"/>
        <v>0</v>
      </c>
      <c r="M172" s="18">
        <f>SUMIF(Fenster!$D$10:$D$2160,Fassade!F172,Fenster!$J$10:$J$2160)</f>
        <v>0</v>
      </c>
      <c r="N172" s="18">
        <f>SUMIF(Fenster!$D$10:$D$2160,Fassade!F172,Fenster!$M$10:$M$2160)</f>
        <v>0</v>
      </c>
      <c r="O172" s="18">
        <f>SUMIFS(Fenster!$M$10:$M$2160,Fenster!$D$10:$D$2160,Fassade!F172,Fenster!$L$10:$L$2160,"&gt;2,5")</f>
        <v>0</v>
      </c>
      <c r="P172" s="18">
        <f>SUMIF(Fenster!$D$10:$D$2160,Fassade!F172,Fenster!$K$10:$K$2160)</f>
        <v>0</v>
      </c>
      <c r="Q172" s="18">
        <f t="shared" si="103"/>
        <v>0</v>
      </c>
      <c r="R172" s="187">
        <f t="shared" si="104"/>
        <v>0</v>
      </c>
      <c r="S172" s="1596"/>
      <c r="T172" s="1597"/>
      <c r="U172" s="1205" t="s">
        <v>671</v>
      </c>
      <c r="V172" s="1640"/>
      <c r="W172" s="1586"/>
      <c r="X172" s="1589"/>
    </row>
    <row r="173" spans="2:24">
      <c r="B173" s="234" t="s">
        <v>672</v>
      </c>
      <c r="C173" s="121"/>
      <c r="D173" s="1552"/>
      <c r="E173" s="1609"/>
      <c r="F173" s="18"/>
      <c r="G173" s="18"/>
      <c r="H173" s="657"/>
      <c r="I173" s="657"/>
      <c r="J173" s="657"/>
      <c r="K173" s="657"/>
      <c r="L173" s="115">
        <f t="shared" si="102"/>
        <v>0</v>
      </c>
      <c r="M173" s="18">
        <f>SUMIF(Fenster!$D$10:$D$2160,Fassade!F173,Fenster!$J$10:$J$2160)</f>
        <v>0</v>
      </c>
      <c r="N173" s="18">
        <f>SUMIF(Fenster!$D$10:$D$2160,Fassade!F173,Fenster!$M$10:$M$2160)</f>
        <v>0</v>
      </c>
      <c r="O173" s="18">
        <f>SUMIFS(Fenster!$M$10:$M$2160,Fenster!$D$10:$D$2160,Fassade!F173,Fenster!$L$10:$L$2160,"&gt;2,5")</f>
        <v>0</v>
      </c>
      <c r="P173" s="18">
        <f>SUMIF(Fenster!$D$10:$D$2160,Fassade!F173,Fenster!$K$10:$K$2160)</f>
        <v>0</v>
      </c>
      <c r="Q173" s="18">
        <f t="shared" si="103"/>
        <v>0</v>
      </c>
      <c r="R173" s="187">
        <f t="shared" si="104"/>
        <v>0</v>
      </c>
      <c r="S173" s="1596"/>
      <c r="T173" s="1597"/>
      <c r="U173" s="1206"/>
      <c r="V173" s="1641"/>
      <c r="W173" s="1643"/>
      <c r="X173" s="1590"/>
    </row>
    <row r="174" spans="2:24">
      <c r="B174" s="234"/>
      <c r="C174" s="121"/>
      <c r="D174" s="1552"/>
      <c r="E174" s="1609"/>
      <c r="F174" s="18"/>
      <c r="G174" s="18"/>
      <c r="H174" s="657"/>
      <c r="I174" s="657"/>
      <c r="J174" s="657"/>
      <c r="K174" s="657"/>
      <c r="L174" s="115">
        <f t="shared" si="102"/>
        <v>0</v>
      </c>
      <c r="M174" s="18">
        <f>SUMIF(Fenster!$D$10:$D$2160,Fassade!F174,Fenster!$J$10:$J$2160)</f>
        <v>0</v>
      </c>
      <c r="N174" s="18">
        <f>SUMIF(Fenster!$D$10:$D$2160,Fassade!F174,Fenster!$M$10:$M$2160)</f>
        <v>0</v>
      </c>
      <c r="O174" s="18">
        <f>SUMIFS(Fenster!$M$10:$M$2160,Fenster!$D$10:$D$2160,Fassade!F174,Fenster!$L$10:$L$2160,"&gt;2,5")</f>
        <v>0</v>
      </c>
      <c r="P174" s="18">
        <f>SUMIF(Fenster!$D$10:$D$2160,Fassade!F174,Fenster!$K$10:$K$2160)</f>
        <v>0</v>
      </c>
      <c r="Q174" s="18">
        <f t="shared" si="103"/>
        <v>0</v>
      </c>
      <c r="R174" s="187">
        <f t="shared" si="104"/>
        <v>0</v>
      </c>
      <c r="S174" s="1596"/>
      <c r="T174" s="1597"/>
      <c r="U174" s="1206"/>
      <c r="V174" s="1641"/>
      <c r="W174" s="1643"/>
      <c r="X174" s="1590"/>
    </row>
    <row r="175" spans="2:24">
      <c r="B175" s="234"/>
      <c r="C175" s="127"/>
      <c r="D175" s="1552"/>
      <c r="E175" s="1609"/>
      <c r="F175" s="18"/>
      <c r="G175" s="18"/>
      <c r="H175" s="657"/>
      <c r="I175" s="657"/>
      <c r="J175" s="657"/>
      <c r="K175" s="657"/>
      <c r="L175" s="115">
        <f t="shared" si="102"/>
        <v>0</v>
      </c>
      <c r="M175" s="18">
        <f>SUMIF(Fenster!$D$10:$D$2160,Fassade!F175,Fenster!$J$10:$J$2160)</f>
        <v>0</v>
      </c>
      <c r="N175" s="18">
        <f>SUMIF(Fenster!$D$10:$D$2160,Fassade!F175,Fenster!$M$10:$M$2160)</f>
        <v>0</v>
      </c>
      <c r="O175" s="18">
        <f>SUMIFS(Fenster!$M$10:$M$2160,Fenster!$D$10:$D$2160,Fassade!F175,Fenster!$L$10:$L$2160,"&gt;2,5")</f>
        <v>0</v>
      </c>
      <c r="P175" s="18">
        <f>SUMIF(Fenster!$D$10:$D$2160,Fassade!F175,Fenster!$K$10:$K$2160)</f>
        <v>0</v>
      </c>
      <c r="Q175" s="18">
        <f t="shared" si="103"/>
        <v>0</v>
      </c>
      <c r="R175" s="187">
        <f t="shared" si="104"/>
        <v>0</v>
      </c>
      <c r="S175" s="1596"/>
      <c r="T175" s="1597"/>
      <c r="U175" s="1207"/>
      <c r="V175" s="1641"/>
      <c r="W175" s="1643"/>
      <c r="X175" s="1590"/>
    </row>
    <row r="176" spans="2:24">
      <c r="B176" s="234"/>
      <c r="C176" s="121"/>
      <c r="D176" s="1552"/>
      <c r="E176" s="1609"/>
      <c r="F176" s="18"/>
      <c r="G176" s="18"/>
      <c r="H176" s="657"/>
      <c r="I176" s="657"/>
      <c r="J176" s="657"/>
      <c r="K176" s="657"/>
      <c r="L176" s="115">
        <f t="shared" si="102"/>
        <v>0</v>
      </c>
      <c r="M176" s="18">
        <f>SUMIF(Fenster!$D$10:$D$2160,Fassade!F176,Fenster!$J$10:$J$2160)</f>
        <v>0</v>
      </c>
      <c r="N176" s="18">
        <f>SUMIF(Fenster!$D$10:$D$2160,Fassade!F176,Fenster!$M$10:$M$2160)</f>
        <v>0</v>
      </c>
      <c r="O176" s="18">
        <f>SUMIFS(Fenster!$M$10:$M$2160,Fenster!$D$10:$D$2160,Fassade!F176,Fenster!$L$10:$L$2160,"&gt;2,5")</f>
        <v>0</v>
      </c>
      <c r="P176" s="18">
        <f>SUMIF(Fenster!$D$10:$D$2160,Fassade!F176,Fenster!$K$10:$K$2160)</f>
        <v>0</v>
      </c>
      <c r="Q176" s="18">
        <f t="shared" si="103"/>
        <v>0</v>
      </c>
      <c r="R176" s="187">
        <f t="shared" si="104"/>
        <v>0</v>
      </c>
      <c r="S176" s="1596"/>
      <c r="T176" s="1597"/>
      <c r="U176" s="1207"/>
      <c r="V176" s="1641"/>
      <c r="W176" s="1643"/>
      <c r="X176" s="1590"/>
    </row>
    <row r="177" spans="2:24">
      <c r="B177" s="234"/>
      <c r="C177" s="121"/>
      <c r="D177" s="1552"/>
      <c r="E177" s="1609"/>
      <c r="F177" s="18"/>
      <c r="G177" s="18"/>
      <c r="H177" s="657"/>
      <c r="I177" s="657"/>
      <c r="J177" s="657"/>
      <c r="K177" s="657"/>
      <c r="L177" s="115">
        <f t="shared" si="102"/>
        <v>0</v>
      </c>
      <c r="M177" s="18">
        <f>SUMIF(Fenster!$D$10:$D$2160,Fassade!F177,Fenster!$J$10:$J$2160)</f>
        <v>0</v>
      </c>
      <c r="N177" s="18">
        <f>SUMIF(Fenster!$D$10:$D$2160,Fassade!F177,Fenster!$M$10:$M$2160)</f>
        <v>0</v>
      </c>
      <c r="O177" s="18">
        <f>SUMIFS(Fenster!$M$10:$M$2160,Fenster!$D$10:$D$2160,Fassade!F177,Fenster!$L$10:$L$2160,"&gt;2,5")</f>
        <v>0</v>
      </c>
      <c r="P177" s="18">
        <f>SUMIF(Fenster!$D$10:$D$2160,Fassade!F177,Fenster!$K$10:$K$2160)</f>
        <v>0</v>
      </c>
      <c r="Q177" s="18">
        <f t="shared" si="103"/>
        <v>0</v>
      </c>
      <c r="R177" s="187">
        <f t="shared" si="104"/>
        <v>0</v>
      </c>
      <c r="S177" s="1596"/>
      <c r="T177" s="1597"/>
      <c r="U177" s="1206"/>
      <c r="V177" s="1641"/>
      <c r="W177" s="1643"/>
      <c r="X177" s="1590"/>
    </row>
    <row r="178" spans="2:24">
      <c r="B178" s="234"/>
      <c r="C178" s="121"/>
      <c r="D178" s="1552"/>
      <c r="E178" s="1609"/>
      <c r="F178" s="1612" t="s">
        <v>187</v>
      </c>
      <c r="G178" s="18"/>
      <c r="H178" s="657"/>
      <c r="I178" s="657"/>
      <c r="J178" s="657"/>
      <c r="K178" s="657"/>
      <c r="L178" s="1614">
        <f t="shared" ref="L178" si="105">SUM(L168:L177)</f>
        <v>0</v>
      </c>
      <c r="M178" s="1477">
        <f t="shared" ref="M178" si="106">SUM(M168:M177)</f>
        <v>0</v>
      </c>
      <c r="N178" s="1477">
        <f t="shared" ref="N178" si="107">SUM(N168:N177)</f>
        <v>0</v>
      </c>
      <c r="O178" s="1477">
        <f t="shared" ref="O178" si="108">SUM(O168:O177)</f>
        <v>0</v>
      </c>
      <c r="P178" s="1477">
        <f t="shared" ref="P178" si="109">SUM(P168:P177)</f>
        <v>0</v>
      </c>
      <c r="Q178" s="1477">
        <f t="shared" ref="Q178" si="110">SUM(Q168:Q177)</f>
        <v>0</v>
      </c>
      <c r="R178" s="1483">
        <f>SUM(R168:R177)</f>
        <v>0</v>
      </c>
      <c r="S178" s="1596"/>
      <c r="T178" s="1597"/>
      <c r="U178" s="1208"/>
      <c r="V178" s="1641"/>
      <c r="W178" s="1643"/>
      <c r="X178" s="1590"/>
    </row>
    <row r="179" spans="2:24" ht="17.399999999999999" thickBot="1">
      <c r="B179" s="234"/>
      <c r="C179" s="127"/>
      <c r="D179" s="1552"/>
      <c r="E179" s="1609"/>
      <c r="F179" s="1612"/>
      <c r="G179" s="18"/>
      <c r="H179" s="18"/>
      <c r="I179" s="18"/>
      <c r="J179" s="788"/>
      <c r="K179" s="18"/>
      <c r="L179" s="1614"/>
      <c r="M179" s="1477"/>
      <c r="N179" s="1477"/>
      <c r="O179" s="1477"/>
      <c r="P179" s="1477"/>
      <c r="Q179" s="1477"/>
      <c r="R179" s="1483"/>
      <c r="S179" s="1596"/>
      <c r="T179" s="1597"/>
      <c r="U179" s="1209"/>
      <c r="V179" s="1642"/>
      <c r="W179" s="1644"/>
      <c r="X179" s="1590"/>
    </row>
    <row r="180" spans="2:24" ht="57" customHeight="1">
      <c r="B180" s="792" t="s">
        <v>681</v>
      </c>
      <c r="C180" s="783"/>
      <c r="D180" s="1619" t="e" vm="6">
        <v>#VALUE!</v>
      </c>
      <c r="E180" s="1620"/>
      <c r="F180" s="784" t="s">
        <v>296</v>
      </c>
      <c r="G180" s="784" t="s">
        <v>272</v>
      </c>
      <c r="H180" s="784" t="s">
        <v>300</v>
      </c>
      <c r="I180" s="784" t="s">
        <v>301</v>
      </c>
      <c r="J180" s="177" t="s">
        <v>652</v>
      </c>
      <c r="K180" s="785" t="s">
        <v>653</v>
      </c>
      <c r="L180" s="785" t="s">
        <v>654</v>
      </c>
      <c r="M180" s="785" t="s">
        <v>655</v>
      </c>
      <c r="N180" s="785" t="s">
        <v>656</v>
      </c>
      <c r="O180" s="785" t="s">
        <v>657</v>
      </c>
      <c r="P180" s="785" t="s">
        <v>658</v>
      </c>
      <c r="Q180" s="785" t="s">
        <v>659</v>
      </c>
      <c r="R180" s="786" t="s">
        <v>660</v>
      </c>
      <c r="S180" s="1594"/>
      <c r="T180" s="1595"/>
      <c r="U180" s="1200" t="s">
        <v>661</v>
      </c>
      <c r="V180" s="995" t="str" cm="1">
        <f t="array" ref="V180">_xlfn.XLOOKUP(U180&amp;Allgemein!$C$45,Fassadenpositionen[[#Headers],[WDVS:]]&amp;Fassadenpositionen[Position Fassade],Fassadenpositionen[WDVS:],"",0,1)</f>
        <v>Nein</v>
      </c>
      <c r="W180" s="995" t="str" cm="1">
        <f t="array" ref="W180">_xlfn.XLOOKUP(U180&amp;Allgemein!$C$61,Fassadenpositionen[[#Headers],[WDVS:]]&amp;Fassadenpositionen[Position Fassade],Fassadenpositionen[WDVS:],"",0,1)</f>
        <v>Nein</v>
      </c>
      <c r="X180" s="1004" t="str" cm="1">
        <f t="array" ref="X180">_xlfn.XLOOKUP(U180&amp;Allgemein!$C$77,Fassadenpositionen[[#Headers],[WDVS:]]&amp;Fassadenpositionen[Position Fassade],Fassadenpositionen[WDVS:],"",0,1)</f>
        <v>Nein</v>
      </c>
    </row>
    <row r="181" spans="2:24">
      <c r="B181" s="135" t="s">
        <v>662</v>
      </c>
      <c r="C181" s="18"/>
      <c r="D181" s="1552"/>
      <c r="E181" s="1609"/>
      <c r="F181" s="18"/>
      <c r="G181" s="18"/>
      <c r="H181" s="657"/>
      <c r="I181" s="657"/>
      <c r="J181" s="657"/>
      <c r="K181" s="657"/>
      <c r="L181" s="115">
        <f t="shared" ref="L181:L190" si="111">H181*I181+J181</f>
        <v>0</v>
      </c>
      <c r="M181" s="18">
        <f>SUMIF(Fenster!$D$10:$D$2160,Fassade!F181,Fenster!$J$10:$J$2160)</f>
        <v>0</v>
      </c>
      <c r="N181" s="18">
        <f>SUMIF(Fenster!$D$10:$D$2160,Fassade!F181,Fenster!$M$10:$M$2160)</f>
        <v>0</v>
      </c>
      <c r="O181" s="18">
        <f>SUMIFS(Fenster!$M$10:$M$2160,Fenster!$D$10:$D$2160,Fassade!F181,Fenster!$L$10:$L$2160,"&gt;2,5")</f>
        <v>0</v>
      </c>
      <c r="P181" s="18">
        <f>SUMIF(Fenster!$D$10:$D$2160,Fassade!F181,Fenster!$K$10:$K$2160)</f>
        <v>0</v>
      </c>
      <c r="Q181" s="18">
        <f t="shared" ref="Q181:Q190" si="112">L181-O181</f>
        <v>0</v>
      </c>
      <c r="R181" s="187">
        <f t="shared" ref="R181:R190" si="113">L181-N181</f>
        <v>0</v>
      </c>
      <c r="S181" s="1596"/>
      <c r="T181" s="1597"/>
      <c r="U181" s="1201" t="s">
        <v>663</v>
      </c>
      <c r="V181" s="997">
        <v>0</v>
      </c>
      <c r="W181" s="952">
        <v>0</v>
      </c>
      <c r="X181" s="988">
        <v>0</v>
      </c>
    </row>
    <row r="182" spans="2:24">
      <c r="B182" s="234" t="s">
        <v>664</v>
      </c>
      <c r="C182" s="18"/>
      <c r="D182" s="1552"/>
      <c r="E182" s="1609"/>
      <c r="F182" s="18"/>
      <c r="G182" s="18"/>
      <c r="H182" s="657"/>
      <c r="I182" s="657"/>
      <c r="J182" s="657"/>
      <c r="K182" s="657"/>
      <c r="L182" s="115">
        <f t="shared" si="111"/>
        <v>0</v>
      </c>
      <c r="M182" s="18">
        <f>SUMIF(Fenster!$D$10:$D$2160,Fassade!F182,Fenster!$J$10:$J$2160)</f>
        <v>0</v>
      </c>
      <c r="N182" s="18">
        <f>SUMIF(Fenster!$D$10:$D$2160,Fassade!F182,Fenster!$M$10:$M$2160)</f>
        <v>0</v>
      </c>
      <c r="O182" s="18">
        <f>SUMIFS(Fenster!$M$10:$M$2160,Fenster!$D$10:$D$2160,Fassade!F182,Fenster!$L$10:$L$2160,"&gt;2,5")</f>
        <v>0</v>
      </c>
      <c r="P182" s="18">
        <f>SUMIF(Fenster!$D$10:$D$2160,Fassade!F182,Fenster!$K$10:$K$2160)</f>
        <v>0</v>
      </c>
      <c r="Q182" s="18">
        <f t="shared" si="112"/>
        <v>0</v>
      </c>
      <c r="R182" s="187">
        <f t="shared" si="113"/>
        <v>0</v>
      </c>
      <c r="S182" s="1596"/>
      <c r="T182" s="1597"/>
      <c r="U182" s="1202" t="s">
        <v>665</v>
      </c>
      <c r="V182" s="998">
        <f>IF(V180="Ja",(Q191+V181)*$V$9,0)</f>
        <v>0</v>
      </c>
      <c r="W182" s="958">
        <f>IF(W180="Ja",(Q191+W181)*$V$9,0)</f>
        <v>0</v>
      </c>
      <c r="X182" s="999">
        <f>IF(X180="Ja",(Q191+X181)*$V$9,0)</f>
        <v>0</v>
      </c>
    </row>
    <row r="183" spans="2:24">
      <c r="B183" s="234" t="s">
        <v>666</v>
      </c>
      <c r="C183" s="208"/>
      <c r="D183" s="1552"/>
      <c r="E183" s="1609"/>
      <c r="F183" s="18"/>
      <c r="G183" s="18"/>
      <c r="H183" s="657"/>
      <c r="I183" s="657"/>
      <c r="J183" s="657"/>
      <c r="K183" s="657"/>
      <c r="L183" s="115">
        <f t="shared" si="111"/>
        <v>0</v>
      </c>
      <c r="M183" s="18">
        <f>SUMIF(Fenster!$D$10:$D$2160,Fassade!F183,Fenster!$J$10:$J$2160)</f>
        <v>0</v>
      </c>
      <c r="N183" s="18">
        <f>SUMIF(Fenster!$D$10:$D$2160,Fassade!F183,Fenster!$M$10:$M$2160)</f>
        <v>0</v>
      </c>
      <c r="O183" s="18">
        <f>SUMIFS(Fenster!$M$10:$M$2160,Fenster!$D$10:$D$2160,Fassade!F183,Fenster!$L$10:$L$2160,"&gt;2,5")</f>
        <v>0</v>
      </c>
      <c r="P183" s="18">
        <f>SUMIF(Fenster!$D$10:$D$2160,Fassade!F183,Fenster!$K$10:$K$2160)</f>
        <v>0</v>
      </c>
      <c r="Q183" s="18">
        <f t="shared" si="112"/>
        <v>0</v>
      </c>
      <c r="R183" s="187">
        <f t="shared" si="113"/>
        <v>0</v>
      </c>
      <c r="S183" s="1596"/>
      <c r="T183" s="1597"/>
      <c r="U183" s="1203" t="s">
        <v>667</v>
      </c>
      <c r="V183" s="998">
        <f>IF(V180="Ja",(R191+V181)*$V$9,0)</f>
        <v>0</v>
      </c>
      <c r="W183" s="958">
        <f>IF(W180="Ja",(R191+W181)*$V$9,0)</f>
        <v>0</v>
      </c>
      <c r="X183" s="999">
        <f>IF(X180="Ja",(R191+X181)*$V$9,0)</f>
        <v>0</v>
      </c>
    </row>
    <row r="184" spans="2:24">
      <c r="B184" s="234" t="s">
        <v>668</v>
      </c>
      <c r="C184" s="208"/>
      <c r="D184" s="1552"/>
      <c r="E184" s="1609"/>
      <c r="F184" s="18"/>
      <c r="G184" s="18"/>
      <c r="H184" s="657"/>
      <c r="I184" s="657"/>
      <c r="J184" s="657"/>
      <c r="K184" s="657"/>
      <c r="L184" s="115">
        <f t="shared" si="111"/>
        <v>0</v>
      </c>
      <c r="M184" s="18">
        <f>SUMIF(Fenster!$D$10:$D$2160,Fassade!F184,Fenster!$J$10:$J$2160)</f>
        <v>0</v>
      </c>
      <c r="N184" s="18">
        <f>SUMIF(Fenster!$D$10:$D$2160,Fassade!F184,Fenster!$M$10:$M$2160)</f>
        <v>0</v>
      </c>
      <c r="O184" s="18">
        <f>SUMIFS(Fenster!$M$10:$M$2160,Fenster!$D$10:$D$2160,Fassade!F184,Fenster!$L$10:$L$2160,"&gt;2,5")</f>
        <v>0</v>
      </c>
      <c r="P184" s="18">
        <f>SUMIF(Fenster!$D$10:$D$2160,Fassade!F184,Fenster!$K$10:$K$2160)</f>
        <v>0</v>
      </c>
      <c r="Q184" s="18">
        <f t="shared" si="112"/>
        <v>0</v>
      </c>
      <c r="R184" s="187">
        <f t="shared" si="113"/>
        <v>0</v>
      </c>
      <c r="S184" s="1596"/>
      <c r="T184" s="1597"/>
      <c r="U184" s="1204" t="s">
        <v>669</v>
      </c>
      <c r="V184" s="958" t="str">
        <f>Allgemein!$D$45</f>
        <v>-</v>
      </c>
      <c r="W184" s="958" t="str">
        <f>Allgemein!$D$61</f>
        <v>-</v>
      </c>
      <c r="X184" s="1000" t="str">
        <f>Allgemein!$D$77</f>
        <v>-</v>
      </c>
    </row>
    <row r="185" spans="2:24">
      <c r="B185" s="234" t="s">
        <v>670</v>
      </c>
      <c r="C185" s="208"/>
      <c r="D185" s="1552"/>
      <c r="E185" s="1609"/>
      <c r="F185" s="18"/>
      <c r="G185" s="18"/>
      <c r="H185" s="657"/>
      <c r="I185" s="657"/>
      <c r="J185" s="657"/>
      <c r="K185" s="657"/>
      <c r="L185" s="115">
        <f t="shared" si="111"/>
        <v>0</v>
      </c>
      <c r="M185" s="18">
        <f>SUMIF(Fenster!$D$10:$D$2160,Fassade!F185,Fenster!$J$10:$J$2160)</f>
        <v>0</v>
      </c>
      <c r="N185" s="18">
        <f>SUMIF(Fenster!$D$10:$D$2160,Fassade!F185,Fenster!$M$10:$M$2160)</f>
        <v>0</v>
      </c>
      <c r="O185" s="18">
        <f>SUMIFS(Fenster!$M$10:$M$2160,Fenster!$D$10:$D$2160,Fassade!F185,Fenster!$L$10:$L$2160,"&gt;2,5")</f>
        <v>0</v>
      </c>
      <c r="P185" s="18">
        <f>SUMIF(Fenster!$D$10:$D$2160,Fassade!F185,Fenster!$K$10:$K$2160)</f>
        <v>0</v>
      </c>
      <c r="Q185" s="18">
        <f t="shared" si="112"/>
        <v>0</v>
      </c>
      <c r="R185" s="187">
        <f t="shared" si="113"/>
        <v>0</v>
      </c>
      <c r="S185" s="1596"/>
      <c r="T185" s="1597"/>
      <c r="U185" s="1205" t="s">
        <v>671</v>
      </c>
      <c r="V185" s="1640"/>
      <c r="W185" s="1586"/>
      <c r="X185" s="1589"/>
    </row>
    <row r="186" spans="2:24">
      <c r="B186" s="234" t="s">
        <v>672</v>
      </c>
      <c r="C186" s="121"/>
      <c r="D186" s="1552"/>
      <c r="E186" s="1609"/>
      <c r="F186" s="18"/>
      <c r="G186" s="18"/>
      <c r="H186" s="657"/>
      <c r="I186" s="657"/>
      <c r="J186" s="657"/>
      <c r="K186" s="657"/>
      <c r="L186" s="115">
        <f t="shared" si="111"/>
        <v>0</v>
      </c>
      <c r="M186" s="18">
        <f>SUMIF(Fenster!$D$10:$D$2160,Fassade!F186,Fenster!$J$10:$J$2160)</f>
        <v>0</v>
      </c>
      <c r="N186" s="18">
        <f>SUMIF(Fenster!$D$10:$D$2160,Fassade!F186,Fenster!$M$10:$M$2160)</f>
        <v>0</v>
      </c>
      <c r="O186" s="18">
        <f>SUMIFS(Fenster!$M$10:$M$2160,Fenster!$D$10:$D$2160,Fassade!F186,Fenster!$L$10:$L$2160,"&gt;2,5")</f>
        <v>0</v>
      </c>
      <c r="P186" s="18">
        <f>SUMIF(Fenster!$D$10:$D$2160,Fassade!F186,Fenster!$K$10:$K$2160)</f>
        <v>0</v>
      </c>
      <c r="Q186" s="18">
        <f t="shared" si="112"/>
        <v>0</v>
      </c>
      <c r="R186" s="187">
        <f t="shared" si="113"/>
        <v>0</v>
      </c>
      <c r="S186" s="1596"/>
      <c r="T186" s="1597"/>
      <c r="U186" s="1206"/>
      <c r="V186" s="1641"/>
      <c r="W186" s="1643"/>
      <c r="X186" s="1590"/>
    </row>
    <row r="187" spans="2:24">
      <c r="B187" s="234"/>
      <c r="C187" s="121"/>
      <c r="D187" s="1552"/>
      <c r="E187" s="1609"/>
      <c r="F187" s="18"/>
      <c r="G187" s="18"/>
      <c r="H187" s="657"/>
      <c r="I187" s="657"/>
      <c r="J187" s="657"/>
      <c r="K187" s="657"/>
      <c r="L187" s="115">
        <f t="shared" si="111"/>
        <v>0</v>
      </c>
      <c r="M187" s="18">
        <f>SUMIF(Fenster!$D$10:$D$2160,Fassade!F187,Fenster!$J$10:$J$2160)</f>
        <v>0</v>
      </c>
      <c r="N187" s="18">
        <f>SUMIF(Fenster!$D$10:$D$2160,Fassade!F187,Fenster!$M$10:$M$2160)</f>
        <v>0</v>
      </c>
      <c r="O187" s="18">
        <f>SUMIFS(Fenster!$M$10:$M$2160,Fenster!$D$10:$D$2160,Fassade!F187,Fenster!$L$10:$L$2160,"&gt;2,5")</f>
        <v>0</v>
      </c>
      <c r="P187" s="18">
        <f>SUMIF(Fenster!$D$10:$D$2160,Fassade!F187,Fenster!$K$10:$K$2160)</f>
        <v>0</v>
      </c>
      <c r="Q187" s="18">
        <f t="shared" si="112"/>
        <v>0</v>
      </c>
      <c r="R187" s="187">
        <f t="shared" si="113"/>
        <v>0</v>
      </c>
      <c r="S187" s="1596"/>
      <c r="T187" s="1597"/>
      <c r="U187" s="1206"/>
      <c r="V187" s="1641"/>
      <c r="W187" s="1643"/>
      <c r="X187" s="1590"/>
    </row>
    <row r="188" spans="2:24">
      <c r="B188" s="234"/>
      <c r="C188" s="127"/>
      <c r="D188" s="1552"/>
      <c r="E188" s="1609"/>
      <c r="F188" s="18"/>
      <c r="G188" s="18"/>
      <c r="H188" s="657"/>
      <c r="I188" s="657"/>
      <c r="J188" s="657"/>
      <c r="K188" s="657"/>
      <c r="L188" s="115">
        <f t="shared" si="111"/>
        <v>0</v>
      </c>
      <c r="M188" s="18">
        <f>SUMIF(Fenster!$D$10:$D$2160,Fassade!F188,Fenster!$J$10:$J$2160)</f>
        <v>0</v>
      </c>
      <c r="N188" s="18">
        <f>SUMIF(Fenster!$D$10:$D$2160,Fassade!F188,Fenster!$M$10:$M$2160)</f>
        <v>0</v>
      </c>
      <c r="O188" s="18">
        <f>SUMIFS(Fenster!$M$10:$M$2160,Fenster!$D$10:$D$2160,Fassade!F188,Fenster!$L$10:$L$2160,"&gt;2,5")</f>
        <v>0</v>
      </c>
      <c r="P188" s="18">
        <f>SUMIF(Fenster!$D$10:$D$2160,Fassade!F188,Fenster!$K$10:$K$2160)</f>
        <v>0</v>
      </c>
      <c r="Q188" s="18">
        <f t="shared" si="112"/>
        <v>0</v>
      </c>
      <c r="R188" s="187">
        <f t="shared" si="113"/>
        <v>0</v>
      </c>
      <c r="S188" s="1596"/>
      <c r="T188" s="1597"/>
      <c r="U188" s="1207"/>
      <c r="V188" s="1641"/>
      <c r="W188" s="1643"/>
      <c r="X188" s="1590"/>
    </row>
    <row r="189" spans="2:24">
      <c r="B189" s="234"/>
      <c r="C189" s="121"/>
      <c r="D189" s="1552"/>
      <c r="E189" s="1609"/>
      <c r="F189" s="18"/>
      <c r="G189" s="18"/>
      <c r="H189" s="657"/>
      <c r="I189" s="657"/>
      <c r="J189" s="657"/>
      <c r="K189" s="657"/>
      <c r="L189" s="115">
        <f t="shared" si="111"/>
        <v>0</v>
      </c>
      <c r="M189" s="18">
        <f>SUMIF(Fenster!$D$10:$D$2160,Fassade!F189,Fenster!$J$10:$J$2160)</f>
        <v>0</v>
      </c>
      <c r="N189" s="18">
        <f>SUMIF(Fenster!$D$10:$D$2160,Fassade!F189,Fenster!$M$10:$M$2160)</f>
        <v>0</v>
      </c>
      <c r="O189" s="18">
        <f>SUMIFS(Fenster!$M$10:$M$2160,Fenster!$D$10:$D$2160,Fassade!F189,Fenster!$L$10:$L$2160,"&gt;2,5")</f>
        <v>0</v>
      </c>
      <c r="P189" s="18">
        <f>SUMIF(Fenster!$D$10:$D$2160,Fassade!F189,Fenster!$K$10:$K$2160)</f>
        <v>0</v>
      </c>
      <c r="Q189" s="18">
        <f t="shared" si="112"/>
        <v>0</v>
      </c>
      <c r="R189" s="187">
        <f t="shared" si="113"/>
        <v>0</v>
      </c>
      <c r="S189" s="1596"/>
      <c r="T189" s="1597"/>
      <c r="U189" s="1207"/>
      <c r="V189" s="1641"/>
      <c r="W189" s="1643"/>
      <c r="X189" s="1590"/>
    </row>
    <row r="190" spans="2:24">
      <c r="B190" s="234"/>
      <c r="C190" s="121"/>
      <c r="D190" s="1552"/>
      <c r="E190" s="1609"/>
      <c r="F190" s="18"/>
      <c r="G190" s="18"/>
      <c r="H190" s="657"/>
      <c r="I190" s="657"/>
      <c r="J190" s="657"/>
      <c r="K190" s="657"/>
      <c r="L190" s="115">
        <f t="shared" si="111"/>
        <v>0</v>
      </c>
      <c r="M190" s="18">
        <f>SUMIF(Fenster!$D$10:$D$2160,Fassade!F190,Fenster!$J$10:$J$2160)</f>
        <v>0</v>
      </c>
      <c r="N190" s="18">
        <f>SUMIF(Fenster!$D$10:$D$2160,Fassade!F190,Fenster!$M$10:$M$2160)</f>
        <v>0</v>
      </c>
      <c r="O190" s="18">
        <f>SUMIFS(Fenster!$M$10:$M$2160,Fenster!$D$10:$D$2160,Fassade!F190,Fenster!$L$10:$L$2160,"&gt;2,5")</f>
        <v>0</v>
      </c>
      <c r="P190" s="18">
        <f>SUMIF(Fenster!$D$10:$D$2160,Fassade!F190,Fenster!$K$10:$K$2160)</f>
        <v>0</v>
      </c>
      <c r="Q190" s="18">
        <f t="shared" si="112"/>
        <v>0</v>
      </c>
      <c r="R190" s="187">
        <f t="shared" si="113"/>
        <v>0</v>
      </c>
      <c r="S190" s="1596"/>
      <c r="T190" s="1597"/>
      <c r="U190" s="1206"/>
      <c r="V190" s="1641"/>
      <c r="W190" s="1643"/>
      <c r="X190" s="1590"/>
    </row>
    <row r="191" spans="2:24">
      <c r="B191" s="234"/>
      <c r="C191" s="121"/>
      <c r="D191" s="1552"/>
      <c r="E191" s="1609"/>
      <c r="F191" s="1612" t="s">
        <v>187</v>
      </c>
      <c r="G191" s="18"/>
      <c r="H191" s="657"/>
      <c r="I191" s="657"/>
      <c r="J191" s="657"/>
      <c r="K191" s="657"/>
      <c r="L191" s="1614">
        <f t="shared" ref="L191" si="114">SUM(L181:L190)</f>
        <v>0</v>
      </c>
      <c r="M191" s="1477">
        <f t="shared" ref="M191" si="115">SUM(M181:M190)</f>
        <v>0</v>
      </c>
      <c r="N191" s="1477">
        <f t="shared" ref="N191" si="116">SUM(N181:N190)</f>
        <v>0</v>
      </c>
      <c r="O191" s="1477">
        <f t="shared" ref="O191" si="117">SUM(O181:O190)</f>
        <v>0</v>
      </c>
      <c r="P191" s="1477">
        <f t="shared" ref="P191" si="118">SUM(P181:P190)</f>
        <v>0</v>
      </c>
      <c r="Q191" s="1477">
        <f t="shared" ref="Q191" si="119">SUM(Q181:Q190)</f>
        <v>0</v>
      </c>
      <c r="R191" s="1483">
        <f>SUM(R181:R190)</f>
        <v>0</v>
      </c>
      <c r="S191" s="1596"/>
      <c r="T191" s="1597"/>
      <c r="U191" s="1208"/>
      <c r="V191" s="1641"/>
      <c r="W191" s="1643"/>
      <c r="X191" s="1590"/>
    </row>
    <row r="192" spans="2:24" ht="17.399999999999999" thickBot="1">
      <c r="B192" s="789"/>
      <c r="C192" s="787"/>
      <c r="D192" s="1610"/>
      <c r="E192" s="1611"/>
      <c r="F192" s="1613"/>
      <c r="G192" s="788"/>
      <c r="H192" s="788"/>
      <c r="I192" s="788"/>
      <c r="J192" s="788"/>
      <c r="K192" s="788"/>
      <c r="L192" s="1615"/>
      <c r="M192" s="1592"/>
      <c r="N192" s="1592"/>
      <c r="O192" s="1592"/>
      <c r="P192" s="1592"/>
      <c r="Q192" s="1592"/>
      <c r="R192" s="1605"/>
      <c r="S192" s="1598"/>
      <c r="T192" s="1599"/>
      <c r="U192" s="1209"/>
      <c r="V192" s="1642"/>
      <c r="W192" s="1644"/>
      <c r="X192" s="1590"/>
    </row>
    <row r="193" spans="2:24" ht="57" customHeight="1">
      <c r="B193" s="135" t="s">
        <v>681</v>
      </c>
      <c r="C193" s="127"/>
      <c r="D193" s="1552" t="e" vm="6">
        <v>#VALUE!</v>
      </c>
      <c r="E193" s="1609"/>
      <c r="F193" s="229" t="s">
        <v>296</v>
      </c>
      <c r="G193" s="229" t="s">
        <v>272</v>
      </c>
      <c r="H193" s="229" t="s">
        <v>300</v>
      </c>
      <c r="I193" s="229" t="s">
        <v>301</v>
      </c>
      <c r="J193" s="177" t="s">
        <v>652</v>
      </c>
      <c r="K193" s="177" t="s">
        <v>653</v>
      </c>
      <c r="L193" s="177" t="s">
        <v>654</v>
      </c>
      <c r="M193" s="177" t="s">
        <v>655</v>
      </c>
      <c r="N193" s="177" t="s">
        <v>656</v>
      </c>
      <c r="O193" s="177" t="s">
        <v>657</v>
      </c>
      <c r="P193" s="177" t="s">
        <v>658</v>
      </c>
      <c r="Q193" s="177" t="s">
        <v>659</v>
      </c>
      <c r="R193" s="713" t="s">
        <v>660</v>
      </c>
      <c r="S193" s="1604"/>
      <c r="T193" s="1595"/>
      <c r="U193" s="1200" t="s">
        <v>661</v>
      </c>
      <c r="V193" s="995" t="str" cm="1">
        <f t="array" ref="V193">_xlfn.XLOOKUP(U193&amp;Allgemein!$C$45,Fassadenpositionen[[#Headers],[WDVS:]]&amp;Fassadenpositionen[Position Fassade],Fassadenpositionen[WDVS:],"",0,1)</f>
        <v>Nein</v>
      </c>
      <c r="W193" s="995" t="str" cm="1">
        <f t="array" ref="W193">_xlfn.XLOOKUP(U193&amp;Allgemein!$C$61,Fassadenpositionen[[#Headers],[WDVS:]]&amp;Fassadenpositionen[Position Fassade],Fassadenpositionen[WDVS:],"",0,1)</f>
        <v>Nein</v>
      </c>
      <c r="X193" s="1004" t="str" cm="1">
        <f t="array" ref="X193">_xlfn.XLOOKUP(U193&amp;Allgemein!$C$77,Fassadenpositionen[[#Headers],[WDVS:]]&amp;Fassadenpositionen[Position Fassade],Fassadenpositionen[WDVS:],"",0,1)</f>
        <v>Nein</v>
      </c>
    </row>
    <row r="194" spans="2:24">
      <c r="B194" s="135" t="s">
        <v>662</v>
      </c>
      <c r="C194" s="18"/>
      <c r="D194" s="1552"/>
      <c r="E194" s="1609"/>
      <c r="F194" s="18"/>
      <c r="G194" s="18"/>
      <c r="H194" s="657"/>
      <c r="I194" s="657"/>
      <c r="J194" s="657"/>
      <c r="K194" s="657"/>
      <c r="L194" s="115">
        <f t="shared" ref="L194:L203" si="120">H194*I194+J194</f>
        <v>0</v>
      </c>
      <c r="M194" s="18">
        <f>SUMIF(Fenster!$D$10:$D$2160,Fassade!F194,Fenster!$J$10:$J$2160)</f>
        <v>0</v>
      </c>
      <c r="N194" s="18">
        <f>SUMIF(Fenster!$D$10:$D$2160,Fassade!F194,Fenster!$M$10:$M$2160)</f>
        <v>0</v>
      </c>
      <c r="O194" s="18">
        <f>SUMIFS(Fenster!$M$10:$M$2160,Fenster!$D$10:$D$2160,Fassade!F194,Fenster!$L$10:$L$2160,"&gt;2,5")</f>
        <v>0</v>
      </c>
      <c r="P194" s="18">
        <f>SUMIF(Fenster!$D$10:$D$2160,Fassade!F194,Fenster!$K$10:$K$2160)</f>
        <v>0</v>
      </c>
      <c r="Q194" s="18">
        <f t="shared" ref="Q194:Q203" si="121">L194-O194</f>
        <v>0</v>
      </c>
      <c r="R194" s="187">
        <f t="shared" ref="R194:R203" si="122">L194-N194</f>
        <v>0</v>
      </c>
      <c r="S194" s="1602"/>
      <c r="T194" s="1597"/>
      <c r="U194" s="1201" t="s">
        <v>663</v>
      </c>
      <c r="V194" s="997">
        <v>0</v>
      </c>
      <c r="W194" s="952">
        <v>0</v>
      </c>
      <c r="X194" s="988">
        <v>0</v>
      </c>
    </row>
    <row r="195" spans="2:24">
      <c r="B195" s="234" t="s">
        <v>664</v>
      </c>
      <c r="C195" s="18"/>
      <c r="D195" s="1552"/>
      <c r="E195" s="1609"/>
      <c r="F195" s="18"/>
      <c r="G195" s="18"/>
      <c r="H195" s="657"/>
      <c r="I195" s="657"/>
      <c r="J195" s="657"/>
      <c r="K195" s="657"/>
      <c r="L195" s="115">
        <f t="shared" si="120"/>
        <v>0</v>
      </c>
      <c r="M195" s="18">
        <f>SUMIF(Fenster!$D$10:$D$2160,Fassade!F195,Fenster!$J$10:$J$2160)</f>
        <v>0</v>
      </c>
      <c r="N195" s="18">
        <f>SUMIF(Fenster!$D$10:$D$2160,Fassade!F195,Fenster!$M$10:$M$2160)</f>
        <v>0</v>
      </c>
      <c r="O195" s="18">
        <f>SUMIFS(Fenster!$M$10:$M$2160,Fenster!$D$10:$D$2160,Fassade!F195,Fenster!$L$10:$L$2160,"&gt;2,5")</f>
        <v>0</v>
      </c>
      <c r="P195" s="18">
        <f>SUMIF(Fenster!$D$10:$D$2160,Fassade!F195,Fenster!$K$10:$K$2160)</f>
        <v>0</v>
      </c>
      <c r="Q195" s="18">
        <f t="shared" si="121"/>
        <v>0</v>
      </c>
      <c r="R195" s="187">
        <f t="shared" si="122"/>
        <v>0</v>
      </c>
      <c r="S195" s="1602"/>
      <c r="T195" s="1597"/>
      <c r="U195" s="1202" t="s">
        <v>665</v>
      </c>
      <c r="V195" s="998">
        <f>IF(V193="Ja",(Q204+V194)*$V$9,0)</f>
        <v>0</v>
      </c>
      <c r="W195" s="958">
        <f>IF(W193="Ja",(Q204+W194)*$V$9,0)</f>
        <v>0</v>
      </c>
      <c r="X195" s="999">
        <f>IF(X193="Ja",(Q204+X194)*$V$9,0)</f>
        <v>0</v>
      </c>
    </row>
    <row r="196" spans="2:24">
      <c r="B196" s="234" t="s">
        <v>666</v>
      </c>
      <c r="C196" s="208"/>
      <c r="D196" s="1552"/>
      <c r="E196" s="1609"/>
      <c r="F196" s="18"/>
      <c r="G196" s="18"/>
      <c r="H196" s="657"/>
      <c r="I196" s="657"/>
      <c r="J196" s="657"/>
      <c r="K196" s="657"/>
      <c r="L196" s="115">
        <f t="shared" si="120"/>
        <v>0</v>
      </c>
      <c r="M196" s="18">
        <f>SUMIF(Fenster!$D$10:$D$2160,Fassade!F196,Fenster!$J$10:$J$2160)</f>
        <v>0</v>
      </c>
      <c r="N196" s="18">
        <f>SUMIF(Fenster!$D$10:$D$2160,Fassade!F196,Fenster!$M$10:$M$2160)</f>
        <v>0</v>
      </c>
      <c r="O196" s="18">
        <f>SUMIFS(Fenster!$M$10:$M$2160,Fenster!$D$10:$D$2160,Fassade!F196,Fenster!$L$10:$L$2160,"&gt;2,5")</f>
        <v>0</v>
      </c>
      <c r="P196" s="18">
        <f>SUMIF(Fenster!$D$10:$D$2160,Fassade!F196,Fenster!$K$10:$K$2160)</f>
        <v>0</v>
      </c>
      <c r="Q196" s="18">
        <f t="shared" si="121"/>
        <v>0</v>
      </c>
      <c r="R196" s="187">
        <f t="shared" si="122"/>
        <v>0</v>
      </c>
      <c r="S196" s="1602"/>
      <c r="T196" s="1597"/>
      <c r="U196" s="1203" t="s">
        <v>667</v>
      </c>
      <c r="V196" s="998">
        <f>IF(V193="Ja",(R204+V194)*$V$9,0)</f>
        <v>0</v>
      </c>
      <c r="W196" s="958">
        <f>IF(W193="Ja",(R204+W194)*$V$9,0)</f>
        <v>0</v>
      </c>
      <c r="X196" s="999">
        <f>IF(X193="Ja",(R204+X194)*$V$9,0)</f>
        <v>0</v>
      </c>
    </row>
    <row r="197" spans="2:24">
      <c r="B197" s="234" t="s">
        <v>668</v>
      </c>
      <c r="C197" s="208"/>
      <c r="D197" s="1552"/>
      <c r="E197" s="1609"/>
      <c r="F197" s="18"/>
      <c r="G197" s="18"/>
      <c r="H197" s="657"/>
      <c r="I197" s="657"/>
      <c r="J197" s="657"/>
      <c r="K197" s="657"/>
      <c r="L197" s="115">
        <f t="shared" si="120"/>
        <v>0</v>
      </c>
      <c r="M197" s="18">
        <f>SUMIF(Fenster!$D$10:$D$2160,Fassade!F197,Fenster!$J$10:$J$2160)</f>
        <v>0</v>
      </c>
      <c r="N197" s="18">
        <f>SUMIF(Fenster!$D$10:$D$2160,Fassade!F197,Fenster!$M$10:$M$2160)</f>
        <v>0</v>
      </c>
      <c r="O197" s="18">
        <f>SUMIFS(Fenster!$M$10:$M$2160,Fenster!$D$10:$D$2160,Fassade!F197,Fenster!$L$10:$L$2160,"&gt;2,5")</f>
        <v>0</v>
      </c>
      <c r="P197" s="18">
        <f>SUMIF(Fenster!$D$10:$D$2160,Fassade!F197,Fenster!$K$10:$K$2160)</f>
        <v>0</v>
      </c>
      <c r="Q197" s="18">
        <f t="shared" si="121"/>
        <v>0</v>
      </c>
      <c r="R197" s="187">
        <f t="shared" si="122"/>
        <v>0</v>
      </c>
      <c r="S197" s="1602"/>
      <c r="T197" s="1606"/>
      <c r="U197" s="1204" t="s">
        <v>669</v>
      </c>
      <c r="V197" s="958" t="str">
        <f>Allgemein!$D$45</f>
        <v>-</v>
      </c>
      <c r="W197" s="958" t="str">
        <f>Allgemein!$D$61</f>
        <v>-</v>
      </c>
      <c r="X197" s="1000" t="str">
        <f>Allgemein!$D$77</f>
        <v>-</v>
      </c>
    </row>
    <row r="198" spans="2:24">
      <c r="B198" s="234" t="s">
        <v>670</v>
      </c>
      <c r="C198" s="208"/>
      <c r="D198" s="1552"/>
      <c r="E198" s="1609"/>
      <c r="F198" s="18"/>
      <c r="G198" s="18"/>
      <c r="H198" s="657"/>
      <c r="I198" s="657"/>
      <c r="J198" s="657"/>
      <c r="K198" s="657"/>
      <c r="L198" s="115">
        <f t="shared" si="120"/>
        <v>0</v>
      </c>
      <c r="M198" s="18">
        <f>SUMIF(Fenster!$D$10:$D$2160,Fassade!F198,Fenster!$J$10:$J$2160)</f>
        <v>0</v>
      </c>
      <c r="N198" s="18">
        <f>SUMIF(Fenster!$D$10:$D$2160,Fassade!F198,Fenster!$M$10:$M$2160)</f>
        <v>0</v>
      </c>
      <c r="O198" s="18">
        <f>SUMIFS(Fenster!$M$10:$M$2160,Fenster!$D$10:$D$2160,Fassade!F198,Fenster!$L$10:$L$2160,"&gt;2,5")</f>
        <v>0</v>
      </c>
      <c r="P198" s="18">
        <f>SUMIF(Fenster!$D$10:$D$2160,Fassade!F198,Fenster!$K$10:$K$2160)</f>
        <v>0</v>
      </c>
      <c r="Q198" s="18">
        <f t="shared" si="121"/>
        <v>0</v>
      </c>
      <c r="R198" s="187">
        <f t="shared" si="122"/>
        <v>0</v>
      </c>
      <c r="S198" s="1602"/>
      <c r="T198" s="1606"/>
      <c r="U198" s="1205" t="s">
        <v>671</v>
      </c>
      <c r="V198" s="1640"/>
      <c r="W198" s="1586"/>
      <c r="X198" s="1589"/>
    </row>
    <row r="199" spans="2:24">
      <c r="B199" s="234" t="s">
        <v>672</v>
      </c>
      <c r="C199" s="121"/>
      <c r="D199" s="1552"/>
      <c r="E199" s="1609"/>
      <c r="F199" s="18"/>
      <c r="G199" s="18"/>
      <c r="H199" s="657"/>
      <c r="I199" s="657"/>
      <c r="J199" s="657"/>
      <c r="K199" s="657"/>
      <c r="L199" s="115">
        <f t="shared" si="120"/>
        <v>0</v>
      </c>
      <c r="M199" s="18">
        <f>SUMIF(Fenster!$D$10:$D$2160,Fassade!F199,Fenster!$J$10:$J$2160)</f>
        <v>0</v>
      </c>
      <c r="N199" s="18">
        <f>SUMIF(Fenster!$D$10:$D$2160,Fassade!F199,Fenster!$M$10:$M$2160)</f>
        <v>0</v>
      </c>
      <c r="O199" s="18">
        <f>SUMIFS(Fenster!$M$10:$M$2160,Fenster!$D$10:$D$2160,Fassade!F199,Fenster!$L$10:$L$2160,"&gt;2,5")</f>
        <v>0</v>
      </c>
      <c r="P199" s="18">
        <f>SUMIF(Fenster!$D$10:$D$2160,Fassade!F199,Fenster!$K$10:$K$2160)</f>
        <v>0</v>
      </c>
      <c r="Q199" s="18">
        <f t="shared" si="121"/>
        <v>0</v>
      </c>
      <c r="R199" s="187">
        <f t="shared" si="122"/>
        <v>0</v>
      </c>
      <c r="S199" s="1602"/>
      <c r="T199" s="1606"/>
      <c r="U199" s="1206"/>
      <c r="V199" s="1641"/>
      <c r="W199" s="1643"/>
      <c r="X199" s="1590"/>
    </row>
    <row r="200" spans="2:24">
      <c r="B200" s="234"/>
      <c r="C200" s="121"/>
      <c r="D200" s="1552"/>
      <c r="E200" s="1609"/>
      <c r="F200" s="18"/>
      <c r="G200" s="18"/>
      <c r="H200" s="657"/>
      <c r="I200" s="657"/>
      <c r="J200" s="657"/>
      <c r="K200" s="657"/>
      <c r="L200" s="115">
        <f t="shared" si="120"/>
        <v>0</v>
      </c>
      <c r="M200" s="18">
        <f>SUMIF(Fenster!$D$10:$D$2160,Fassade!F200,Fenster!$J$10:$J$2160)</f>
        <v>0</v>
      </c>
      <c r="N200" s="18">
        <f>SUMIF(Fenster!$D$10:$D$2160,Fassade!F200,Fenster!$M$10:$M$2160)</f>
        <v>0</v>
      </c>
      <c r="O200" s="18">
        <f>SUMIFS(Fenster!$M$10:$M$2160,Fenster!$D$10:$D$2160,Fassade!F200,Fenster!$L$10:$L$2160,"&gt;2,5")</f>
        <v>0</v>
      </c>
      <c r="P200" s="18">
        <f>SUMIF(Fenster!$D$10:$D$2160,Fassade!F200,Fenster!$K$10:$K$2160)</f>
        <v>0</v>
      </c>
      <c r="Q200" s="18">
        <f t="shared" si="121"/>
        <v>0</v>
      </c>
      <c r="R200" s="187">
        <f t="shared" si="122"/>
        <v>0</v>
      </c>
      <c r="S200" s="1602"/>
      <c r="T200" s="1606"/>
      <c r="U200" s="1206"/>
      <c r="V200" s="1641"/>
      <c r="W200" s="1643"/>
      <c r="X200" s="1590"/>
    </row>
    <row r="201" spans="2:24">
      <c r="B201" s="234"/>
      <c r="C201" s="127"/>
      <c r="D201" s="1552"/>
      <c r="E201" s="1609"/>
      <c r="F201" s="18"/>
      <c r="G201" s="18"/>
      <c r="H201" s="657"/>
      <c r="I201" s="657"/>
      <c r="J201" s="657"/>
      <c r="K201" s="657"/>
      <c r="L201" s="115">
        <f t="shared" si="120"/>
        <v>0</v>
      </c>
      <c r="M201" s="18">
        <f>SUMIF(Fenster!$D$10:$D$2160,Fassade!F201,Fenster!$J$10:$J$2160)</f>
        <v>0</v>
      </c>
      <c r="N201" s="18">
        <f>SUMIF(Fenster!$D$10:$D$2160,Fassade!F201,Fenster!$M$10:$M$2160)</f>
        <v>0</v>
      </c>
      <c r="O201" s="18">
        <f>SUMIFS(Fenster!$M$10:$M$2160,Fenster!$D$10:$D$2160,Fassade!F201,Fenster!$L$10:$L$2160,"&gt;2,5")</f>
        <v>0</v>
      </c>
      <c r="P201" s="18">
        <f>SUMIF(Fenster!$D$10:$D$2160,Fassade!F201,Fenster!$K$10:$K$2160)</f>
        <v>0</v>
      </c>
      <c r="Q201" s="18">
        <f t="shared" si="121"/>
        <v>0</v>
      </c>
      <c r="R201" s="187">
        <f t="shared" si="122"/>
        <v>0</v>
      </c>
      <c r="S201" s="1602"/>
      <c r="T201" s="1606"/>
      <c r="U201" s="1207"/>
      <c r="V201" s="1641"/>
      <c r="W201" s="1643"/>
      <c r="X201" s="1590"/>
    </row>
    <row r="202" spans="2:24">
      <c r="B202" s="234"/>
      <c r="C202" s="121"/>
      <c r="D202" s="1552"/>
      <c r="E202" s="1609"/>
      <c r="F202" s="18"/>
      <c r="G202" s="18"/>
      <c r="H202" s="657"/>
      <c r="I202" s="657"/>
      <c r="J202" s="657"/>
      <c r="K202" s="657"/>
      <c r="L202" s="115">
        <f t="shared" si="120"/>
        <v>0</v>
      </c>
      <c r="M202" s="18">
        <f>SUMIF(Fenster!$D$10:$D$2160,Fassade!F202,Fenster!$J$10:$J$2160)</f>
        <v>0</v>
      </c>
      <c r="N202" s="18">
        <f>SUMIF(Fenster!$D$10:$D$2160,Fassade!F202,Fenster!$M$10:$M$2160)</f>
        <v>0</v>
      </c>
      <c r="O202" s="18">
        <f>SUMIFS(Fenster!$M$10:$M$2160,Fenster!$D$10:$D$2160,Fassade!F202,Fenster!$L$10:$L$2160,"&gt;2,5")</f>
        <v>0</v>
      </c>
      <c r="P202" s="18">
        <f>SUMIF(Fenster!$D$10:$D$2160,Fassade!F202,Fenster!$K$10:$K$2160)</f>
        <v>0</v>
      </c>
      <c r="Q202" s="18">
        <f t="shared" si="121"/>
        <v>0</v>
      </c>
      <c r="R202" s="187">
        <f t="shared" si="122"/>
        <v>0</v>
      </c>
      <c r="S202" s="1602"/>
      <c r="T202" s="1606"/>
      <c r="U202" s="1207"/>
      <c r="V202" s="1641"/>
      <c r="W202" s="1643"/>
      <c r="X202" s="1590"/>
    </row>
    <row r="203" spans="2:24">
      <c r="B203" s="234"/>
      <c r="C203" s="121"/>
      <c r="D203" s="1552"/>
      <c r="E203" s="1609"/>
      <c r="F203" s="18"/>
      <c r="G203" s="18"/>
      <c r="H203" s="657"/>
      <c r="I203" s="657"/>
      <c r="J203" s="657"/>
      <c r="K203" s="657"/>
      <c r="L203" s="115">
        <f t="shared" si="120"/>
        <v>0</v>
      </c>
      <c r="M203" s="18">
        <f>SUMIF(Fenster!$D$10:$D$2160,Fassade!F203,Fenster!$J$10:$J$2160)</f>
        <v>0</v>
      </c>
      <c r="N203" s="18">
        <f>SUMIF(Fenster!$D$10:$D$2160,Fassade!F203,Fenster!$M$10:$M$2160)</f>
        <v>0</v>
      </c>
      <c r="O203" s="18">
        <f>SUMIFS(Fenster!$M$10:$M$2160,Fenster!$D$10:$D$2160,Fassade!F203,Fenster!$L$10:$L$2160,"&gt;2,5")</f>
        <v>0</v>
      </c>
      <c r="P203" s="18">
        <f>SUMIF(Fenster!$D$10:$D$2160,Fassade!F203,Fenster!$K$10:$K$2160)</f>
        <v>0</v>
      </c>
      <c r="Q203" s="18">
        <f t="shared" si="121"/>
        <v>0</v>
      </c>
      <c r="R203" s="187">
        <f t="shared" si="122"/>
        <v>0</v>
      </c>
      <c r="S203" s="1602"/>
      <c r="T203" s="1606"/>
      <c r="U203" s="1206"/>
      <c r="V203" s="1641"/>
      <c r="W203" s="1643"/>
      <c r="X203" s="1590"/>
    </row>
    <row r="204" spans="2:24">
      <c r="B204" s="234"/>
      <c r="C204" s="121"/>
      <c r="D204" s="1552"/>
      <c r="E204" s="1609"/>
      <c r="F204" s="1612" t="s">
        <v>187</v>
      </c>
      <c r="G204" s="18"/>
      <c r="H204" s="657"/>
      <c r="I204" s="657"/>
      <c r="J204" s="657"/>
      <c r="K204" s="657"/>
      <c r="L204" s="1614">
        <f t="shared" ref="L204" si="123">SUM(L194:L203)</f>
        <v>0</v>
      </c>
      <c r="M204" s="1477">
        <f t="shared" ref="M204" si="124">SUM(M194:M203)</f>
        <v>0</v>
      </c>
      <c r="N204" s="1477">
        <f t="shared" ref="N204" si="125">SUM(N194:N203)</f>
        <v>0</v>
      </c>
      <c r="O204" s="1477">
        <f t="shared" ref="O204" si="126">SUM(O194:O203)</f>
        <v>0</v>
      </c>
      <c r="P204" s="1477">
        <f t="shared" ref="P204" si="127">SUM(P194:P203)</f>
        <v>0</v>
      </c>
      <c r="Q204" s="1477">
        <f t="shared" ref="Q204" si="128">SUM(Q194:Q203)</f>
        <v>0</v>
      </c>
      <c r="R204" s="1483">
        <f>SUM(R194:R203)</f>
        <v>0</v>
      </c>
      <c r="S204" s="1602"/>
      <c r="T204" s="1606"/>
      <c r="U204" s="1208"/>
      <c r="V204" s="1641"/>
      <c r="W204" s="1643"/>
      <c r="X204" s="1590"/>
    </row>
    <row r="205" spans="2:24" ht="17.399999999999999" thickBot="1">
      <c r="B205" s="789"/>
      <c r="C205" s="787"/>
      <c r="D205" s="1610"/>
      <c r="E205" s="1611"/>
      <c r="F205" s="1613"/>
      <c r="G205" s="788"/>
      <c r="H205" s="788"/>
      <c r="I205" s="788"/>
      <c r="J205" s="788"/>
      <c r="K205" s="788"/>
      <c r="L205" s="1615"/>
      <c r="M205" s="1592"/>
      <c r="N205" s="1592"/>
      <c r="O205" s="1592"/>
      <c r="P205" s="1592"/>
      <c r="Q205" s="1592"/>
      <c r="R205" s="1605"/>
      <c r="S205" s="1603"/>
      <c r="T205" s="1607"/>
      <c r="U205" s="1209"/>
      <c r="V205" s="1642"/>
      <c r="W205" s="1644"/>
      <c r="X205" s="1590"/>
    </row>
    <row r="206" spans="2:24" ht="57" customHeight="1">
      <c r="B206" s="135" t="s">
        <v>682</v>
      </c>
      <c r="C206" s="123"/>
      <c r="D206" s="1552" t="e" vm="7">
        <v>#VALUE!</v>
      </c>
      <c r="E206" s="1609"/>
      <c r="F206" s="229" t="s">
        <v>296</v>
      </c>
      <c r="G206" s="229" t="s">
        <v>272</v>
      </c>
      <c r="H206" s="229" t="s">
        <v>300</v>
      </c>
      <c r="I206" s="229" t="s">
        <v>301</v>
      </c>
      <c r="J206" s="177" t="s">
        <v>652</v>
      </c>
      <c r="K206" s="177" t="s">
        <v>653</v>
      </c>
      <c r="L206" s="177" t="s">
        <v>654</v>
      </c>
      <c r="M206" s="177" t="s">
        <v>655</v>
      </c>
      <c r="N206" s="177" t="s">
        <v>656</v>
      </c>
      <c r="O206" s="177" t="s">
        <v>657</v>
      </c>
      <c r="P206" s="177" t="s">
        <v>658</v>
      </c>
      <c r="Q206" s="177" t="s">
        <v>659</v>
      </c>
      <c r="R206" s="713" t="s">
        <v>660</v>
      </c>
      <c r="S206" s="1600"/>
      <c r="T206" s="1606"/>
      <c r="U206" s="1200" t="s">
        <v>661</v>
      </c>
      <c r="V206" s="995" t="str" cm="1">
        <f t="array" ref="V206">_xlfn.XLOOKUP(U206&amp;Allgemein!$C$45,Fassadenpositionen[[#Headers],[WDVS:]]&amp;Fassadenpositionen[Position Fassade],Fassadenpositionen[WDVS:],"",0,1)</f>
        <v>Nein</v>
      </c>
      <c r="W206" s="995" t="str" cm="1">
        <f t="array" ref="W206">_xlfn.XLOOKUP(U206&amp;Allgemein!$C$61,Fassadenpositionen[[#Headers],[WDVS:]]&amp;Fassadenpositionen[Position Fassade],Fassadenpositionen[WDVS:],"",0,1)</f>
        <v>Nein</v>
      </c>
      <c r="X206" s="1004" t="str" cm="1">
        <f t="array" ref="X206">_xlfn.XLOOKUP(U206&amp;Allgemein!$C$77,Fassadenpositionen[[#Headers],[WDVS:]]&amp;Fassadenpositionen[Position Fassade],Fassadenpositionen[WDVS:],"",0,1)</f>
        <v>Nein</v>
      </c>
    </row>
    <row r="207" spans="2:24">
      <c r="B207" s="120" t="s">
        <v>662</v>
      </c>
      <c r="C207" s="364"/>
      <c r="D207" s="1552"/>
      <c r="E207" s="1609"/>
      <c r="F207" s="18"/>
      <c r="G207" s="18"/>
      <c r="H207" s="657"/>
      <c r="I207" s="657"/>
      <c r="J207" s="657"/>
      <c r="K207" s="657"/>
      <c r="L207" s="115">
        <f t="shared" ref="L207:L216" si="129">H207*I207+J207</f>
        <v>0</v>
      </c>
      <c r="M207" s="18">
        <f>SUMIF(Fenster!$D$10:$D$2160,Fassade!F207,Fenster!$J$10:$J$2160)</f>
        <v>0</v>
      </c>
      <c r="N207" s="18">
        <f>SUMIF(Fenster!$D$10:$D$2160,Fassade!F207,Fenster!$M$10:$M$2160)</f>
        <v>0</v>
      </c>
      <c r="O207" s="18">
        <f>SUMIFS(Fenster!$M$10:$M$2160,Fenster!$D$10:$D$2160,Fassade!F207,Fenster!$L$10:$L$2160,"&gt;2,5")</f>
        <v>0</v>
      </c>
      <c r="P207" s="18">
        <f>SUMIF(Fenster!$D$10:$D$2160,Fassade!F207,Fenster!$K$10:$K$2160)</f>
        <v>0</v>
      </c>
      <c r="Q207" s="18">
        <f t="shared" ref="Q207:Q216" si="130">L207-O207</f>
        <v>0</v>
      </c>
      <c r="R207" s="187">
        <f t="shared" ref="R207:R216" si="131">L207-N207</f>
        <v>0</v>
      </c>
      <c r="S207" s="1596"/>
      <c r="T207" s="1606"/>
      <c r="U207" s="1201" t="s">
        <v>663</v>
      </c>
      <c r="V207" s="997">
        <v>0</v>
      </c>
      <c r="W207" s="952">
        <v>0</v>
      </c>
      <c r="X207" s="988">
        <v>0</v>
      </c>
    </row>
    <row r="208" spans="2:24">
      <c r="B208" s="131" t="s">
        <v>683</v>
      </c>
      <c r="C208" s="208"/>
      <c r="D208" s="1552"/>
      <c r="E208" s="1609"/>
      <c r="F208" s="18"/>
      <c r="G208" s="18"/>
      <c r="H208" s="657"/>
      <c r="I208" s="657"/>
      <c r="J208" s="657"/>
      <c r="K208" s="657"/>
      <c r="L208" s="115">
        <f t="shared" si="129"/>
        <v>0</v>
      </c>
      <c r="M208" s="18">
        <f>SUMIF(Fenster!$D$10:$D$2160,Fassade!F208,Fenster!$J$10:$J$2160)</f>
        <v>0</v>
      </c>
      <c r="N208" s="18">
        <f>SUMIF(Fenster!$D$10:$D$2160,Fassade!F208,Fenster!$M$10:$M$2160)</f>
        <v>0</v>
      </c>
      <c r="O208" s="18">
        <f>SUMIFS(Fenster!$M$10:$M$2160,Fenster!$D$10:$D$2160,Fassade!F208,Fenster!$L$10:$L$2160,"&gt;2,5")</f>
        <v>0</v>
      </c>
      <c r="P208" s="18">
        <f>SUMIF(Fenster!$D$10:$D$2160,Fassade!F208,Fenster!$K$10:$K$2160)</f>
        <v>0</v>
      </c>
      <c r="Q208" s="18">
        <f t="shared" si="130"/>
        <v>0</v>
      </c>
      <c r="R208" s="187">
        <f t="shared" si="131"/>
        <v>0</v>
      </c>
      <c r="S208" s="1596"/>
      <c r="T208" s="1606"/>
      <c r="U208" s="1202" t="s">
        <v>665</v>
      </c>
      <c r="V208" s="998">
        <f>IF(V206="Ja",(Q217+V207)*$V$9,0)</f>
        <v>0</v>
      </c>
      <c r="W208" s="958">
        <f>IF(W206="Ja",(Q217+W207)*$V$9,0)</f>
        <v>0</v>
      </c>
      <c r="X208" s="999">
        <f>IF(X206="Ja",(Q217+X207)*$V$9,0)</f>
        <v>0</v>
      </c>
    </row>
    <row r="209" spans="2:24">
      <c r="B209" s="131" t="s">
        <v>684</v>
      </c>
      <c r="C209" s="208"/>
      <c r="D209" s="1552"/>
      <c r="E209" s="1609"/>
      <c r="F209" s="18"/>
      <c r="G209" s="18"/>
      <c r="H209" s="657"/>
      <c r="I209" s="657"/>
      <c r="J209" s="657"/>
      <c r="K209" s="657"/>
      <c r="L209" s="115">
        <f t="shared" si="129"/>
        <v>0</v>
      </c>
      <c r="M209" s="18">
        <f>SUMIF(Fenster!$D$10:$D$2160,Fassade!F209,Fenster!$J$10:$J$2160)</f>
        <v>0</v>
      </c>
      <c r="N209" s="18">
        <f>SUMIF(Fenster!$D$10:$D$2160,Fassade!F209,Fenster!$M$10:$M$2160)</f>
        <v>0</v>
      </c>
      <c r="O209" s="18">
        <f>SUMIFS(Fenster!$M$10:$M$2160,Fenster!$D$10:$D$2160,Fassade!F209,Fenster!$L$10:$L$2160,"&gt;2,5")</f>
        <v>0</v>
      </c>
      <c r="P209" s="18">
        <f>SUMIF(Fenster!$D$10:$D$2160,Fassade!F209,Fenster!$K$10:$K$2160)</f>
        <v>0</v>
      </c>
      <c r="Q209" s="18">
        <f t="shared" si="130"/>
        <v>0</v>
      </c>
      <c r="R209" s="187">
        <f t="shared" si="131"/>
        <v>0</v>
      </c>
      <c r="S209" s="1596"/>
      <c r="T209" s="1606"/>
      <c r="U209" s="1203" t="s">
        <v>667</v>
      </c>
      <c r="V209" s="998">
        <f>IF(V206="Ja",(R217+V207)*$V$9,0)</f>
        <v>0</v>
      </c>
      <c r="W209" s="958">
        <f>IF(W206="Ja",(R217+W207)*$V$9,0)</f>
        <v>0</v>
      </c>
      <c r="X209" s="999">
        <f>IF(X206="Ja",(R217+X207)*$V$9,0)</f>
        <v>0</v>
      </c>
    </row>
    <row r="210" spans="2:24">
      <c r="B210" s="131" t="s">
        <v>674</v>
      </c>
      <c r="C210" s="208"/>
      <c r="D210" s="1552"/>
      <c r="E210" s="1609"/>
      <c r="F210" s="18"/>
      <c r="G210" s="18"/>
      <c r="H210" s="657"/>
      <c r="I210" s="657"/>
      <c r="J210" s="657"/>
      <c r="K210" s="657"/>
      <c r="L210" s="115">
        <f t="shared" si="129"/>
        <v>0</v>
      </c>
      <c r="M210" s="18">
        <f>SUMIF(Fenster!$D$10:$D$2160,Fassade!F210,Fenster!$J$10:$J$2160)</f>
        <v>0</v>
      </c>
      <c r="N210" s="18">
        <f>SUMIF(Fenster!$D$10:$D$2160,Fassade!F210,Fenster!$M$10:$M$2160)</f>
        <v>0</v>
      </c>
      <c r="O210" s="18">
        <f>SUMIFS(Fenster!$M$10:$M$2160,Fenster!$D$10:$D$2160,Fassade!F210,Fenster!$L$10:$L$2160,"&gt;2,5")</f>
        <v>0</v>
      </c>
      <c r="P210" s="18">
        <f>SUMIF(Fenster!$D$10:$D$2160,Fassade!F210,Fenster!$K$10:$K$2160)</f>
        <v>0</v>
      </c>
      <c r="Q210" s="18">
        <f t="shared" si="130"/>
        <v>0</v>
      </c>
      <c r="R210" s="187">
        <f t="shared" si="131"/>
        <v>0</v>
      </c>
      <c r="S210" s="1596"/>
      <c r="T210" s="1606"/>
      <c r="U210" s="1204" t="s">
        <v>669</v>
      </c>
      <c r="V210" s="958" t="str">
        <f>Allgemein!$D$45</f>
        <v>-</v>
      </c>
      <c r="W210" s="958" t="str">
        <f>Allgemein!$D$61</f>
        <v>-</v>
      </c>
      <c r="X210" s="1000" t="str">
        <f>Allgemein!$D$77</f>
        <v>-</v>
      </c>
    </row>
    <row r="211" spans="2:24" ht="18.600000000000001">
      <c r="B211" s="131" t="s">
        <v>675</v>
      </c>
      <c r="C211" s="208"/>
      <c r="D211" s="1552"/>
      <c r="E211" s="1609"/>
      <c r="F211" s="18"/>
      <c r="G211" s="18"/>
      <c r="H211" s="657"/>
      <c r="I211" s="657"/>
      <c r="J211" s="657"/>
      <c r="K211" s="657"/>
      <c r="L211" s="115">
        <f t="shared" si="129"/>
        <v>0</v>
      </c>
      <c r="M211" s="18">
        <f>SUMIF(Fenster!$D$10:$D$2160,Fassade!F211,Fenster!$J$10:$J$2160)</f>
        <v>0</v>
      </c>
      <c r="N211" s="18">
        <f>SUMIF(Fenster!$D$10:$D$2160,Fassade!F211,Fenster!$M$10:$M$2160)</f>
        <v>0</v>
      </c>
      <c r="O211" s="18">
        <f>SUMIFS(Fenster!$M$10:$M$2160,Fenster!$D$10:$D$2160,Fassade!F211,Fenster!$L$10:$L$2160,"&gt;2,5")</f>
        <v>0</v>
      </c>
      <c r="P211" s="18">
        <f>SUMIF(Fenster!$D$10:$D$2160,Fassade!F211,Fenster!$K$10:$K$2160)</f>
        <v>0</v>
      </c>
      <c r="Q211" s="18">
        <f t="shared" si="130"/>
        <v>0</v>
      </c>
      <c r="R211" s="187">
        <f t="shared" si="131"/>
        <v>0</v>
      </c>
      <c r="S211" s="1596"/>
      <c r="T211" s="1597"/>
      <c r="U211" s="1210" t="s">
        <v>685</v>
      </c>
      <c r="V211" s="1005" t="str" cm="1">
        <f t="array" ref="V211">_xlfn.XLOOKUP(U211&amp;Allgemein!$C$45,Fassadenpositionen[[#Headers],[Einblasdämmung:]]&amp;Fassadenpositionen[Position Fassade],Fassadenpositionen[Einblasdämmung:],"",0,1)</f>
        <v>Nein</v>
      </c>
      <c r="W211" s="1006" t="str" cm="1">
        <f t="array" ref="W211">_xlfn.XLOOKUP(U211&amp;Allgemein!$C$61,Fassadenpositionen[[#Headers],[Einblasdämmung:]]&amp;Fassadenpositionen[Position Fassade],Fassadenpositionen[Einblasdämmung:],"",0,1)</f>
        <v>Nein</v>
      </c>
      <c r="X211" s="996" t="str" cm="1">
        <f t="array" ref="X211">_xlfn.XLOOKUP(U211&amp;Allgemein!$C$77,Fassadenpositionen[[#Headers],[Einblasdämmung:]]&amp;Fassadenpositionen[Position Fassade],Fassadenpositionen[Einblasdämmung:],"",0,1)</f>
        <v>Nein</v>
      </c>
    </row>
    <row r="212" spans="2:24">
      <c r="B212" s="131" t="s">
        <v>676</v>
      </c>
      <c r="C212" s="798"/>
      <c r="D212" s="1552"/>
      <c r="E212" s="1609"/>
      <c r="F212" s="18"/>
      <c r="G212" s="18"/>
      <c r="H212" s="657"/>
      <c r="I212" s="657"/>
      <c r="J212" s="657"/>
      <c r="K212" s="657"/>
      <c r="L212" s="115">
        <f t="shared" si="129"/>
        <v>0</v>
      </c>
      <c r="M212" s="18">
        <f>SUMIF(Fenster!$D$10:$D$2160,Fassade!F212,Fenster!$J$10:$J$2160)</f>
        <v>0</v>
      </c>
      <c r="N212" s="18">
        <f>SUMIF(Fenster!$D$10:$D$2160,Fassade!F212,Fenster!$M$10:$M$2160)</f>
        <v>0</v>
      </c>
      <c r="O212" s="18">
        <f>SUMIFS(Fenster!$M$10:$M$2160,Fenster!$D$10:$D$2160,Fassade!F212,Fenster!$L$10:$L$2160,"&gt;2,5")</f>
        <v>0</v>
      </c>
      <c r="P212" s="18">
        <f>SUMIF(Fenster!$D$10:$D$2160,Fassade!F212,Fenster!$K$10:$K$2160)</f>
        <v>0</v>
      </c>
      <c r="Q212" s="18">
        <f t="shared" si="130"/>
        <v>0</v>
      </c>
      <c r="R212" s="187">
        <f t="shared" si="131"/>
        <v>0</v>
      </c>
      <c r="S212" s="1596"/>
      <c r="T212" s="1597"/>
      <c r="U212" s="1211" t="s">
        <v>663</v>
      </c>
      <c r="V212" s="1001">
        <v>0</v>
      </c>
      <c r="W212" s="1007">
        <v>0</v>
      </c>
      <c r="X212" s="1003">
        <v>0</v>
      </c>
    </row>
    <row r="213" spans="2:24">
      <c r="B213" s="131" t="s">
        <v>686</v>
      </c>
      <c r="C213" s="798"/>
      <c r="D213" s="1552"/>
      <c r="E213" s="1609"/>
      <c r="F213" s="18"/>
      <c r="G213" s="18"/>
      <c r="H213" s="657"/>
      <c r="I213" s="657"/>
      <c r="J213" s="657"/>
      <c r="K213" s="657"/>
      <c r="L213" s="115">
        <f t="shared" si="129"/>
        <v>0</v>
      </c>
      <c r="M213" s="18">
        <f>SUMIF(Fenster!$D$10:$D$2160,Fassade!F213,Fenster!$J$10:$J$2160)</f>
        <v>0</v>
      </c>
      <c r="N213" s="18">
        <f>SUMIF(Fenster!$D$10:$D$2160,Fassade!F213,Fenster!$M$10:$M$2160)</f>
        <v>0</v>
      </c>
      <c r="O213" s="18">
        <f>SUMIFS(Fenster!$M$10:$M$2160,Fenster!$D$10:$D$2160,Fassade!F213,Fenster!$L$10:$L$2160,"&gt;2,5")</f>
        <v>0</v>
      </c>
      <c r="P213" s="18">
        <f>SUMIF(Fenster!$D$10:$D$2160,Fassade!F213,Fenster!$K$10:$K$2160)</f>
        <v>0</v>
      </c>
      <c r="Q213" s="18">
        <f t="shared" si="130"/>
        <v>0</v>
      </c>
      <c r="R213" s="187">
        <f t="shared" si="131"/>
        <v>0</v>
      </c>
      <c r="S213" s="1596"/>
      <c r="T213" s="1606"/>
      <c r="U213" s="1202" t="s">
        <v>665</v>
      </c>
      <c r="V213" s="1008">
        <f>IF(V211="Ja",(Q217+V212)*$V$9,0)</f>
        <v>0</v>
      </c>
      <c r="W213" s="1008">
        <f>IF(W211="Ja",(Q217+W212)*$V$9,0)</f>
        <v>0</v>
      </c>
      <c r="X213" s="1003">
        <f>IF(X211="Ja",(Q217+X212)*$V$9,0)</f>
        <v>0</v>
      </c>
    </row>
    <row r="214" spans="2:24">
      <c r="B214" s="131" t="s">
        <v>687</v>
      </c>
      <c r="C214" s="364"/>
      <c r="D214" s="1552"/>
      <c r="E214" s="1609"/>
      <c r="F214" s="18"/>
      <c r="G214" s="18"/>
      <c r="H214" s="657"/>
      <c r="I214" s="657"/>
      <c r="J214" s="657"/>
      <c r="K214" s="657"/>
      <c r="L214" s="115">
        <f t="shared" si="129"/>
        <v>0</v>
      </c>
      <c r="M214" s="18">
        <f>SUMIF(Fenster!$D$10:$D$2160,Fassade!F214,Fenster!$J$10:$J$2160)</f>
        <v>0</v>
      </c>
      <c r="N214" s="18">
        <f>SUMIF(Fenster!$D$10:$D$2160,Fassade!F214,Fenster!$M$10:$M$2160)</f>
        <v>0</v>
      </c>
      <c r="O214" s="18">
        <f>SUMIFS(Fenster!$M$10:$M$2160,Fenster!$D$10:$D$2160,Fassade!F214,Fenster!$L$10:$L$2160,"&gt;2,5")</f>
        <v>0</v>
      </c>
      <c r="P214" s="18">
        <f>SUMIF(Fenster!$D$10:$D$2160,Fassade!F214,Fenster!$K$10:$K$2160)</f>
        <v>0</v>
      </c>
      <c r="Q214" s="18">
        <f t="shared" si="130"/>
        <v>0</v>
      </c>
      <c r="R214" s="187">
        <f t="shared" si="131"/>
        <v>0</v>
      </c>
      <c r="S214" s="1596"/>
      <c r="T214" s="1606"/>
      <c r="U214" s="1203" t="s">
        <v>667</v>
      </c>
      <c r="V214" s="1008">
        <f>IF(V211="Ja",(R217+V212)*$V$9,0)</f>
        <v>0</v>
      </c>
      <c r="W214" s="1008">
        <f>IF(W211="Ja",(R217+W212)*$V$9,0)</f>
        <v>0</v>
      </c>
      <c r="X214" s="1003">
        <f>IF(X211="Ja",(R217+X212)*$V$9,0)</f>
        <v>0</v>
      </c>
    </row>
    <row r="215" spans="2:24">
      <c r="B215" s="131" t="s">
        <v>688</v>
      </c>
      <c r="C215" s="798"/>
      <c r="D215" s="1552"/>
      <c r="E215" s="1609"/>
      <c r="F215" s="18"/>
      <c r="G215" s="18"/>
      <c r="H215" s="657"/>
      <c r="I215" s="657"/>
      <c r="J215" s="657"/>
      <c r="K215" s="657"/>
      <c r="L215" s="115">
        <f t="shared" si="129"/>
        <v>0</v>
      </c>
      <c r="M215" s="18">
        <f>SUMIF(Fenster!$D$10:$D$2160,Fassade!F215,Fenster!$J$10:$J$2160)</f>
        <v>0</v>
      </c>
      <c r="N215" s="18">
        <f>SUMIF(Fenster!$D$10:$D$2160,Fassade!F215,Fenster!$M$10:$M$2160)</f>
        <v>0</v>
      </c>
      <c r="O215" s="18">
        <f>SUMIFS(Fenster!$M$10:$M$2160,Fenster!$D$10:$D$2160,Fassade!F215,Fenster!$L$10:$L$2160,"&gt;2,5")</f>
        <v>0</v>
      </c>
      <c r="P215" s="18">
        <f>SUMIF(Fenster!$D$10:$D$2160,Fassade!F215,Fenster!$K$10:$K$2160)</f>
        <v>0</v>
      </c>
      <c r="Q215" s="18">
        <f t="shared" si="130"/>
        <v>0</v>
      </c>
      <c r="R215" s="187">
        <f t="shared" si="131"/>
        <v>0</v>
      </c>
      <c r="S215" s="1596"/>
      <c r="T215" s="1606"/>
      <c r="U215" s="1204" t="s">
        <v>689</v>
      </c>
      <c r="V215" s="1002"/>
      <c r="W215" s="1009"/>
      <c r="X215" s="1010"/>
    </row>
    <row r="216" spans="2:24">
      <c r="B216" s="131" t="s">
        <v>668</v>
      </c>
      <c r="C216" s="798"/>
      <c r="D216" s="1552"/>
      <c r="E216" s="1609"/>
      <c r="F216" s="18"/>
      <c r="G216" s="18"/>
      <c r="H216" s="657"/>
      <c r="I216" s="657"/>
      <c r="J216" s="657"/>
      <c r="K216" s="657"/>
      <c r="L216" s="115">
        <f t="shared" si="129"/>
        <v>0</v>
      </c>
      <c r="M216" s="18">
        <f>SUMIF(Fenster!$D$10:$D$2160,Fassade!F216,Fenster!$J$10:$J$2160)</f>
        <v>0</v>
      </c>
      <c r="N216" s="18">
        <f>SUMIF(Fenster!$D$10:$D$2160,Fassade!F216,Fenster!$M$10:$M$2160)</f>
        <v>0</v>
      </c>
      <c r="O216" s="18">
        <f>SUMIFS(Fenster!$M$10:$M$2160,Fenster!$D$10:$D$2160,Fassade!F216,Fenster!$L$10:$L$2160,"&gt;2,5")</f>
        <v>0</v>
      </c>
      <c r="P216" s="18">
        <f>SUMIF(Fenster!$D$10:$D$2160,Fassade!F216,Fenster!$K$10:$K$2160)</f>
        <v>0</v>
      </c>
      <c r="Q216" s="18">
        <f t="shared" si="130"/>
        <v>0</v>
      </c>
      <c r="R216" s="187">
        <f t="shared" si="131"/>
        <v>0</v>
      </c>
      <c r="S216" s="1596"/>
      <c r="T216" s="1597"/>
      <c r="U216" s="1212" t="s">
        <v>671</v>
      </c>
      <c r="V216" s="1586"/>
      <c r="W216" s="1586"/>
      <c r="X216" s="1589"/>
    </row>
    <row r="217" spans="2:24">
      <c r="B217" s="234" t="s">
        <v>670</v>
      </c>
      <c r="C217" s="798"/>
      <c r="D217" s="1552"/>
      <c r="E217" s="1609"/>
      <c r="F217" s="1612" t="s">
        <v>187</v>
      </c>
      <c r="G217" s="18"/>
      <c r="H217" s="657"/>
      <c r="I217" s="657"/>
      <c r="J217" s="657"/>
      <c r="K217" s="657"/>
      <c r="L217" s="1614">
        <f t="shared" ref="L217" si="132">SUM(L207:L216)</f>
        <v>0</v>
      </c>
      <c r="M217" s="1477">
        <f t="shared" ref="M217" si="133">SUM(M207:M216)</f>
        <v>0</v>
      </c>
      <c r="N217" s="1477">
        <f t="shared" ref="N217" si="134">SUM(N207:N216)</f>
        <v>0</v>
      </c>
      <c r="O217" s="1477">
        <f t="shared" ref="O217" si="135">SUM(O207:O216)</f>
        <v>0</v>
      </c>
      <c r="P217" s="1477">
        <f t="shared" ref="P217" si="136">SUM(P207:P216)</f>
        <v>0</v>
      </c>
      <c r="Q217" s="1477">
        <f t="shared" ref="Q217" si="137">SUM(Q207:Q216)</f>
        <v>0</v>
      </c>
      <c r="R217" s="1483">
        <f>SUM(R207:R216)</f>
        <v>0</v>
      </c>
      <c r="S217" s="1596"/>
      <c r="T217" s="1606"/>
      <c r="U217" s="1213"/>
      <c r="V217" s="1587"/>
      <c r="W217" s="1587"/>
      <c r="X217" s="1590"/>
    </row>
    <row r="218" spans="2:24" ht="17.399999999999999" thickBot="1">
      <c r="B218" s="789" t="s">
        <v>672</v>
      </c>
      <c r="C218" s="722"/>
      <c r="D218" s="1610"/>
      <c r="E218" s="1611"/>
      <c r="F218" s="1613"/>
      <c r="G218" s="788"/>
      <c r="H218" s="788"/>
      <c r="I218" s="788"/>
      <c r="J218" s="788"/>
      <c r="K218" s="788"/>
      <c r="L218" s="1615"/>
      <c r="M218" s="1592"/>
      <c r="N218" s="1592"/>
      <c r="O218" s="1592"/>
      <c r="P218" s="1592"/>
      <c r="Q218" s="1592"/>
      <c r="R218" s="1605"/>
      <c r="S218" s="1598"/>
      <c r="T218" s="1607"/>
      <c r="U218" s="1209"/>
      <c r="V218" s="1588"/>
      <c r="W218" s="1588"/>
      <c r="X218" s="1591"/>
    </row>
    <row r="219" spans="2:24" ht="57" customHeight="1">
      <c r="B219" s="135" t="s">
        <v>682</v>
      </c>
      <c r="C219" s="123"/>
      <c r="D219" s="1552" t="e" vm="7">
        <v>#VALUE!</v>
      </c>
      <c r="E219" s="1609"/>
      <c r="F219" s="229" t="s">
        <v>296</v>
      </c>
      <c r="G219" s="229" t="s">
        <v>272</v>
      </c>
      <c r="H219" s="229" t="s">
        <v>300</v>
      </c>
      <c r="I219" s="229" t="s">
        <v>301</v>
      </c>
      <c r="J219" s="177" t="s">
        <v>652</v>
      </c>
      <c r="K219" s="177" t="s">
        <v>653</v>
      </c>
      <c r="L219" s="177" t="s">
        <v>654</v>
      </c>
      <c r="M219" s="177" t="s">
        <v>655</v>
      </c>
      <c r="N219" s="177" t="s">
        <v>656</v>
      </c>
      <c r="O219" s="177" t="s">
        <v>657</v>
      </c>
      <c r="P219" s="177" t="s">
        <v>658</v>
      </c>
      <c r="Q219" s="177" t="s">
        <v>659</v>
      </c>
      <c r="R219" s="713" t="s">
        <v>660</v>
      </c>
      <c r="S219" s="1600"/>
      <c r="T219" s="1606"/>
      <c r="U219" s="1200" t="s">
        <v>661</v>
      </c>
      <c r="V219" s="995" t="str" cm="1">
        <f t="array" ref="V219">_xlfn.XLOOKUP(U219&amp;Allgemein!$C$45,Fassadenpositionen[[#Headers],[WDVS:]]&amp;Fassadenpositionen[Position Fassade],Fassadenpositionen[WDVS:],"",0,1)</f>
        <v>Nein</v>
      </c>
      <c r="W219" s="995" t="str" cm="1">
        <f t="array" ref="W219">_xlfn.XLOOKUP(U219&amp;Allgemein!$C$61,Fassadenpositionen[[#Headers],[WDVS:]]&amp;Fassadenpositionen[Position Fassade],Fassadenpositionen[WDVS:],"",0,1)</f>
        <v>Nein</v>
      </c>
      <c r="X219" s="996" t="str" cm="1">
        <f t="array" ref="X219">_xlfn.XLOOKUP(U219&amp;Allgemein!$C$77,Fassadenpositionen[[#Headers],[WDVS:]]&amp;Fassadenpositionen[Position Fassade],Fassadenpositionen[WDVS:],"",0,1)</f>
        <v>Nein</v>
      </c>
    </row>
    <row r="220" spans="2:24">
      <c r="B220" s="120" t="s">
        <v>662</v>
      </c>
      <c r="C220" s="364"/>
      <c r="D220" s="1552"/>
      <c r="E220" s="1609"/>
      <c r="F220" s="18"/>
      <c r="G220" s="18"/>
      <c r="H220" s="657"/>
      <c r="I220" s="657"/>
      <c r="J220" s="657"/>
      <c r="K220" s="657"/>
      <c r="L220" s="115">
        <f t="shared" ref="L220:L229" si="138">H220*I220+J220</f>
        <v>0</v>
      </c>
      <c r="M220" s="18">
        <f>SUMIF(Fenster!$D$10:$D$2160,Fassade!F220,Fenster!$J$10:$J$2160)</f>
        <v>0</v>
      </c>
      <c r="N220" s="18">
        <f>SUMIF(Fenster!$D$10:$D$2160,Fassade!F220,Fenster!$M$10:$M$2160)</f>
        <v>0</v>
      </c>
      <c r="O220" s="18">
        <f>SUMIFS(Fenster!$M$10:$M$2160,Fenster!$D$10:$D$2160,Fassade!F220,Fenster!$L$10:$L$2160,"&gt;2,5")</f>
        <v>0</v>
      </c>
      <c r="P220" s="18">
        <f>SUMIF(Fenster!$D$10:$D$2160,Fassade!F220,Fenster!$K$10:$K$2160)</f>
        <v>0</v>
      </c>
      <c r="Q220" s="18">
        <f t="shared" ref="Q220:Q229" si="139">L220-O220</f>
        <v>0</v>
      </c>
      <c r="R220" s="187">
        <f t="shared" ref="R220:R229" si="140">L220-N220</f>
        <v>0</v>
      </c>
      <c r="S220" s="1596"/>
      <c r="T220" s="1606"/>
      <c r="U220" s="1201" t="s">
        <v>663</v>
      </c>
      <c r="V220" s="997">
        <v>0</v>
      </c>
      <c r="W220" s="952">
        <v>0</v>
      </c>
      <c r="X220" s="988">
        <v>0</v>
      </c>
    </row>
    <row r="221" spans="2:24">
      <c r="B221" s="131" t="s">
        <v>683</v>
      </c>
      <c r="C221" s="208"/>
      <c r="D221" s="1552"/>
      <c r="E221" s="1609"/>
      <c r="F221" s="18"/>
      <c r="G221" s="18"/>
      <c r="H221" s="657"/>
      <c r="I221" s="657"/>
      <c r="J221" s="657"/>
      <c r="K221" s="657"/>
      <c r="L221" s="115">
        <f t="shared" si="138"/>
        <v>0</v>
      </c>
      <c r="M221" s="18">
        <f>SUMIF(Fenster!$D$10:$D$2160,Fassade!F221,Fenster!$J$10:$J$2160)</f>
        <v>0</v>
      </c>
      <c r="N221" s="18">
        <f>SUMIF(Fenster!$D$10:$D$2160,Fassade!F221,Fenster!$M$10:$M$2160)</f>
        <v>0</v>
      </c>
      <c r="O221" s="18">
        <f>SUMIFS(Fenster!$M$10:$M$2160,Fenster!$D$10:$D$2160,Fassade!F221,Fenster!$L$10:$L$2160,"&gt;2,5")</f>
        <v>0</v>
      </c>
      <c r="P221" s="18">
        <f>SUMIF(Fenster!$D$10:$D$2160,Fassade!F221,Fenster!$K$10:$K$2160)</f>
        <v>0</v>
      </c>
      <c r="Q221" s="18">
        <f t="shared" si="139"/>
        <v>0</v>
      </c>
      <c r="R221" s="187">
        <f t="shared" si="140"/>
        <v>0</v>
      </c>
      <c r="S221" s="1596"/>
      <c r="T221" s="1606"/>
      <c r="U221" s="1202" t="s">
        <v>665</v>
      </c>
      <c r="V221" s="998">
        <f>IF(V219="Ja",(Q230+V220)*$V$9,0)</f>
        <v>0</v>
      </c>
      <c r="W221" s="958">
        <f>IF(W219="Ja",(Q230+W220)*$V$9,0)</f>
        <v>0</v>
      </c>
      <c r="X221" s="999">
        <f>IF(X219="Ja",(Q230+X220)*$V$9,0)</f>
        <v>0</v>
      </c>
    </row>
    <row r="222" spans="2:24">
      <c r="B222" s="131" t="s">
        <v>684</v>
      </c>
      <c r="C222" s="208"/>
      <c r="D222" s="1552"/>
      <c r="E222" s="1609"/>
      <c r="F222" s="18"/>
      <c r="G222" s="18"/>
      <c r="H222" s="657"/>
      <c r="I222" s="657"/>
      <c r="J222" s="657"/>
      <c r="K222" s="657"/>
      <c r="L222" s="115">
        <f t="shared" si="138"/>
        <v>0</v>
      </c>
      <c r="M222" s="18">
        <f>SUMIF(Fenster!$D$10:$D$2160,Fassade!F222,Fenster!$J$10:$J$2160)</f>
        <v>0</v>
      </c>
      <c r="N222" s="18">
        <f>SUMIF(Fenster!$D$10:$D$2160,Fassade!F222,Fenster!$M$10:$M$2160)</f>
        <v>0</v>
      </c>
      <c r="O222" s="18">
        <f>SUMIFS(Fenster!$M$10:$M$2160,Fenster!$D$10:$D$2160,Fassade!F222,Fenster!$L$10:$L$2160,"&gt;2,5")</f>
        <v>0</v>
      </c>
      <c r="P222" s="18">
        <f>SUMIF(Fenster!$D$10:$D$2160,Fassade!F222,Fenster!$K$10:$K$2160)</f>
        <v>0</v>
      </c>
      <c r="Q222" s="18">
        <f t="shared" si="139"/>
        <v>0</v>
      </c>
      <c r="R222" s="187">
        <f t="shared" si="140"/>
        <v>0</v>
      </c>
      <c r="S222" s="1596"/>
      <c r="T222" s="1606"/>
      <c r="U222" s="1203" t="s">
        <v>667</v>
      </c>
      <c r="V222" s="998">
        <f>IF(V219="Ja",(R230+V220)*$V$9,0)</f>
        <v>0</v>
      </c>
      <c r="W222" s="958">
        <f>IF(W219="Ja",(R230+W220)*$V$9,0)</f>
        <v>0</v>
      </c>
      <c r="X222" s="999">
        <f>IF(X219="Ja",(R230+X220)*$V$9,0)</f>
        <v>0</v>
      </c>
    </row>
    <row r="223" spans="2:24">
      <c r="B223" s="131" t="s">
        <v>674</v>
      </c>
      <c r="C223" s="208"/>
      <c r="D223" s="1552"/>
      <c r="E223" s="1609"/>
      <c r="F223" s="18"/>
      <c r="G223" s="18"/>
      <c r="H223" s="657"/>
      <c r="I223" s="657"/>
      <c r="J223" s="657"/>
      <c r="K223" s="657"/>
      <c r="L223" s="115">
        <f t="shared" si="138"/>
        <v>0</v>
      </c>
      <c r="M223" s="18">
        <f>SUMIF(Fenster!$D$10:$D$2160,Fassade!F223,Fenster!$J$10:$J$2160)</f>
        <v>0</v>
      </c>
      <c r="N223" s="18">
        <f>SUMIF(Fenster!$D$10:$D$2160,Fassade!F223,Fenster!$M$10:$M$2160)</f>
        <v>0</v>
      </c>
      <c r="O223" s="18">
        <f>SUMIFS(Fenster!$M$10:$M$2160,Fenster!$D$10:$D$2160,Fassade!F223,Fenster!$L$10:$L$2160,"&gt;2,5")</f>
        <v>0</v>
      </c>
      <c r="P223" s="18">
        <f>SUMIF(Fenster!$D$10:$D$2160,Fassade!F223,Fenster!$K$10:$K$2160)</f>
        <v>0</v>
      </c>
      <c r="Q223" s="18">
        <f t="shared" si="139"/>
        <v>0</v>
      </c>
      <c r="R223" s="187">
        <f t="shared" si="140"/>
        <v>0</v>
      </c>
      <c r="S223" s="1596"/>
      <c r="T223" s="1606"/>
      <c r="U223" s="1204" t="s">
        <v>669</v>
      </c>
      <c r="V223" s="958" t="str">
        <f>Allgemein!$D$45</f>
        <v>-</v>
      </c>
      <c r="W223" s="958" t="str">
        <f>Allgemein!$D$61</f>
        <v>-</v>
      </c>
      <c r="X223" s="1000" t="str">
        <f>Allgemein!$D$77</f>
        <v>-</v>
      </c>
    </row>
    <row r="224" spans="2:24" ht="18.600000000000001">
      <c r="B224" s="131" t="s">
        <v>675</v>
      </c>
      <c r="C224" s="208"/>
      <c r="D224" s="1552"/>
      <c r="E224" s="1609"/>
      <c r="F224" s="18"/>
      <c r="G224" s="18"/>
      <c r="H224" s="657"/>
      <c r="I224" s="657"/>
      <c r="J224" s="657"/>
      <c r="K224" s="657"/>
      <c r="L224" s="115">
        <f t="shared" si="138"/>
        <v>0</v>
      </c>
      <c r="M224" s="18">
        <f>SUMIF(Fenster!$D$10:$D$2160,Fassade!F224,Fenster!$J$10:$J$2160)</f>
        <v>0</v>
      </c>
      <c r="N224" s="18">
        <f>SUMIF(Fenster!$D$10:$D$2160,Fassade!F224,Fenster!$M$10:$M$2160)</f>
        <v>0</v>
      </c>
      <c r="O224" s="18">
        <f>SUMIFS(Fenster!$M$10:$M$2160,Fenster!$D$10:$D$2160,Fassade!F224,Fenster!$L$10:$L$2160,"&gt;2,5")</f>
        <v>0</v>
      </c>
      <c r="P224" s="18">
        <f>SUMIF(Fenster!$D$10:$D$2160,Fassade!F224,Fenster!$K$10:$K$2160)</f>
        <v>0</v>
      </c>
      <c r="Q224" s="18">
        <f t="shared" si="139"/>
        <v>0</v>
      </c>
      <c r="R224" s="187">
        <f t="shared" si="140"/>
        <v>0</v>
      </c>
      <c r="S224" s="1596"/>
      <c r="T224" s="1606"/>
      <c r="U224" s="1210" t="s">
        <v>685</v>
      </c>
      <c r="V224" s="1005" t="str" cm="1">
        <f t="array" ref="V224">_xlfn.XLOOKUP(U224&amp;Allgemein!$C$45,Fassadenpositionen[[#Headers],[Einblasdämmung:]]&amp;Fassadenpositionen[Position Fassade],Fassadenpositionen[Einblasdämmung:],"",0,1)</f>
        <v>Nein</v>
      </c>
      <c r="W224" s="1006" t="str" cm="1">
        <f t="array" ref="W224">_xlfn.XLOOKUP(U224&amp;Allgemein!$C$61,Fassadenpositionen[[#Headers],[Einblasdämmung:]]&amp;Fassadenpositionen[Position Fassade],Fassadenpositionen[Einblasdämmung:],"",0,1)</f>
        <v>Nein</v>
      </c>
      <c r="X224" s="996" t="str" cm="1">
        <f t="array" ref="X224">_xlfn.XLOOKUP(U224&amp;Allgemein!$C$77,Fassadenpositionen[[#Headers],[Einblasdämmung:]]&amp;Fassadenpositionen[Position Fassade],Fassadenpositionen[Einblasdämmung:],"",0,1)</f>
        <v>Nein</v>
      </c>
    </row>
    <row r="225" spans="2:24">
      <c r="B225" s="131" t="s">
        <v>676</v>
      </c>
      <c r="C225" s="798"/>
      <c r="D225" s="1552"/>
      <c r="E225" s="1609"/>
      <c r="F225" s="18"/>
      <c r="G225" s="18"/>
      <c r="H225" s="657"/>
      <c r="I225" s="657"/>
      <c r="J225" s="657"/>
      <c r="K225" s="657"/>
      <c r="L225" s="115">
        <f t="shared" si="138"/>
        <v>0</v>
      </c>
      <c r="M225" s="18">
        <f>SUMIF(Fenster!$D$10:$D$2160,Fassade!F225,Fenster!$J$10:$J$2160)</f>
        <v>0</v>
      </c>
      <c r="N225" s="18">
        <f>SUMIF(Fenster!$D$10:$D$2160,Fassade!F225,Fenster!$M$10:$M$2160)</f>
        <v>0</v>
      </c>
      <c r="O225" s="18">
        <f>SUMIFS(Fenster!$M$10:$M$2160,Fenster!$D$10:$D$2160,Fassade!F225,Fenster!$L$10:$L$2160,"&gt;2,5")</f>
        <v>0</v>
      </c>
      <c r="P225" s="18">
        <f>SUMIF(Fenster!$D$10:$D$2160,Fassade!F225,Fenster!$K$10:$K$2160)</f>
        <v>0</v>
      </c>
      <c r="Q225" s="18">
        <f t="shared" si="139"/>
        <v>0</v>
      </c>
      <c r="R225" s="187">
        <f t="shared" si="140"/>
        <v>0</v>
      </c>
      <c r="S225" s="1596"/>
      <c r="T225" s="1606"/>
      <c r="U225" s="1211" t="s">
        <v>663</v>
      </c>
      <c r="V225" s="1001">
        <v>0</v>
      </c>
      <c r="W225" s="1007">
        <v>0</v>
      </c>
      <c r="X225" s="1003">
        <v>0</v>
      </c>
    </row>
    <row r="226" spans="2:24">
      <c r="B226" s="131" t="s">
        <v>686</v>
      </c>
      <c r="C226" s="798"/>
      <c r="D226" s="1552"/>
      <c r="E226" s="1609"/>
      <c r="F226" s="18"/>
      <c r="G226" s="18"/>
      <c r="H226" s="657"/>
      <c r="I226" s="657"/>
      <c r="J226" s="657"/>
      <c r="K226" s="657"/>
      <c r="L226" s="115">
        <f t="shared" si="138"/>
        <v>0</v>
      </c>
      <c r="M226" s="18">
        <f>SUMIF(Fenster!$D$10:$D$2160,Fassade!F226,Fenster!$J$10:$J$2160)</f>
        <v>0</v>
      </c>
      <c r="N226" s="18">
        <f>SUMIF(Fenster!$D$10:$D$2160,Fassade!F226,Fenster!$M$10:$M$2160)</f>
        <v>0</v>
      </c>
      <c r="O226" s="18">
        <f>SUMIFS(Fenster!$M$10:$M$2160,Fenster!$D$10:$D$2160,Fassade!F226,Fenster!$L$10:$L$2160,"&gt;2,5")</f>
        <v>0</v>
      </c>
      <c r="P226" s="18">
        <f>SUMIF(Fenster!$D$10:$D$2160,Fassade!F226,Fenster!$K$10:$K$2160)</f>
        <v>0</v>
      </c>
      <c r="Q226" s="18">
        <f t="shared" si="139"/>
        <v>0</v>
      </c>
      <c r="R226" s="187">
        <f t="shared" si="140"/>
        <v>0</v>
      </c>
      <c r="S226" s="1596"/>
      <c r="T226" s="1606"/>
      <c r="U226" s="1202" t="s">
        <v>665</v>
      </c>
      <c r="V226" s="1008">
        <f>IF(V224="Ja",(Q230+V225)*$V$9,0)</f>
        <v>0</v>
      </c>
      <c r="W226" s="1008">
        <f>IF(W224="Ja",(Q230+W225)*$V$9,0)</f>
        <v>0</v>
      </c>
      <c r="X226" s="1003">
        <f>IF(X224="Ja",(Q230+X225)*$V$9,0)</f>
        <v>0</v>
      </c>
    </row>
    <row r="227" spans="2:24">
      <c r="B227" s="131" t="s">
        <v>687</v>
      </c>
      <c r="C227" s="364"/>
      <c r="D227" s="1552"/>
      <c r="E227" s="1609"/>
      <c r="F227" s="18"/>
      <c r="G227" s="18"/>
      <c r="H227" s="657"/>
      <c r="I227" s="657"/>
      <c r="J227" s="657"/>
      <c r="K227" s="657"/>
      <c r="L227" s="115">
        <f t="shared" si="138"/>
        <v>0</v>
      </c>
      <c r="M227" s="18">
        <f>SUMIF(Fenster!$D$10:$D$2160,Fassade!F227,Fenster!$J$10:$J$2160)</f>
        <v>0</v>
      </c>
      <c r="N227" s="18">
        <f>SUMIF(Fenster!$D$10:$D$2160,Fassade!F227,Fenster!$M$10:$M$2160)</f>
        <v>0</v>
      </c>
      <c r="O227" s="18">
        <f>SUMIFS(Fenster!$M$10:$M$2160,Fenster!$D$10:$D$2160,Fassade!F227,Fenster!$L$10:$L$2160,"&gt;2,5")</f>
        <v>0</v>
      </c>
      <c r="P227" s="18">
        <f>SUMIF(Fenster!$D$10:$D$2160,Fassade!F227,Fenster!$K$10:$K$2160)</f>
        <v>0</v>
      </c>
      <c r="Q227" s="18">
        <f t="shared" si="139"/>
        <v>0</v>
      </c>
      <c r="R227" s="187">
        <f t="shared" si="140"/>
        <v>0</v>
      </c>
      <c r="S227" s="1596"/>
      <c r="T227" s="1606"/>
      <c r="U227" s="1203" t="s">
        <v>667</v>
      </c>
      <c r="V227" s="1008">
        <f>IF(V224="Ja",(R230+V225)*$V$9,0)</f>
        <v>0</v>
      </c>
      <c r="W227" s="1008">
        <f>IF(W224="Ja",(R230+W225)*$V$9,0)</f>
        <v>0</v>
      </c>
      <c r="X227" s="1003">
        <f>IF(X224="Ja",(R230+X225)*$V$9,0)</f>
        <v>0</v>
      </c>
    </row>
    <row r="228" spans="2:24">
      <c r="B228" s="131" t="s">
        <v>688</v>
      </c>
      <c r="C228" s="798"/>
      <c r="D228" s="1552"/>
      <c r="E228" s="1609"/>
      <c r="F228" s="18"/>
      <c r="G228" s="18"/>
      <c r="H228" s="657"/>
      <c r="I228" s="657"/>
      <c r="J228" s="657"/>
      <c r="K228" s="657"/>
      <c r="L228" s="115">
        <f t="shared" si="138"/>
        <v>0</v>
      </c>
      <c r="M228" s="18">
        <f>SUMIF(Fenster!$D$10:$D$2160,Fassade!F228,Fenster!$J$10:$J$2160)</f>
        <v>0</v>
      </c>
      <c r="N228" s="18">
        <f>SUMIF(Fenster!$D$10:$D$2160,Fassade!F228,Fenster!$M$10:$M$2160)</f>
        <v>0</v>
      </c>
      <c r="O228" s="18">
        <f>SUMIFS(Fenster!$M$10:$M$2160,Fenster!$D$10:$D$2160,Fassade!F228,Fenster!$L$10:$L$2160,"&gt;2,5")</f>
        <v>0</v>
      </c>
      <c r="P228" s="18">
        <f>SUMIF(Fenster!$D$10:$D$2160,Fassade!F228,Fenster!$K$10:$K$2160)</f>
        <v>0</v>
      </c>
      <c r="Q228" s="18">
        <f t="shared" si="139"/>
        <v>0</v>
      </c>
      <c r="R228" s="187">
        <f t="shared" si="140"/>
        <v>0</v>
      </c>
      <c r="S228" s="1596"/>
      <c r="T228" s="1606"/>
      <c r="U228" s="1204" t="s">
        <v>689</v>
      </c>
      <c r="V228" s="1002"/>
      <c r="W228" s="1009"/>
      <c r="X228" s="1010"/>
    </row>
    <row r="229" spans="2:24">
      <c r="B229" s="131" t="s">
        <v>668</v>
      </c>
      <c r="C229" s="798"/>
      <c r="D229" s="1552"/>
      <c r="E229" s="1609"/>
      <c r="F229" s="18"/>
      <c r="G229" s="18"/>
      <c r="H229" s="657"/>
      <c r="I229" s="657"/>
      <c r="J229" s="657"/>
      <c r="K229" s="657"/>
      <c r="L229" s="115">
        <f t="shared" si="138"/>
        <v>0</v>
      </c>
      <c r="M229" s="18">
        <f>SUMIF(Fenster!$D$10:$D$2160,Fassade!F229,Fenster!$J$10:$J$2160)</f>
        <v>0</v>
      </c>
      <c r="N229" s="18">
        <f>SUMIF(Fenster!$D$10:$D$2160,Fassade!F229,Fenster!$M$10:$M$2160)</f>
        <v>0</v>
      </c>
      <c r="O229" s="18">
        <f>SUMIFS(Fenster!$M$10:$M$2160,Fenster!$D$10:$D$2160,Fassade!F229,Fenster!$L$10:$L$2160,"&gt;2,5")</f>
        <v>0</v>
      </c>
      <c r="P229" s="18">
        <f>SUMIF(Fenster!$D$10:$D$2160,Fassade!F229,Fenster!$K$10:$K$2160)</f>
        <v>0</v>
      </c>
      <c r="Q229" s="18">
        <f t="shared" si="139"/>
        <v>0</v>
      </c>
      <c r="R229" s="187">
        <f t="shared" si="140"/>
        <v>0</v>
      </c>
      <c r="S229" s="1596"/>
      <c r="T229" s="1606"/>
      <c r="U229" s="1212" t="s">
        <v>671</v>
      </c>
      <c r="V229" s="1586"/>
      <c r="W229" s="1586"/>
      <c r="X229" s="1589"/>
    </row>
    <row r="230" spans="2:24">
      <c r="B230" s="234" t="s">
        <v>670</v>
      </c>
      <c r="C230" s="798"/>
      <c r="D230" s="1552"/>
      <c r="E230" s="1609"/>
      <c r="F230" s="1612" t="s">
        <v>187</v>
      </c>
      <c r="G230" s="18"/>
      <c r="H230" s="657"/>
      <c r="I230" s="657"/>
      <c r="J230" s="657"/>
      <c r="K230" s="657"/>
      <c r="L230" s="1614">
        <f t="shared" ref="L230" si="141">SUM(L220:L229)</f>
        <v>0</v>
      </c>
      <c r="M230" s="1477">
        <f t="shared" ref="M230" si="142">SUM(M220:M229)</f>
        <v>0</v>
      </c>
      <c r="N230" s="1477">
        <f t="shared" ref="N230" si="143">SUM(N220:N229)</f>
        <v>0</v>
      </c>
      <c r="O230" s="1477">
        <f t="shared" ref="O230" si="144">SUM(O220:O229)</f>
        <v>0</v>
      </c>
      <c r="P230" s="1477">
        <f t="shared" ref="P230" si="145">SUM(P220:P229)</f>
        <v>0</v>
      </c>
      <c r="Q230" s="1477">
        <f t="shared" ref="Q230" si="146">SUM(Q220:Q229)</f>
        <v>0</v>
      </c>
      <c r="R230" s="1483">
        <f>SUM(R220:R229)</f>
        <v>0</v>
      </c>
      <c r="S230" s="1596"/>
      <c r="T230" s="1606"/>
      <c r="U230" s="1213"/>
      <c r="V230" s="1587"/>
      <c r="W230" s="1587"/>
      <c r="X230" s="1590"/>
    </row>
    <row r="231" spans="2:24" ht="17.399999999999999" thickBot="1">
      <c r="B231" s="234" t="s">
        <v>672</v>
      </c>
      <c r="C231" s="123"/>
      <c r="D231" s="1552"/>
      <c r="E231" s="1609"/>
      <c r="F231" s="1612"/>
      <c r="G231" s="788"/>
      <c r="H231" s="788"/>
      <c r="I231" s="18"/>
      <c r="J231" s="18"/>
      <c r="K231" s="18"/>
      <c r="L231" s="1614"/>
      <c r="M231" s="1477"/>
      <c r="N231" s="1477"/>
      <c r="O231" s="1477"/>
      <c r="P231" s="1477"/>
      <c r="Q231" s="1477"/>
      <c r="R231" s="1483"/>
      <c r="S231" s="1596"/>
      <c r="T231" s="1606"/>
      <c r="U231" s="1209"/>
      <c r="V231" s="1588"/>
      <c r="W231" s="1588"/>
      <c r="X231" s="1591"/>
    </row>
    <row r="232" spans="2:24" ht="57" customHeight="1">
      <c r="B232" s="792" t="s">
        <v>682</v>
      </c>
      <c r="C232" s="797"/>
      <c r="D232" s="1619" t="e" vm="7">
        <v>#VALUE!</v>
      </c>
      <c r="E232" s="1620"/>
      <c r="F232" s="784" t="s">
        <v>296</v>
      </c>
      <c r="G232" s="229" t="s">
        <v>272</v>
      </c>
      <c r="H232" s="229" t="s">
        <v>300</v>
      </c>
      <c r="I232" s="784" t="s">
        <v>301</v>
      </c>
      <c r="J232" s="785" t="s">
        <v>652</v>
      </c>
      <c r="K232" s="785" t="s">
        <v>653</v>
      </c>
      <c r="L232" s="785" t="s">
        <v>654</v>
      </c>
      <c r="M232" s="785" t="s">
        <v>655</v>
      </c>
      <c r="N232" s="785" t="s">
        <v>656</v>
      </c>
      <c r="O232" s="785" t="s">
        <v>657</v>
      </c>
      <c r="P232" s="785" t="s">
        <v>658</v>
      </c>
      <c r="Q232" s="785" t="s">
        <v>659</v>
      </c>
      <c r="R232" s="786" t="s">
        <v>660</v>
      </c>
      <c r="S232" s="1594"/>
      <c r="T232" s="1608"/>
      <c r="U232" s="1200" t="s">
        <v>661</v>
      </c>
      <c r="V232" s="995" t="str" cm="1">
        <f t="array" ref="V232">_xlfn.XLOOKUP(U232&amp;Allgemein!$C$45,Fassadenpositionen[[#Headers],[WDVS:]]&amp;Fassadenpositionen[Position Fassade],Fassadenpositionen[WDVS:],"",0,1)</f>
        <v>Nein</v>
      </c>
      <c r="W232" s="995" t="str" cm="1">
        <f t="array" ref="W232">_xlfn.XLOOKUP(U232&amp;Allgemein!$C$61,Fassadenpositionen[[#Headers],[WDVS:]]&amp;Fassadenpositionen[Position Fassade],Fassadenpositionen[WDVS:],"",0,1)</f>
        <v>Nein</v>
      </c>
      <c r="X232" s="996" t="str" cm="1">
        <f t="array" ref="X232">_xlfn.XLOOKUP(U232&amp;Allgemein!$C$77,Fassadenpositionen[[#Headers],[WDVS:]]&amp;Fassadenpositionen[Position Fassade],Fassadenpositionen[WDVS:],"",0,1)</f>
        <v>Nein</v>
      </c>
    </row>
    <row r="233" spans="2:24">
      <c r="B233" s="120" t="s">
        <v>662</v>
      </c>
      <c r="C233" s="364"/>
      <c r="D233" s="1552"/>
      <c r="E233" s="1609"/>
      <c r="F233" s="18"/>
      <c r="G233" s="18"/>
      <c r="H233" s="657"/>
      <c r="I233" s="657"/>
      <c r="J233" s="657"/>
      <c r="K233" s="657"/>
      <c r="L233" s="115">
        <f t="shared" ref="L233:L242" si="147">H233*I233+J233</f>
        <v>0</v>
      </c>
      <c r="M233" s="18">
        <f>SUMIF(Fenster!$D$10:$D$2160,Fassade!F233,Fenster!$J$10:$J$2160)</f>
        <v>0</v>
      </c>
      <c r="N233" s="18">
        <f>SUMIF(Fenster!$D$10:$D$2160,Fassade!F233,Fenster!$M$10:$M$2160)</f>
        <v>0</v>
      </c>
      <c r="O233" s="18">
        <f>SUMIFS(Fenster!$M$10:$M$2160,Fenster!$D$10:$D$2160,Fassade!F233,Fenster!$L$10:$L$2160,"&gt;2,5")</f>
        <v>0</v>
      </c>
      <c r="P233" s="18">
        <f>SUMIF(Fenster!$D$10:$D$2160,Fassade!F233,Fenster!$K$10:$K$2160)</f>
        <v>0</v>
      </c>
      <c r="Q233" s="18">
        <f t="shared" ref="Q233:Q242" si="148">L233-O233</f>
        <v>0</v>
      </c>
      <c r="R233" s="187">
        <f t="shared" ref="R233:R242" si="149">L233-N233</f>
        <v>0</v>
      </c>
      <c r="S233" s="1596"/>
      <c r="T233" s="1606"/>
      <c r="U233" s="1201" t="s">
        <v>663</v>
      </c>
      <c r="V233" s="997">
        <v>0</v>
      </c>
      <c r="W233" s="952">
        <v>0</v>
      </c>
      <c r="X233" s="988">
        <v>0</v>
      </c>
    </row>
    <row r="234" spans="2:24">
      <c r="B234" s="131" t="s">
        <v>683</v>
      </c>
      <c r="C234" s="208"/>
      <c r="D234" s="1552"/>
      <c r="E234" s="1609"/>
      <c r="F234" s="18"/>
      <c r="G234" s="18"/>
      <c r="H234" s="657"/>
      <c r="I234" s="657"/>
      <c r="J234" s="657"/>
      <c r="K234" s="657"/>
      <c r="L234" s="115">
        <f t="shared" si="147"/>
        <v>0</v>
      </c>
      <c r="M234" s="18">
        <f>SUMIF(Fenster!$D$10:$D$2160,Fassade!F234,Fenster!$J$10:$J$2160)</f>
        <v>0</v>
      </c>
      <c r="N234" s="18">
        <f>SUMIF(Fenster!$D$10:$D$2160,Fassade!F234,Fenster!$M$10:$M$2160)</f>
        <v>0</v>
      </c>
      <c r="O234" s="18">
        <f>SUMIFS(Fenster!$M$10:$M$2160,Fenster!$D$10:$D$2160,Fassade!F234,Fenster!$L$10:$L$2160,"&gt;2,5")</f>
        <v>0</v>
      </c>
      <c r="P234" s="18">
        <f>SUMIF(Fenster!$D$10:$D$2160,Fassade!F234,Fenster!$K$10:$K$2160)</f>
        <v>0</v>
      </c>
      <c r="Q234" s="18">
        <f t="shared" si="148"/>
        <v>0</v>
      </c>
      <c r="R234" s="187">
        <f t="shared" si="149"/>
        <v>0</v>
      </c>
      <c r="S234" s="1596"/>
      <c r="T234" s="1606"/>
      <c r="U234" s="1202" t="s">
        <v>665</v>
      </c>
      <c r="V234" s="998">
        <f>IF(V232="Ja",(Q243+V233)*$V$9,0)</f>
        <v>0</v>
      </c>
      <c r="W234" s="958">
        <f>IF(W232="Ja",(Q243+W233)*$V$9,0)</f>
        <v>0</v>
      </c>
      <c r="X234" s="999">
        <f>IF(X232="Ja",(Q243+X233)*$V$9,0)</f>
        <v>0</v>
      </c>
    </row>
    <row r="235" spans="2:24">
      <c r="B235" s="131" t="s">
        <v>684</v>
      </c>
      <c r="C235" s="208"/>
      <c r="D235" s="1552"/>
      <c r="E235" s="1609"/>
      <c r="F235" s="18"/>
      <c r="G235" s="18"/>
      <c r="H235" s="657"/>
      <c r="I235" s="657"/>
      <c r="J235" s="657"/>
      <c r="K235" s="657"/>
      <c r="L235" s="115">
        <f t="shared" si="147"/>
        <v>0</v>
      </c>
      <c r="M235" s="18">
        <f>SUMIF(Fenster!$D$10:$D$2160,Fassade!F235,Fenster!$J$10:$J$2160)</f>
        <v>0</v>
      </c>
      <c r="N235" s="18">
        <f>SUMIF(Fenster!$D$10:$D$2160,Fassade!F235,Fenster!$M$10:$M$2160)</f>
        <v>0</v>
      </c>
      <c r="O235" s="18">
        <f>SUMIFS(Fenster!$M$10:$M$2160,Fenster!$D$10:$D$2160,Fassade!F235,Fenster!$L$10:$L$2160,"&gt;2,5")</f>
        <v>0</v>
      </c>
      <c r="P235" s="18">
        <f>SUMIF(Fenster!$D$10:$D$2160,Fassade!F235,Fenster!$K$10:$K$2160)</f>
        <v>0</v>
      </c>
      <c r="Q235" s="18">
        <f t="shared" si="148"/>
        <v>0</v>
      </c>
      <c r="R235" s="187">
        <f t="shared" si="149"/>
        <v>0</v>
      </c>
      <c r="S235" s="1596"/>
      <c r="T235" s="1606"/>
      <c r="U235" s="1203" t="s">
        <v>667</v>
      </c>
      <c r="V235" s="998">
        <f>IF(V232="Ja",(R243+V233)*$V$9,0)</f>
        <v>0</v>
      </c>
      <c r="W235" s="958">
        <f>IF(W232="Ja",(R243+W233)*$V$9,0)</f>
        <v>0</v>
      </c>
      <c r="X235" s="999">
        <f>IF(X232="Ja",(R243+X233)*$V$9,0)</f>
        <v>0</v>
      </c>
    </row>
    <row r="236" spans="2:24">
      <c r="B236" s="131" t="s">
        <v>674</v>
      </c>
      <c r="C236" s="208"/>
      <c r="D236" s="1552"/>
      <c r="E236" s="1609"/>
      <c r="F236" s="18"/>
      <c r="G236" s="18"/>
      <c r="H236" s="657"/>
      <c r="I236" s="657"/>
      <c r="J236" s="657"/>
      <c r="K236" s="657"/>
      <c r="L236" s="115">
        <f t="shared" si="147"/>
        <v>0</v>
      </c>
      <c r="M236" s="18">
        <f>SUMIF(Fenster!$D$10:$D$2160,Fassade!F236,Fenster!$J$10:$J$2160)</f>
        <v>0</v>
      </c>
      <c r="N236" s="18">
        <f>SUMIF(Fenster!$D$10:$D$2160,Fassade!F236,Fenster!$M$10:$M$2160)</f>
        <v>0</v>
      </c>
      <c r="O236" s="18">
        <f>SUMIFS(Fenster!$M$10:$M$2160,Fenster!$D$10:$D$2160,Fassade!F236,Fenster!$L$10:$L$2160,"&gt;2,5")</f>
        <v>0</v>
      </c>
      <c r="P236" s="18">
        <f>SUMIF(Fenster!$D$10:$D$2160,Fassade!F236,Fenster!$K$10:$K$2160)</f>
        <v>0</v>
      </c>
      <c r="Q236" s="18">
        <f t="shared" si="148"/>
        <v>0</v>
      </c>
      <c r="R236" s="187">
        <f t="shared" si="149"/>
        <v>0</v>
      </c>
      <c r="S236" s="1596"/>
      <c r="T236" s="1606"/>
      <c r="U236" s="1204" t="s">
        <v>669</v>
      </c>
      <c r="V236" s="958" t="str">
        <f>Allgemein!$D$45</f>
        <v>-</v>
      </c>
      <c r="W236" s="958" t="str">
        <f>Allgemein!$D$61</f>
        <v>-</v>
      </c>
      <c r="X236" s="1000" t="str">
        <f>Allgemein!$D$77</f>
        <v>-</v>
      </c>
    </row>
    <row r="237" spans="2:24" ht="18.600000000000001">
      <c r="B237" s="131" t="s">
        <v>675</v>
      </c>
      <c r="C237" s="208"/>
      <c r="D237" s="1552"/>
      <c r="E237" s="1609"/>
      <c r="F237" s="18"/>
      <c r="G237" s="18"/>
      <c r="H237" s="657"/>
      <c r="I237" s="657"/>
      <c r="J237" s="657"/>
      <c r="K237" s="657"/>
      <c r="L237" s="115">
        <f t="shared" si="147"/>
        <v>0</v>
      </c>
      <c r="M237" s="18">
        <f>SUMIF(Fenster!$D$10:$D$2160,Fassade!F237,Fenster!$J$10:$J$2160)</f>
        <v>0</v>
      </c>
      <c r="N237" s="18">
        <f>SUMIF(Fenster!$D$10:$D$2160,Fassade!F237,Fenster!$M$10:$M$2160)</f>
        <v>0</v>
      </c>
      <c r="O237" s="18">
        <f>SUMIFS(Fenster!$M$10:$M$2160,Fenster!$D$10:$D$2160,Fassade!F237,Fenster!$L$10:$L$2160,"&gt;2,5")</f>
        <v>0</v>
      </c>
      <c r="P237" s="18">
        <f>SUMIF(Fenster!$D$10:$D$2160,Fassade!F237,Fenster!$K$10:$K$2160)</f>
        <v>0</v>
      </c>
      <c r="Q237" s="18">
        <f t="shared" si="148"/>
        <v>0</v>
      </c>
      <c r="R237" s="187">
        <f t="shared" si="149"/>
        <v>0</v>
      </c>
      <c r="S237" s="1596"/>
      <c r="T237" s="1606"/>
      <c r="U237" s="1210" t="s">
        <v>685</v>
      </c>
      <c r="V237" s="1005" t="str" cm="1">
        <f t="array" ref="V237">_xlfn.XLOOKUP(U237&amp;Allgemein!$C$45,Fassadenpositionen[[#Headers],[Einblasdämmung:]]&amp;Fassadenpositionen[Position Fassade],Fassadenpositionen[Einblasdämmung:],"",0,1)</f>
        <v>Nein</v>
      </c>
      <c r="W237" s="1006" t="str" cm="1">
        <f t="array" ref="W237">_xlfn.XLOOKUP(U237&amp;Allgemein!$C$61,Fassadenpositionen[[#Headers],[Einblasdämmung:]]&amp;Fassadenpositionen[Position Fassade],Fassadenpositionen[Einblasdämmung:],"",0,1)</f>
        <v>Nein</v>
      </c>
      <c r="X237" s="996" t="str" cm="1">
        <f t="array" ref="X237">_xlfn.XLOOKUP(U237&amp;Allgemein!$C$77,Fassadenpositionen[[#Headers],[Einblasdämmung:]]&amp;Fassadenpositionen[Position Fassade],Fassadenpositionen[Einblasdämmung:],"",0,1)</f>
        <v>Nein</v>
      </c>
    </row>
    <row r="238" spans="2:24">
      <c r="B238" s="131" t="s">
        <v>676</v>
      </c>
      <c r="C238" s="798"/>
      <c r="D238" s="1552"/>
      <c r="E238" s="1609"/>
      <c r="F238" s="18"/>
      <c r="G238" s="18"/>
      <c r="H238" s="657"/>
      <c r="I238" s="657"/>
      <c r="J238" s="657"/>
      <c r="K238" s="657"/>
      <c r="L238" s="115">
        <f t="shared" si="147"/>
        <v>0</v>
      </c>
      <c r="M238" s="18">
        <f>SUMIF(Fenster!$D$10:$D$2160,Fassade!F238,Fenster!$J$10:$J$2160)</f>
        <v>0</v>
      </c>
      <c r="N238" s="18">
        <f>SUMIF(Fenster!$D$10:$D$2160,Fassade!F238,Fenster!$M$10:$M$2160)</f>
        <v>0</v>
      </c>
      <c r="O238" s="18">
        <f>SUMIFS(Fenster!$M$10:$M$2160,Fenster!$D$10:$D$2160,Fassade!F238,Fenster!$L$10:$L$2160,"&gt;2,5")</f>
        <v>0</v>
      </c>
      <c r="P238" s="18">
        <f>SUMIF(Fenster!$D$10:$D$2160,Fassade!F238,Fenster!$K$10:$K$2160)</f>
        <v>0</v>
      </c>
      <c r="Q238" s="18">
        <f t="shared" si="148"/>
        <v>0</v>
      </c>
      <c r="R238" s="187">
        <f t="shared" si="149"/>
        <v>0</v>
      </c>
      <c r="S238" s="1596"/>
      <c r="T238" s="1606"/>
      <c r="U238" s="1211" t="s">
        <v>663</v>
      </c>
      <c r="V238" s="1001">
        <v>0</v>
      </c>
      <c r="W238" s="1007">
        <v>0</v>
      </c>
      <c r="X238" s="1003">
        <v>0</v>
      </c>
    </row>
    <row r="239" spans="2:24">
      <c r="B239" s="131" t="s">
        <v>686</v>
      </c>
      <c r="C239" s="798"/>
      <c r="D239" s="1552"/>
      <c r="E239" s="1609"/>
      <c r="F239" s="18"/>
      <c r="G239" s="18"/>
      <c r="H239" s="657"/>
      <c r="I239" s="657"/>
      <c r="J239" s="657"/>
      <c r="K239" s="657"/>
      <c r="L239" s="115">
        <f t="shared" si="147"/>
        <v>0</v>
      </c>
      <c r="M239" s="18">
        <f>SUMIF(Fenster!$D$10:$D$2160,Fassade!F239,Fenster!$J$10:$J$2160)</f>
        <v>0</v>
      </c>
      <c r="N239" s="18">
        <f>SUMIF(Fenster!$D$10:$D$2160,Fassade!F239,Fenster!$M$10:$M$2160)</f>
        <v>0</v>
      </c>
      <c r="O239" s="18">
        <f>SUMIFS(Fenster!$M$10:$M$2160,Fenster!$D$10:$D$2160,Fassade!F239,Fenster!$L$10:$L$2160,"&gt;2,5")</f>
        <v>0</v>
      </c>
      <c r="P239" s="18">
        <f>SUMIF(Fenster!$D$10:$D$2160,Fassade!F239,Fenster!$K$10:$K$2160)</f>
        <v>0</v>
      </c>
      <c r="Q239" s="18">
        <f t="shared" si="148"/>
        <v>0</v>
      </c>
      <c r="R239" s="187">
        <f t="shared" si="149"/>
        <v>0</v>
      </c>
      <c r="S239" s="1596"/>
      <c r="T239" s="1606"/>
      <c r="U239" s="1202" t="s">
        <v>665</v>
      </c>
      <c r="V239" s="1008">
        <f>IF(V237="Ja",(Q243+V238)*$V$9,0)</f>
        <v>0</v>
      </c>
      <c r="W239" s="1008">
        <f>IF(W237="Ja",(Q243+W238)*$V$9,0)</f>
        <v>0</v>
      </c>
      <c r="X239" s="1003">
        <f>IF(X237="Ja",(Q243+X238)*$V$9,0)</f>
        <v>0</v>
      </c>
    </row>
    <row r="240" spans="2:24">
      <c r="B240" s="131" t="s">
        <v>687</v>
      </c>
      <c r="C240" s="364"/>
      <c r="D240" s="1552"/>
      <c r="E240" s="1609"/>
      <c r="F240" s="18"/>
      <c r="G240" s="18"/>
      <c r="H240" s="657"/>
      <c r="I240" s="657"/>
      <c r="J240" s="657"/>
      <c r="K240" s="657"/>
      <c r="L240" s="115">
        <f t="shared" si="147"/>
        <v>0</v>
      </c>
      <c r="M240" s="18">
        <f>SUMIF(Fenster!$D$10:$D$2160,Fassade!F240,Fenster!$J$10:$J$2160)</f>
        <v>0</v>
      </c>
      <c r="N240" s="18">
        <f>SUMIF(Fenster!$D$10:$D$2160,Fassade!F240,Fenster!$M$10:$M$2160)</f>
        <v>0</v>
      </c>
      <c r="O240" s="18">
        <f>SUMIFS(Fenster!$M$10:$M$2160,Fenster!$D$10:$D$2160,Fassade!F240,Fenster!$L$10:$L$2160,"&gt;2,5")</f>
        <v>0</v>
      </c>
      <c r="P240" s="18">
        <f>SUMIF(Fenster!$D$10:$D$2160,Fassade!F240,Fenster!$K$10:$K$2160)</f>
        <v>0</v>
      </c>
      <c r="Q240" s="18">
        <f t="shared" si="148"/>
        <v>0</v>
      </c>
      <c r="R240" s="187">
        <f t="shared" si="149"/>
        <v>0</v>
      </c>
      <c r="S240" s="1596"/>
      <c r="T240" s="1606"/>
      <c r="U240" s="1203" t="s">
        <v>667</v>
      </c>
      <c r="V240" s="1008">
        <f>IF(V237="Ja",(R243+V238)*$V$9,0)</f>
        <v>0</v>
      </c>
      <c r="W240" s="1008">
        <f>IF(W237="Ja",(R243+W238)*$V$9,0)</f>
        <v>0</v>
      </c>
      <c r="X240" s="1003">
        <f>IF(X237="Ja",(R243+X238)*$V$9,0)</f>
        <v>0</v>
      </c>
    </row>
    <row r="241" spans="2:24">
      <c r="B241" s="131" t="s">
        <v>688</v>
      </c>
      <c r="C241" s="798"/>
      <c r="D241" s="1552"/>
      <c r="E241" s="1609"/>
      <c r="F241" s="18"/>
      <c r="G241" s="18"/>
      <c r="H241" s="657"/>
      <c r="I241" s="657"/>
      <c r="J241" s="657"/>
      <c r="K241" s="657"/>
      <c r="L241" s="115">
        <f t="shared" si="147"/>
        <v>0</v>
      </c>
      <c r="M241" s="18">
        <f>SUMIF(Fenster!$D$10:$D$2160,Fassade!F241,Fenster!$J$10:$J$2160)</f>
        <v>0</v>
      </c>
      <c r="N241" s="18">
        <f>SUMIF(Fenster!$D$10:$D$2160,Fassade!F241,Fenster!$M$10:$M$2160)</f>
        <v>0</v>
      </c>
      <c r="O241" s="18">
        <f>SUMIFS(Fenster!$M$10:$M$2160,Fenster!$D$10:$D$2160,Fassade!F241,Fenster!$L$10:$L$2160,"&gt;2,5")</f>
        <v>0</v>
      </c>
      <c r="P241" s="18">
        <f>SUMIF(Fenster!$D$10:$D$2160,Fassade!F241,Fenster!$K$10:$K$2160)</f>
        <v>0</v>
      </c>
      <c r="Q241" s="18">
        <f t="shared" si="148"/>
        <v>0</v>
      </c>
      <c r="R241" s="187">
        <f t="shared" si="149"/>
        <v>0</v>
      </c>
      <c r="S241" s="1596"/>
      <c r="T241" s="1606"/>
      <c r="U241" s="1204" t="s">
        <v>689</v>
      </c>
      <c r="V241" s="1002"/>
      <c r="W241" s="1009"/>
      <c r="X241" s="1010"/>
    </row>
    <row r="242" spans="2:24">
      <c r="B242" s="131" t="s">
        <v>668</v>
      </c>
      <c r="C242" s="798"/>
      <c r="D242" s="1552"/>
      <c r="E242" s="1609"/>
      <c r="F242" s="18"/>
      <c r="G242" s="18"/>
      <c r="H242" s="657"/>
      <c r="I242" s="657"/>
      <c r="J242" s="657"/>
      <c r="K242" s="657"/>
      <c r="L242" s="115">
        <f t="shared" si="147"/>
        <v>0</v>
      </c>
      <c r="M242" s="18">
        <f>SUMIF(Fenster!$D$10:$D$2160,Fassade!F242,Fenster!$J$10:$J$2160)</f>
        <v>0</v>
      </c>
      <c r="N242" s="18">
        <f>SUMIF(Fenster!$D$10:$D$2160,Fassade!F242,Fenster!$M$10:$M$2160)</f>
        <v>0</v>
      </c>
      <c r="O242" s="18">
        <f>SUMIFS(Fenster!$M$10:$M$2160,Fenster!$D$10:$D$2160,Fassade!F242,Fenster!$L$10:$L$2160,"&gt;2,5")</f>
        <v>0</v>
      </c>
      <c r="P242" s="18">
        <f>SUMIF(Fenster!$D$10:$D$2160,Fassade!F242,Fenster!$K$10:$K$2160)</f>
        <v>0</v>
      </c>
      <c r="Q242" s="18">
        <f t="shared" si="148"/>
        <v>0</v>
      </c>
      <c r="R242" s="187">
        <f t="shared" si="149"/>
        <v>0</v>
      </c>
      <c r="S242" s="1596"/>
      <c r="T242" s="1606"/>
      <c r="U242" s="1212" t="s">
        <v>671</v>
      </c>
      <c r="V242" s="1586"/>
      <c r="W242" s="1586"/>
      <c r="X242" s="1589"/>
    </row>
    <row r="243" spans="2:24">
      <c r="B243" s="234" t="s">
        <v>670</v>
      </c>
      <c r="C243" s="798"/>
      <c r="D243" s="1552"/>
      <c r="E243" s="1609"/>
      <c r="F243" s="1612" t="s">
        <v>187</v>
      </c>
      <c r="G243" s="18"/>
      <c r="H243" s="657"/>
      <c r="I243" s="657"/>
      <c r="J243" s="657"/>
      <c r="K243" s="657"/>
      <c r="L243" s="1614">
        <f t="shared" ref="L243" si="150">SUM(L233:L242)</f>
        <v>0</v>
      </c>
      <c r="M243" s="1477">
        <f t="shared" ref="M243" si="151">SUM(M233:M242)</f>
        <v>0</v>
      </c>
      <c r="N243" s="1477">
        <f t="shared" ref="N243" si="152">SUM(N233:N242)</f>
        <v>0</v>
      </c>
      <c r="O243" s="1477">
        <f t="shared" ref="O243" si="153">SUM(O233:O242)</f>
        <v>0</v>
      </c>
      <c r="P243" s="1477">
        <f t="shared" ref="P243" si="154">SUM(P233:P242)</f>
        <v>0</v>
      </c>
      <c r="Q243" s="1477">
        <f t="shared" ref="Q243" si="155">SUM(Q233:Q242)</f>
        <v>0</v>
      </c>
      <c r="R243" s="1483">
        <f>SUM(R233:R242)</f>
        <v>0</v>
      </c>
      <c r="S243" s="1596"/>
      <c r="T243" s="1606"/>
      <c r="U243" s="1213"/>
      <c r="V243" s="1587"/>
      <c r="W243" s="1587"/>
      <c r="X243" s="1590"/>
    </row>
    <row r="244" spans="2:24" ht="17.399999999999999" thickBot="1">
      <c r="B244" s="789" t="s">
        <v>672</v>
      </c>
      <c r="C244" s="722"/>
      <c r="D244" s="1610"/>
      <c r="E244" s="1611"/>
      <c r="F244" s="1613"/>
      <c r="G244" s="788"/>
      <c r="H244" s="788"/>
      <c r="I244" s="788"/>
      <c r="J244" s="788"/>
      <c r="K244" s="788"/>
      <c r="L244" s="1615"/>
      <c r="M244" s="1592"/>
      <c r="N244" s="1592"/>
      <c r="O244" s="1592"/>
      <c r="P244" s="1592"/>
      <c r="Q244" s="1592"/>
      <c r="R244" s="1605"/>
      <c r="S244" s="1598"/>
      <c r="T244" s="1607"/>
      <c r="U244" s="1209"/>
      <c r="V244" s="1588"/>
      <c r="W244" s="1588"/>
      <c r="X244" s="1591"/>
    </row>
    <row r="245" spans="2:24" ht="57" customHeight="1">
      <c r="B245" s="135" t="s">
        <v>690</v>
      </c>
      <c r="C245" s="123"/>
      <c r="D245" s="1552" t="e" vm="8">
        <v>#VALUE!</v>
      </c>
      <c r="E245" s="1609"/>
      <c r="F245" s="229" t="s">
        <v>296</v>
      </c>
      <c r="G245" s="229" t="s">
        <v>272</v>
      </c>
      <c r="H245" s="229" t="s">
        <v>300</v>
      </c>
      <c r="I245" s="229" t="s">
        <v>301</v>
      </c>
      <c r="J245" s="177" t="s">
        <v>652</v>
      </c>
      <c r="K245" s="177" t="s">
        <v>653</v>
      </c>
      <c r="L245" s="177" t="s">
        <v>654</v>
      </c>
      <c r="M245" s="177" t="s">
        <v>655</v>
      </c>
      <c r="N245" s="177" t="s">
        <v>656</v>
      </c>
      <c r="O245" s="177" t="s">
        <v>657</v>
      </c>
      <c r="P245" s="177" t="s">
        <v>658</v>
      </c>
      <c r="Q245" s="177" t="s">
        <v>659</v>
      </c>
      <c r="R245" s="713" t="s">
        <v>660</v>
      </c>
      <c r="S245" s="1600"/>
      <c r="T245" s="1606"/>
      <c r="U245" s="1200" t="s">
        <v>661</v>
      </c>
      <c r="V245" s="995" t="str" cm="1">
        <f t="array" ref="V245">_xlfn.XLOOKUP(U245&amp;Allgemein!$C$45,Fassadenpositionen[[#Headers],[WDVS:]]&amp;Fassadenpositionen[Position Fassade],Fassadenpositionen[WDVS:],"",0,1)</f>
        <v>Nein</v>
      </c>
      <c r="W245" s="995" t="str" cm="1">
        <f t="array" ref="W245">_xlfn.XLOOKUP(U245&amp;Allgemein!$C$61,Fassadenpositionen[[#Headers],[WDVS:]]&amp;Fassadenpositionen[Position Fassade],Fassadenpositionen[WDVS:],"",0,1)</f>
        <v>Nein</v>
      </c>
      <c r="X245" s="996" t="str" cm="1">
        <f t="array" ref="X245">_xlfn.XLOOKUP(U245&amp;Allgemein!$C$77,Fassadenpositionen[[#Headers],[WDVS:]]&amp;Fassadenpositionen[Position Fassade],Fassadenpositionen[WDVS:],"",0,1)</f>
        <v>Nein</v>
      </c>
    </row>
    <row r="246" spans="2:24">
      <c r="B246" s="120" t="s">
        <v>662</v>
      </c>
      <c r="C246" s="364"/>
      <c r="D246" s="1552"/>
      <c r="E246" s="1609"/>
      <c r="F246" s="18"/>
      <c r="G246" s="18"/>
      <c r="H246" s="657"/>
      <c r="I246" s="657"/>
      <c r="J246" s="657"/>
      <c r="K246" s="657"/>
      <c r="L246" s="115">
        <f t="shared" ref="L246:L255" si="156">H246*I246+J246</f>
        <v>0</v>
      </c>
      <c r="M246" s="18">
        <f>SUMIF(Fenster!$D$10:$D$2160,Fassade!F246,Fenster!$J$10:$J$2160)</f>
        <v>0</v>
      </c>
      <c r="N246" s="18">
        <f>SUMIF(Fenster!$D$10:$D$2160,Fassade!F246,Fenster!$M$10:$M$2160)</f>
        <v>0</v>
      </c>
      <c r="O246" s="18">
        <f>SUMIFS(Fenster!$M$10:$M$2160,Fenster!$D$10:$D$2160,Fassade!F246,Fenster!$L$10:$L$2160,"&gt;2,5")</f>
        <v>0</v>
      </c>
      <c r="P246" s="18">
        <f>SUMIF(Fenster!$D$10:$D$2160,Fassade!F246,Fenster!$K$10:$K$2160)</f>
        <v>0</v>
      </c>
      <c r="Q246" s="18">
        <f t="shared" ref="Q246:Q255" si="157">L246-O246</f>
        <v>0</v>
      </c>
      <c r="R246" s="187">
        <f t="shared" ref="R246:R255" si="158">L246-N246</f>
        <v>0</v>
      </c>
      <c r="S246" s="1596"/>
      <c r="T246" s="1606"/>
      <c r="U246" s="1201" t="s">
        <v>663</v>
      </c>
      <c r="V246" s="997">
        <v>0</v>
      </c>
      <c r="W246" s="952">
        <v>0</v>
      </c>
      <c r="X246" s="988">
        <v>0</v>
      </c>
    </row>
    <row r="247" spans="2:24">
      <c r="B247" s="131" t="s">
        <v>683</v>
      </c>
      <c r="C247" s="208"/>
      <c r="D247" s="1552"/>
      <c r="E247" s="1609"/>
      <c r="F247" s="18"/>
      <c r="G247" s="18"/>
      <c r="H247" s="657"/>
      <c r="I247" s="657"/>
      <c r="J247" s="657"/>
      <c r="K247" s="657"/>
      <c r="L247" s="115">
        <f t="shared" si="156"/>
        <v>0</v>
      </c>
      <c r="M247" s="18">
        <f>SUMIF(Fenster!$D$10:$D$2160,Fassade!F247,Fenster!$J$10:$J$2160)</f>
        <v>0</v>
      </c>
      <c r="N247" s="18">
        <f>SUMIF(Fenster!$D$10:$D$2160,Fassade!F247,Fenster!$M$10:$M$2160)</f>
        <v>0</v>
      </c>
      <c r="O247" s="18">
        <f>SUMIFS(Fenster!$M$10:$M$2160,Fenster!$D$10:$D$2160,Fassade!F247,Fenster!$L$10:$L$2160,"&gt;2,5")</f>
        <v>0</v>
      </c>
      <c r="P247" s="18">
        <f>SUMIF(Fenster!$D$10:$D$2160,Fassade!F247,Fenster!$K$10:$K$2160)</f>
        <v>0</v>
      </c>
      <c r="Q247" s="18">
        <f t="shared" si="157"/>
        <v>0</v>
      </c>
      <c r="R247" s="187">
        <f t="shared" si="158"/>
        <v>0</v>
      </c>
      <c r="S247" s="1596"/>
      <c r="T247" s="1606"/>
      <c r="U247" s="1202" t="s">
        <v>665</v>
      </c>
      <c r="V247" s="998">
        <f>IF(V245="Ja",(Q256+V246)*$V$9,0)</f>
        <v>0</v>
      </c>
      <c r="W247" s="958">
        <f>IF(W245="Ja",(Q256+W246)*$V$9,0)</f>
        <v>0</v>
      </c>
      <c r="X247" s="999">
        <f>IF(X245="Ja",(Q256+X246)*$V$9,0)</f>
        <v>0</v>
      </c>
    </row>
    <row r="248" spans="2:24">
      <c r="B248" s="131" t="s">
        <v>684</v>
      </c>
      <c r="C248" s="208"/>
      <c r="D248" s="1552"/>
      <c r="E248" s="1609"/>
      <c r="F248" s="18"/>
      <c r="G248" s="18"/>
      <c r="H248" s="657"/>
      <c r="I248" s="657"/>
      <c r="J248" s="657"/>
      <c r="K248" s="657"/>
      <c r="L248" s="115">
        <f t="shared" si="156"/>
        <v>0</v>
      </c>
      <c r="M248" s="18">
        <f>SUMIF(Fenster!$D$10:$D$2160,Fassade!F248,Fenster!$J$10:$J$2160)</f>
        <v>0</v>
      </c>
      <c r="N248" s="18">
        <f>SUMIF(Fenster!$D$10:$D$2160,Fassade!F248,Fenster!$M$10:$M$2160)</f>
        <v>0</v>
      </c>
      <c r="O248" s="18">
        <f>SUMIFS(Fenster!$M$10:$M$2160,Fenster!$D$10:$D$2160,Fassade!F248,Fenster!$L$10:$L$2160,"&gt;2,5")</f>
        <v>0</v>
      </c>
      <c r="P248" s="18">
        <f>SUMIF(Fenster!$D$10:$D$2160,Fassade!F248,Fenster!$K$10:$K$2160)</f>
        <v>0</v>
      </c>
      <c r="Q248" s="18">
        <f t="shared" si="157"/>
        <v>0</v>
      </c>
      <c r="R248" s="187">
        <f t="shared" si="158"/>
        <v>0</v>
      </c>
      <c r="S248" s="1596"/>
      <c r="T248" s="1606"/>
      <c r="U248" s="1203" t="s">
        <v>667</v>
      </c>
      <c r="V248" s="998">
        <f>IF(V245="Ja",(R256+V246)*$V$9,0)</f>
        <v>0</v>
      </c>
      <c r="W248" s="958">
        <f>IF(W245="Ja",(R256+W246)*$V$9,0)</f>
        <v>0</v>
      </c>
      <c r="X248" s="999">
        <f>IF(X245="Ja",(R256+X246)*$V$9,0)</f>
        <v>0</v>
      </c>
    </row>
    <row r="249" spans="2:24">
      <c r="B249" s="131" t="s">
        <v>674</v>
      </c>
      <c r="C249" s="208"/>
      <c r="D249" s="1552"/>
      <c r="E249" s="1609"/>
      <c r="F249" s="18"/>
      <c r="G249" s="18"/>
      <c r="H249" s="657"/>
      <c r="I249" s="657"/>
      <c r="J249" s="657"/>
      <c r="K249" s="657"/>
      <c r="L249" s="115">
        <f t="shared" si="156"/>
        <v>0</v>
      </c>
      <c r="M249" s="18">
        <f>SUMIF(Fenster!$D$10:$D$2160,Fassade!F249,Fenster!$J$10:$J$2160)</f>
        <v>0</v>
      </c>
      <c r="N249" s="18">
        <f>SUMIF(Fenster!$D$10:$D$2160,Fassade!F249,Fenster!$M$10:$M$2160)</f>
        <v>0</v>
      </c>
      <c r="O249" s="18">
        <f>SUMIFS(Fenster!$M$10:$M$2160,Fenster!$D$10:$D$2160,Fassade!F249,Fenster!$L$10:$L$2160,"&gt;2,5")</f>
        <v>0</v>
      </c>
      <c r="P249" s="18">
        <f>SUMIF(Fenster!$D$10:$D$2160,Fassade!F249,Fenster!$K$10:$K$2160)</f>
        <v>0</v>
      </c>
      <c r="Q249" s="18">
        <f t="shared" si="157"/>
        <v>0</v>
      </c>
      <c r="R249" s="187">
        <f t="shared" si="158"/>
        <v>0</v>
      </c>
      <c r="S249" s="1596"/>
      <c r="T249" s="1606"/>
      <c r="U249" s="1204" t="s">
        <v>669</v>
      </c>
      <c r="V249" s="958" t="str">
        <f>Allgemein!$D$45</f>
        <v>-</v>
      </c>
      <c r="W249" s="958" t="str">
        <f>Allgemein!$D$61</f>
        <v>-</v>
      </c>
      <c r="X249" s="1000" t="str">
        <f>Allgemein!$D$77</f>
        <v>-</v>
      </c>
    </row>
    <row r="250" spans="2:24" ht="18.600000000000001">
      <c r="B250" s="131" t="s">
        <v>675</v>
      </c>
      <c r="C250" s="208"/>
      <c r="D250" s="1552"/>
      <c r="E250" s="1609"/>
      <c r="F250" s="18"/>
      <c r="G250" s="18"/>
      <c r="H250" s="657"/>
      <c r="I250" s="657"/>
      <c r="J250" s="657"/>
      <c r="K250" s="657"/>
      <c r="L250" s="115">
        <f t="shared" si="156"/>
        <v>0</v>
      </c>
      <c r="M250" s="18">
        <f>SUMIF(Fenster!$D$10:$D$2160,Fassade!F250,Fenster!$J$10:$J$2160)</f>
        <v>0</v>
      </c>
      <c r="N250" s="18">
        <f>SUMIF(Fenster!$D$10:$D$2160,Fassade!F250,Fenster!$M$10:$M$2160)</f>
        <v>0</v>
      </c>
      <c r="O250" s="18">
        <f>SUMIFS(Fenster!$M$10:$M$2160,Fenster!$D$10:$D$2160,Fassade!F250,Fenster!$L$10:$L$2160,"&gt;2,5")</f>
        <v>0</v>
      </c>
      <c r="P250" s="18">
        <f>SUMIF(Fenster!$D$10:$D$2160,Fassade!F250,Fenster!$K$10:$K$2160)</f>
        <v>0</v>
      </c>
      <c r="Q250" s="18">
        <f t="shared" si="157"/>
        <v>0</v>
      </c>
      <c r="R250" s="187">
        <f t="shared" si="158"/>
        <v>0</v>
      </c>
      <c r="S250" s="1596"/>
      <c r="T250" s="1606"/>
      <c r="U250" s="1210" t="s">
        <v>685</v>
      </c>
      <c r="V250" s="1005" t="str" cm="1">
        <f t="array" ref="V250">_xlfn.XLOOKUP(U250&amp;Allgemein!$C$45,Fassadenpositionen[[#Headers],[Einblasdämmung:]]&amp;Fassadenpositionen[Position Fassade],Fassadenpositionen[Einblasdämmung:],"",0,1)</f>
        <v>Nein</v>
      </c>
      <c r="W250" s="1006" t="str" cm="1">
        <f t="array" ref="W250">_xlfn.XLOOKUP(U250&amp;Allgemein!$C$61,Fassadenpositionen[[#Headers],[Einblasdämmung:]]&amp;Fassadenpositionen[Position Fassade],Fassadenpositionen[Einblasdämmung:],"",0,1)</f>
        <v>Nein</v>
      </c>
      <c r="X250" s="996" t="str" cm="1">
        <f t="array" ref="X250">_xlfn.XLOOKUP(U250&amp;Allgemein!$C$77,Fassadenpositionen[[#Headers],[Einblasdämmung:]]&amp;Fassadenpositionen[Position Fassade],Fassadenpositionen[Einblasdämmung:],"",0,1)</f>
        <v>Nein</v>
      </c>
    </row>
    <row r="251" spans="2:24">
      <c r="B251" s="131" t="s">
        <v>676</v>
      </c>
      <c r="C251" s="798"/>
      <c r="D251" s="1552"/>
      <c r="E251" s="1609"/>
      <c r="F251" s="18"/>
      <c r="G251" s="18"/>
      <c r="H251" s="657"/>
      <c r="I251" s="657"/>
      <c r="J251" s="657"/>
      <c r="K251" s="657"/>
      <c r="L251" s="115">
        <f t="shared" si="156"/>
        <v>0</v>
      </c>
      <c r="M251" s="18">
        <f>SUMIF(Fenster!$D$10:$D$2160,Fassade!F251,Fenster!$J$10:$J$2160)</f>
        <v>0</v>
      </c>
      <c r="N251" s="18">
        <f>SUMIF(Fenster!$D$10:$D$2160,Fassade!F251,Fenster!$M$10:$M$2160)</f>
        <v>0</v>
      </c>
      <c r="O251" s="18">
        <f>SUMIFS(Fenster!$M$10:$M$2160,Fenster!$D$10:$D$2160,Fassade!F251,Fenster!$L$10:$L$2160,"&gt;2,5")</f>
        <v>0</v>
      </c>
      <c r="P251" s="18">
        <f>SUMIF(Fenster!$D$10:$D$2160,Fassade!F251,Fenster!$K$10:$K$2160)</f>
        <v>0</v>
      </c>
      <c r="Q251" s="18">
        <f t="shared" si="157"/>
        <v>0</v>
      </c>
      <c r="R251" s="187">
        <f t="shared" si="158"/>
        <v>0</v>
      </c>
      <c r="S251" s="1596"/>
      <c r="T251" s="1606"/>
      <c r="U251" s="1211" t="s">
        <v>663</v>
      </c>
      <c r="V251" s="1001">
        <v>0</v>
      </c>
      <c r="W251" s="1007">
        <v>0</v>
      </c>
      <c r="X251" s="1003">
        <v>0</v>
      </c>
    </row>
    <row r="252" spans="2:24">
      <c r="B252" s="131" t="s">
        <v>686</v>
      </c>
      <c r="C252" s="798"/>
      <c r="D252" s="1552"/>
      <c r="E252" s="1609"/>
      <c r="F252" s="18"/>
      <c r="G252" s="18"/>
      <c r="H252" s="657"/>
      <c r="I252" s="657"/>
      <c r="J252" s="657"/>
      <c r="K252" s="657"/>
      <c r="L252" s="115">
        <f t="shared" si="156"/>
        <v>0</v>
      </c>
      <c r="M252" s="18">
        <f>SUMIF(Fenster!$D$10:$D$2160,Fassade!F252,Fenster!$J$10:$J$2160)</f>
        <v>0</v>
      </c>
      <c r="N252" s="18">
        <f>SUMIF(Fenster!$D$10:$D$2160,Fassade!F252,Fenster!$M$10:$M$2160)</f>
        <v>0</v>
      </c>
      <c r="O252" s="18">
        <f>SUMIFS(Fenster!$M$10:$M$2160,Fenster!$D$10:$D$2160,Fassade!F252,Fenster!$L$10:$L$2160,"&gt;2,5")</f>
        <v>0</v>
      </c>
      <c r="P252" s="18">
        <f>SUMIF(Fenster!$D$10:$D$2160,Fassade!F252,Fenster!$K$10:$K$2160)</f>
        <v>0</v>
      </c>
      <c r="Q252" s="18">
        <f t="shared" si="157"/>
        <v>0</v>
      </c>
      <c r="R252" s="187">
        <f t="shared" si="158"/>
        <v>0</v>
      </c>
      <c r="S252" s="1596"/>
      <c r="T252" s="1606"/>
      <c r="U252" s="1202" t="s">
        <v>665</v>
      </c>
      <c r="V252" s="1008">
        <f>IF(V250="Ja",(Q256+V251)*$V$9,0)</f>
        <v>0</v>
      </c>
      <c r="W252" s="1008">
        <f>IF(W250="Ja",(Q256+W251)*$V$9,0)</f>
        <v>0</v>
      </c>
      <c r="X252" s="1003">
        <f>IF(X250="Ja",(Q256+X251)*$V$9,0)</f>
        <v>0</v>
      </c>
    </row>
    <row r="253" spans="2:24">
      <c r="B253" s="131" t="s">
        <v>687</v>
      </c>
      <c r="C253" s="364"/>
      <c r="D253" s="1552"/>
      <c r="E253" s="1609"/>
      <c r="F253" s="18"/>
      <c r="G253" s="18"/>
      <c r="H253" s="657"/>
      <c r="I253" s="657"/>
      <c r="J253" s="657"/>
      <c r="K253" s="657"/>
      <c r="L253" s="115">
        <f t="shared" si="156"/>
        <v>0</v>
      </c>
      <c r="M253" s="18">
        <f>SUMIF(Fenster!$D$10:$D$2160,Fassade!F253,Fenster!$J$10:$J$2160)</f>
        <v>0</v>
      </c>
      <c r="N253" s="18">
        <f>SUMIF(Fenster!$D$10:$D$2160,Fassade!F253,Fenster!$M$10:$M$2160)</f>
        <v>0</v>
      </c>
      <c r="O253" s="18">
        <f>SUMIFS(Fenster!$M$10:$M$2160,Fenster!$D$10:$D$2160,Fassade!F253,Fenster!$L$10:$L$2160,"&gt;2,5")</f>
        <v>0</v>
      </c>
      <c r="P253" s="18">
        <f>SUMIF(Fenster!$D$10:$D$2160,Fassade!F253,Fenster!$K$10:$K$2160)</f>
        <v>0</v>
      </c>
      <c r="Q253" s="18">
        <f t="shared" si="157"/>
        <v>0</v>
      </c>
      <c r="R253" s="187">
        <f t="shared" si="158"/>
        <v>0</v>
      </c>
      <c r="S253" s="1596"/>
      <c r="T253" s="1606"/>
      <c r="U253" s="1203" t="s">
        <v>667</v>
      </c>
      <c r="V253" s="1008">
        <f>IF(V250="Ja",(R256+V251)*$V$9,0)</f>
        <v>0</v>
      </c>
      <c r="W253" s="1008">
        <f>IF(W250="Ja",(R256+W251)*$V$9,0)</f>
        <v>0</v>
      </c>
      <c r="X253" s="1003">
        <f>IF(X250="Ja",(R256+X251)*$V$9,0)</f>
        <v>0</v>
      </c>
    </row>
    <row r="254" spans="2:24">
      <c r="B254" s="131" t="s">
        <v>688</v>
      </c>
      <c r="C254" s="798"/>
      <c r="D254" s="1552"/>
      <c r="E254" s="1609"/>
      <c r="F254" s="18"/>
      <c r="G254" s="18"/>
      <c r="H254" s="657"/>
      <c r="I254" s="657"/>
      <c r="J254" s="657"/>
      <c r="K254" s="657"/>
      <c r="L254" s="115">
        <f t="shared" si="156"/>
        <v>0</v>
      </c>
      <c r="M254" s="18">
        <f>SUMIF(Fenster!$D$10:$D$2160,Fassade!F254,Fenster!$J$10:$J$2160)</f>
        <v>0</v>
      </c>
      <c r="N254" s="18">
        <f>SUMIF(Fenster!$D$10:$D$2160,Fassade!F254,Fenster!$M$10:$M$2160)</f>
        <v>0</v>
      </c>
      <c r="O254" s="18">
        <f>SUMIFS(Fenster!$M$10:$M$2160,Fenster!$D$10:$D$2160,Fassade!F254,Fenster!$L$10:$L$2160,"&gt;2,5")</f>
        <v>0</v>
      </c>
      <c r="P254" s="18">
        <f>SUMIF(Fenster!$D$10:$D$2160,Fassade!F254,Fenster!$K$10:$K$2160)</f>
        <v>0</v>
      </c>
      <c r="Q254" s="18">
        <f t="shared" si="157"/>
        <v>0</v>
      </c>
      <c r="R254" s="187">
        <f t="shared" si="158"/>
        <v>0</v>
      </c>
      <c r="S254" s="1596"/>
      <c r="T254" s="1606"/>
      <c r="U254" s="1204" t="s">
        <v>689</v>
      </c>
      <c r="V254" s="1002"/>
      <c r="W254" s="1009"/>
      <c r="X254" s="1010"/>
    </row>
    <row r="255" spans="2:24">
      <c r="B255" s="131" t="s">
        <v>668</v>
      </c>
      <c r="C255" s="798"/>
      <c r="D255" s="1552"/>
      <c r="E255" s="1609"/>
      <c r="F255" s="18"/>
      <c r="G255" s="18"/>
      <c r="H255" s="657"/>
      <c r="I255" s="657"/>
      <c r="J255" s="657"/>
      <c r="K255" s="657"/>
      <c r="L255" s="115">
        <f t="shared" si="156"/>
        <v>0</v>
      </c>
      <c r="M255" s="18">
        <f>SUMIF(Fenster!$D$10:$D$2160,Fassade!F255,Fenster!$J$10:$J$2160)</f>
        <v>0</v>
      </c>
      <c r="N255" s="18">
        <f>SUMIF(Fenster!$D$10:$D$2160,Fassade!F255,Fenster!$M$10:$M$2160)</f>
        <v>0</v>
      </c>
      <c r="O255" s="18">
        <f>SUMIFS(Fenster!$M$10:$M$2160,Fenster!$D$10:$D$2160,Fassade!F255,Fenster!$L$10:$L$2160,"&gt;2,5")</f>
        <v>0</v>
      </c>
      <c r="P255" s="18">
        <f>SUMIF(Fenster!$D$10:$D$2160,Fassade!F255,Fenster!$K$10:$K$2160)</f>
        <v>0</v>
      </c>
      <c r="Q255" s="18">
        <f t="shared" si="157"/>
        <v>0</v>
      </c>
      <c r="R255" s="187">
        <f t="shared" si="158"/>
        <v>0</v>
      </c>
      <c r="S255" s="1596"/>
      <c r="T255" s="1606"/>
      <c r="U255" s="1212" t="s">
        <v>671</v>
      </c>
      <c r="V255" s="1586"/>
      <c r="W255" s="1586"/>
      <c r="X255" s="1589"/>
    </row>
    <row r="256" spans="2:24">
      <c r="B256" s="234" t="s">
        <v>670</v>
      </c>
      <c r="C256" s="798"/>
      <c r="D256" s="1552"/>
      <c r="E256" s="1609"/>
      <c r="F256" s="1612" t="s">
        <v>187</v>
      </c>
      <c r="G256" s="18"/>
      <c r="H256" s="657"/>
      <c r="I256" s="657"/>
      <c r="J256" s="657"/>
      <c r="K256" s="657"/>
      <c r="L256" s="1614">
        <f t="shared" ref="L256" si="159">SUM(L246:L255)</f>
        <v>0</v>
      </c>
      <c r="M256" s="1477">
        <f t="shared" ref="M256" si="160">SUM(M246:M255)</f>
        <v>0</v>
      </c>
      <c r="N256" s="1477">
        <f t="shared" ref="N256" si="161">SUM(N246:N255)</f>
        <v>0</v>
      </c>
      <c r="O256" s="1477">
        <f t="shared" ref="O256" si="162">SUM(O246:O255)</f>
        <v>0</v>
      </c>
      <c r="P256" s="1477">
        <f t="shared" ref="P256" si="163">SUM(P246:P255)</f>
        <v>0</v>
      </c>
      <c r="Q256" s="1477">
        <f t="shared" ref="Q256" si="164">SUM(Q246:Q255)</f>
        <v>0</v>
      </c>
      <c r="R256" s="1483">
        <f>SUM(R246:R255)</f>
        <v>0</v>
      </c>
      <c r="S256" s="1596"/>
      <c r="T256" s="1606"/>
      <c r="U256" s="1213"/>
      <c r="V256" s="1587"/>
      <c r="W256" s="1587"/>
      <c r="X256" s="1590"/>
    </row>
    <row r="257" spans="2:24" ht="17.399999999999999" thickBot="1">
      <c r="B257" s="234" t="s">
        <v>672</v>
      </c>
      <c r="C257" s="123"/>
      <c r="D257" s="1552"/>
      <c r="E257" s="1609"/>
      <c r="F257" s="1612"/>
      <c r="G257" s="788"/>
      <c r="H257" s="788"/>
      <c r="I257" s="788"/>
      <c r="J257" s="788"/>
      <c r="K257" s="788"/>
      <c r="L257" s="1614"/>
      <c r="M257" s="1477"/>
      <c r="N257" s="1477"/>
      <c r="O257" s="1477"/>
      <c r="P257" s="1477"/>
      <c r="Q257" s="1477"/>
      <c r="R257" s="1483"/>
      <c r="S257" s="1596"/>
      <c r="T257" s="1606"/>
      <c r="U257" s="1209"/>
      <c r="V257" s="1588"/>
      <c r="W257" s="1588"/>
      <c r="X257" s="1591"/>
    </row>
    <row r="258" spans="2:24" ht="57" customHeight="1">
      <c r="B258" s="792" t="s">
        <v>690</v>
      </c>
      <c r="C258" s="797"/>
      <c r="D258" s="1619" t="e" vm="8">
        <v>#VALUE!</v>
      </c>
      <c r="E258" s="1620"/>
      <c r="F258" s="784" t="s">
        <v>296</v>
      </c>
      <c r="G258" s="229" t="s">
        <v>272</v>
      </c>
      <c r="H258" s="229" t="s">
        <v>300</v>
      </c>
      <c r="I258" s="229" t="s">
        <v>301</v>
      </c>
      <c r="J258" s="177" t="s">
        <v>652</v>
      </c>
      <c r="K258" s="177" t="s">
        <v>653</v>
      </c>
      <c r="L258" s="785" t="s">
        <v>654</v>
      </c>
      <c r="M258" s="785" t="s">
        <v>655</v>
      </c>
      <c r="N258" s="785" t="s">
        <v>656</v>
      </c>
      <c r="O258" s="785" t="s">
        <v>657</v>
      </c>
      <c r="P258" s="785" t="s">
        <v>658</v>
      </c>
      <c r="Q258" s="785" t="s">
        <v>659</v>
      </c>
      <c r="R258" s="786" t="s">
        <v>660</v>
      </c>
      <c r="S258" s="1594"/>
      <c r="T258" s="1608"/>
      <c r="U258" s="1200" t="s">
        <v>661</v>
      </c>
      <c r="V258" s="995" t="str" cm="1">
        <f t="array" ref="V258">_xlfn.XLOOKUP(U258&amp;Allgemein!$C$45,Fassadenpositionen[[#Headers],[WDVS:]]&amp;Fassadenpositionen[Position Fassade],Fassadenpositionen[WDVS:],"",0,1)</f>
        <v>Nein</v>
      </c>
      <c r="W258" s="995" t="str" cm="1">
        <f t="array" ref="W258">_xlfn.XLOOKUP(U258&amp;Allgemein!$C$61,Fassadenpositionen[[#Headers],[WDVS:]]&amp;Fassadenpositionen[Position Fassade],Fassadenpositionen[WDVS:],"",0,1)</f>
        <v>Nein</v>
      </c>
      <c r="X258" s="996" t="str" cm="1">
        <f t="array" ref="X258">_xlfn.XLOOKUP(U258&amp;Allgemein!$C$77,Fassadenpositionen[[#Headers],[WDVS:]]&amp;Fassadenpositionen[Position Fassade],Fassadenpositionen[WDVS:],"",0,1)</f>
        <v>Nein</v>
      </c>
    </row>
    <row r="259" spans="2:24">
      <c r="B259" s="120" t="s">
        <v>662</v>
      </c>
      <c r="C259" s="364"/>
      <c r="D259" s="1552"/>
      <c r="E259" s="1609"/>
      <c r="F259" s="18"/>
      <c r="G259" s="18"/>
      <c r="H259" s="657"/>
      <c r="I259" s="657"/>
      <c r="J259" s="657"/>
      <c r="K259" s="657"/>
      <c r="L259" s="115">
        <f t="shared" ref="L259:L268" si="165">H259*I259+J259</f>
        <v>0</v>
      </c>
      <c r="M259" s="18">
        <f>SUMIF(Fenster!$D$10:$D$2160,Fassade!F259,Fenster!$J$10:$J$2160)</f>
        <v>0</v>
      </c>
      <c r="N259" s="18">
        <f>SUMIF(Fenster!$D$10:$D$2160,Fassade!F259,Fenster!$M$10:$M$2160)</f>
        <v>0</v>
      </c>
      <c r="O259" s="18">
        <f>SUMIFS(Fenster!$M$10:$M$2160,Fenster!$D$10:$D$2160,Fassade!F259,Fenster!$L$10:$L$2160,"&gt;2,5")</f>
        <v>0</v>
      </c>
      <c r="P259" s="18">
        <f>SUMIF(Fenster!$D$10:$D$2160,Fassade!F259,Fenster!$K$10:$K$2160)</f>
        <v>0</v>
      </c>
      <c r="Q259" s="18">
        <f t="shared" ref="Q259:Q268" si="166">L259-O259</f>
        <v>0</v>
      </c>
      <c r="R259" s="187">
        <f t="shared" ref="R259:R268" si="167">L259-N259</f>
        <v>0</v>
      </c>
      <c r="S259" s="1596"/>
      <c r="T259" s="1606"/>
      <c r="U259" s="1201" t="s">
        <v>663</v>
      </c>
      <c r="V259" s="997">
        <v>0</v>
      </c>
      <c r="W259" s="952">
        <v>0</v>
      </c>
      <c r="X259" s="988">
        <v>0</v>
      </c>
    </row>
    <row r="260" spans="2:24">
      <c r="B260" s="131" t="s">
        <v>683</v>
      </c>
      <c r="C260" s="208"/>
      <c r="D260" s="1552"/>
      <c r="E260" s="1609"/>
      <c r="F260" s="18"/>
      <c r="G260" s="18"/>
      <c r="H260" s="657"/>
      <c r="I260" s="657"/>
      <c r="J260" s="657"/>
      <c r="K260" s="657"/>
      <c r="L260" s="115">
        <f t="shared" si="165"/>
        <v>0</v>
      </c>
      <c r="M260" s="18">
        <f>SUMIF(Fenster!$D$10:$D$2160,Fassade!F260,Fenster!$J$10:$J$2160)</f>
        <v>0</v>
      </c>
      <c r="N260" s="18">
        <f>SUMIF(Fenster!$D$10:$D$2160,Fassade!F260,Fenster!$M$10:$M$2160)</f>
        <v>0</v>
      </c>
      <c r="O260" s="18">
        <f>SUMIFS(Fenster!$M$10:$M$2160,Fenster!$D$10:$D$2160,Fassade!F260,Fenster!$L$10:$L$2160,"&gt;2,5")</f>
        <v>0</v>
      </c>
      <c r="P260" s="18">
        <f>SUMIF(Fenster!$D$10:$D$2160,Fassade!F260,Fenster!$K$10:$K$2160)</f>
        <v>0</v>
      </c>
      <c r="Q260" s="18">
        <f t="shared" si="166"/>
        <v>0</v>
      </c>
      <c r="R260" s="187">
        <f t="shared" si="167"/>
        <v>0</v>
      </c>
      <c r="S260" s="1596"/>
      <c r="T260" s="1606"/>
      <c r="U260" s="1202" t="s">
        <v>665</v>
      </c>
      <c r="V260" s="998">
        <f>IF(V258="Ja",(Q269+V259)*$V$9,0)</f>
        <v>0</v>
      </c>
      <c r="W260" s="958">
        <f>IF(W258="Ja",(Q269+W259)*$V$9,0)</f>
        <v>0</v>
      </c>
      <c r="X260" s="999">
        <f>IF(X258="Ja",(Q269+X259)*$V$9,0)</f>
        <v>0</v>
      </c>
    </row>
    <row r="261" spans="2:24">
      <c r="B261" s="131" t="s">
        <v>684</v>
      </c>
      <c r="C261" s="208"/>
      <c r="D261" s="1552"/>
      <c r="E261" s="1609"/>
      <c r="F261" s="18"/>
      <c r="G261" s="18"/>
      <c r="H261" s="657"/>
      <c r="I261" s="657"/>
      <c r="J261" s="657"/>
      <c r="K261" s="657"/>
      <c r="L261" s="115">
        <f t="shared" si="165"/>
        <v>0</v>
      </c>
      <c r="M261" s="18">
        <f>SUMIF(Fenster!$D$10:$D$2160,Fassade!F261,Fenster!$J$10:$J$2160)</f>
        <v>0</v>
      </c>
      <c r="N261" s="18">
        <f>SUMIF(Fenster!$D$10:$D$2160,Fassade!F261,Fenster!$M$10:$M$2160)</f>
        <v>0</v>
      </c>
      <c r="O261" s="18">
        <f>SUMIFS(Fenster!$M$10:$M$2160,Fenster!$D$10:$D$2160,Fassade!F261,Fenster!$L$10:$L$2160,"&gt;2,5")</f>
        <v>0</v>
      </c>
      <c r="P261" s="18">
        <f>SUMIF(Fenster!$D$10:$D$2160,Fassade!F261,Fenster!$K$10:$K$2160)</f>
        <v>0</v>
      </c>
      <c r="Q261" s="18">
        <f t="shared" si="166"/>
        <v>0</v>
      </c>
      <c r="R261" s="187">
        <f t="shared" si="167"/>
        <v>0</v>
      </c>
      <c r="S261" s="1596"/>
      <c r="T261" s="1606"/>
      <c r="U261" s="1203" t="s">
        <v>667</v>
      </c>
      <c r="V261" s="998">
        <f>IF(V258="Ja",(R269+V259)*$V$9,0)</f>
        <v>0</v>
      </c>
      <c r="W261" s="958">
        <f>IF(W258="Ja",(R269+W259)*$V$9,0)</f>
        <v>0</v>
      </c>
      <c r="X261" s="999">
        <f>IF(X258="Ja",(R269+X259)*$V$9,0)</f>
        <v>0</v>
      </c>
    </row>
    <row r="262" spans="2:24">
      <c r="B262" s="131" t="s">
        <v>674</v>
      </c>
      <c r="C262" s="208"/>
      <c r="D262" s="1552"/>
      <c r="E262" s="1609"/>
      <c r="F262" s="18"/>
      <c r="G262" s="18"/>
      <c r="H262" s="657"/>
      <c r="I262" s="657"/>
      <c r="J262" s="657"/>
      <c r="K262" s="657"/>
      <c r="L262" s="115">
        <f t="shared" si="165"/>
        <v>0</v>
      </c>
      <c r="M262" s="18">
        <f>SUMIF(Fenster!$D$10:$D$2160,Fassade!F262,Fenster!$J$10:$J$2160)</f>
        <v>0</v>
      </c>
      <c r="N262" s="18">
        <f>SUMIF(Fenster!$D$10:$D$2160,Fassade!F262,Fenster!$M$10:$M$2160)</f>
        <v>0</v>
      </c>
      <c r="O262" s="18">
        <f>SUMIFS(Fenster!$M$10:$M$2160,Fenster!$D$10:$D$2160,Fassade!F262,Fenster!$L$10:$L$2160,"&gt;2,5")</f>
        <v>0</v>
      </c>
      <c r="P262" s="18">
        <f>SUMIF(Fenster!$D$10:$D$2160,Fassade!F262,Fenster!$K$10:$K$2160)</f>
        <v>0</v>
      </c>
      <c r="Q262" s="18">
        <f t="shared" si="166"/>
        <v>0</v>
      </c>
      <c r="R262" s="187">
        <f t="shared" si="167"/>
        <v>0</v>
      </c>
      <c r="S262" s="1596"/>
      <c r="T262" s="1606"/>
      <c r="U262" s="1204" t="s">
        <v>669</v>
      </c>
      <c r="V262" s="958" t="str">
        <f>Allgemein!$D$45</f>
        <v>-</v>
      </c>
      <c r="W262" s="958" t="str">
        <f>Allgemein!$D$61</f>
        <v>-</v>
      </c>
      <c r="X262" s="1000" t="str">
        <f>Allgemein!$D$77</f>
        <v>-</v>
      </c>
    </row>
    <row r="263" spans="2:24" ht="18.600000000000001">
      <c r="B263" s="131" t="s">
        <v>675</v>
      </c>
      <c r="C263" s="208"/>
      <c r="D263" s="1552"/>
      <c r="E263" s="1609"/>
      <c r="F263" s="18"/>
      <c r="G263" s="18"/>
      <c r="H263" s="657"/>
      <c r="I263" s="657"/>
      <c r="J263" s="657"/>
      <c r="K263" s="657"/>
      <c r="L263" s="115">
        <f t="shared" si="165"/>
        <v>0</v>
      </c>
      <c r="M263" s="18">
        <f>SUMIF(Fenster!$D$10:$D$2160,Fassade!F263,Fenster!$J$10:$J$2160)</f>
        <v>0</v>
      </c>
      <c r="N263" s="18">
        <f>SUMIF(Fenster!$D$10:$D$2160,Fassade!F263,Fenster!$M$10:$M$2160)</f>
        <v>0</v>
      </c>
      <c r="O263" s="18">
        <f>SUMIFS(Fenster!$M$10:$M$2160,Fenster!$D$10:$D$2160,Fassade!F263,Fenster!$L$10:$L$2160,"&gt;2,5")</f>
        <v>0</v>
      </c>
      <c r="P263" s="18">
        <f>SUMIF(Fenster!$D$10:$D$2160,Fassade!F263,Fenster!$K$10:$K$2160)</f>
        <v>0</v>
      </c>
      <c r="Q263" s="18">
        <f t="shared" si="166"/>
        <v>0</v>
      </c>
      <c r="R263" s="187">
        <f t="shared" si="167"/>
        <v>0</v>
      </c>
      <c r="S263" s="1596"/>
      <c r="T263" s="1606"/>
      <c r="U263" s="1210" t="s">
        <v>685</v>
      </c>
      <c r="V263" s="1005" t="str" cm="1">
        <f t="array" ref="V263">_xlfn.XLOOKUP(U263&amp;Allgemein!$C$45,Fassadenpositionen[[#Headers],[Einblasdämmung:]]&amp;Fassadenpositionen[Position Fassade],Fassadenpositionen[Einblasdämmung:],"",0,1)</f>
        <v>Nein</v>
      </c>
      <c r="W263" s="1006" t="str" cm="1">
        <f t="array" ref="W263">_xlfn.XLOOKUP(U263&amp;Allgemein!$C$61,Fassadenpositionen[[#Headers],[Einblasdämmung:]]&amp;Fassadenpositionen[Position Fassade],Fassadenpositionen[Einblasdämmung:],"",0,1)</f>
        <v>Nein</v>
      </c>
      <c r="X263" s="996" t="str" cm="1">
        <f t="array" ref="X263">_xlfn.XLOOKUP(U263&amp;Allgemein!$C$77,Fassadenpositionen[[#Headers],[Einblasdämmung:]]&amp;Fassadenpositionen[Position Fassade],Fassadenpositionen[Einblasdämmung:],"",0,1)</f>
        <v>Nein</v>
      </c>
    </row>
    <row r="264" spans="2:24">
      <c r="B264" s="131" t="s">
        <v>676</v>
      </c>
      <c r="C264" s="798"/>
      <c r="D264" s="1552"/>
      <c r="E264" s="1609"/>
      <c r="F264" s="18"/>
      <c r="G264" s="18"/>
      <c r="H264" s="657"/>
      <c r="I264" s="657"/>
      <c r="J264" s="657"/>
      <c r="K264" s="657"/>
      <c r="L264" s="115">
        <f t="shared" si="165"/>
        <v>0</v>
      </c>
      <c r="M264" s="18">
        <f>SUMIF(Fenster!$D$10:$D$2160,Fassade!F264,Fenster!$J$10:$J$2160)</f>
        <v>0</v>
      </c>
      <c r="N264" s="18">
        <f>SUMIF(Fenster!$D$10:$D$2160,Fassade!F264,Fenster!$M$10:$M$2160)</f>
        <v>0</v>
      </c>
      <c r="O264" s="18">
        <f>SUMIFS(Fenster!$M$10:$M$2160,Fenster!$D$10:$D$2160,Fassade!F264,Fenster!$L$10:$L$2160,"&gt;2,5")</f>
        <v>0</v>
      </c>
      <c r="P264" s="18">
        <f>SUMIF(Fenster!$D$10:$D$2160,Fassade!F264,Fenster!$K$10:$K$2160)</f>
        <v>0</v>
      </c>
      <c r="Q264" s="18">
        <f t="shared" si="166"/>
        <v>0</v>
      </c>
      <c r="R264" s="187">
        <f t="shared" si="167"/>
        <v>0</v>
      </c>
      <c r="S264" s="1596"/>
      <c r="T264" s="1606"/>
      <c r="U264" s="1211" t="s">
        <v>663</v>
      </c>
      <c r="V264" s="1001">
        <v>0</v>
      </c>
      <c r="W264" s="1007">
        <v>0</v>
      </c>
      <c r="X264" s="1003">
        <v>0</v>
      </c>
    </row>
    <row r="265" spans="2:24">
      <c r="B265" s="131" t="s">
        <v>686</v>
      </c>
      <c r="C265" s="798"/>
      <c r="D265" s="1552"/>
      <c r="E265" s="1609"/>
      <c r="F265" s="18"/>
      <c r="G265" s="18"/>
      <c r="H265" s="657"/>
      <c r="I265" s="657"/>
      <c r="J265" s="657"/>
      <c r="K265" s="657"/>
      <c r="L265" s="115">
        <f t="shared" si="165"/>
        <v>0</v>
      </c>
      <c r="M265" s="18">
        <f>SUMIF(Fenster!$D$10:$D$2160,Fassade!F265,Fenster!$J$10:$J$2160)</f>
        <v>0</v>
      </c>
      <c r="N265" s="18">
        <f>SUMIF(Fenster!$D$10:$D$2160,Fassade!F265,Fenster!$M$10:$M$2160)</f>
        <v>0</v>
      </c>
      <c r="O265" s="18">
        <f>SUMIFS(Fenster!$M$10:$M$2160,Fenster!$D$10:$D$2160,Fassade!F265,Fenster!$L$10:$L$2160,"&gt;2,5")</f>
        <v>0</v>
      </c>
      <c r="P265" s="18">
        <f>SUMIF(Fenster!$D$10:$D$2160,Fassade!F265,Fenster!$K$10:$K$2160)</f>
        <v>0</v>
      </c>
      <c r="Q265" s="18">
        <f t="shared" si="166"/>
        <v>0</v>
      </c>
      <c r="R265" s="187">
        <f t="shared" si="167"/>
        <v>0</v>
      </c>
      <c r="S265" s="1596"/>
      <c r="T265" s="1606"/>
      <c r="U265" s="1202" t="s">
        <v>665</v>
      </c>
      <c r="V265" s="1008">
        <f>IF(V263="Ja",(Q269+V264)*$V$9,0)</f>
        <v>0</v>
      </c>
      <c r="W265" s="1008">
        <f>IF(W263="Ja",(Q269+W264)*$V$9,0)</f>
        <v>0</v>
      </c>
      <c r="X265" s="1003">
        <f>IF(X263="Ja",(Q269+X264)*$V$9,0)</f>
        <v>0</v>
      </c>
    </row>
    <row r="266" spans="2:24">
      <c r="B266" s="131" t="s">
        <v>687</v>
      </c>
      <c r="C266" s="364"/>
      <c r="D266" s="1552"/>
      <c r="E266" s="1609"/>
      <c r="F266" s="18"/>
      <c r="G266" s="18"/>
      <c r="H266" s="657"/>
      <c r="I266" s="657"/>
      <c r="J266" s="657"/>
      <c r="K266" s="657"/>
      <c r="L266" s="115">
        <f t="shared" si="165"/>
        <v>0</v>
      </c>
      <c r="M266" s="18">
        <f>SUMIF(Fenster!$D$10:$D$2160,Fassade!F266,Fenster!$J$10:$J$2160)</f>
        <v>0</v>
      </c>
      <c r="N266" s="18">
        <f>SUMIF(Fenster!$D$10:$D$2160,Fassade!F266,Fenster!$M$10:$M$2160)</f>
        <v>0</v>
      </c>
      <c r="O266" s="18">
        <f>SUMIFS(Fenster!$M$10:$M$2160,Fenster!$D$10:$D$2160,Fassade!F266,Fenster!$L$10:$L$2160,"&gt;2,5")</f>
        <v>0</v>
      </c>
      <c r="P266" s="18">
        <f>SUMIF(Fenster!$D$10:$D$2160,Fassade!F266,Fenster!$K$10:$K$2160)</f>
        <v>0</v>
      </c>
      <c r="Q266" s="18">
        <f t="shared" si="166"/>
        <v>0</v>
      </c>
      <c r="R266" s="187">
        <f t="shared" si="167"/>
        <v>0</v>
      </c>
      <c r="S266" s="1596"/>
      <c r="T266" s="1606"/>
      <c r="U266" s="1203" t="s">
        <v>667</v>
      </c>
      <c r="V266" s="1008">
        <f>IF(V263="Ja",(R269+V264)*$V$9,0)</f>
        <v>0</v>
      </c>
      <c r="W266" s="1008">
        <f>IF(W263="Ja",(R269+W264)*$V$9,0)</f>
        <v>0</v>
      </c>
      <c r="X266" s="1003">
        <f>IF(X263="Ja",(R269+X264)*$V$9,0)</f>
        <v>0</v>
      </c>
    </row>
    <row r="267" spans="2:24">
      <c r="B267" s="131" t="s">
        <v>688</v>
      </c>
      <c r="C267" s="798"/>
      <c r="D267" s="1552"/>
      <c r="E267" s="1609"/>
      <c r="F267" s="18"/>
      <c r="G267" s="18"/>
      <c r="H267" s="657"/>
      <c r="I267" s="657"/>
      <c r="J267" s="657"/>
      <c r="K267" s="657"/>
      <c r="L267" s="115">
        <f t="shared" si="165"/>
        <v>0</v>
      </c>
      <c r="M267" s="18">
        <f>SUMIF(Fenster!$D$10:$D$2160,Fassade!F267,Fenster!$J$10:$J$2160)</f>
        <v>0</v>
      </c>
      <c r="N267" s="18">
        <f>SUMIF(Fenster!$D$10:$D$2160,Fassade!F267,Fenster!$M$10:$M$2160)</f>
        <v>0</v>
      </c>
      <c r="O267" s="18">
        <f>SUMIFS(Fenster!$M$10:$M$2160,Fenster!$D$10:$D$2160,Fassade!F267,Fenster!$L$10:$L$2160,"&gt;2,5")</f>
        <v>0</v>
      </c>
      <c r="P267" s="18">
        <f>SUMIF(Fenster!$D$10:$D$2160,Fassade!F267,Fenster!$K$10:$K$2160)</f>
        <v>0</v>
      </c>
      <c r="Q267" s="18">
        <f t="shared" si="166"/>
        <v>0</v>
      </c>
      <c r="R267" s="187">
        <f t="shared" si="167"/>
        <v>0</v>
      </c>
      <c r="S267" s="1596"/>
      <c r="T267" s="1606"/>
      <c r="U267" s="1204" t="s">
        <v>689</v>
      </c>
      <c r="V267" s="1002"/>
      <c r="W267" s="1009"/>
      <c r="X267" s="1010"/>
    </row>
    <row r="268" spans="2:24">
      <c r="B268" s="131" t="s">
        <v>668</v>
      </c>
      <c r="C268" s="798"/>
      <c r="D268" s="1552"/>
      <c r="E268" s="1609"/>
      <c r="F268" s="18"/>
      <c r="G268" s="18"/>
      <c r="H268" s="657"/>
      <c r="I268" s="657"/>
      <c r="J268" s="657"/>
      <c r="K268" s="657"/>
      <c r="L268" s="115">
        <f t="shared" si="165"/>
        <v>0</v>
      </c>
      <c r="M268" s="18">
        <f>SUMIF(Fenster!$D$10:$D$2160,Fassade!F268,Fenster!$J$10:$J$2160)</f>
        <v>0</v>
      </c>
      <c r="N268" s="18">
        <f>SUMIF(Fenster!$D$10:$D$2160,Fassade!F268,Fenster!$M$10:$M$2160)</f>
        <v>0</v>
      </c>
      <c r="O268" s="18">
        <f>SUMIFS(Fenster!$M$10:$M$2160,Fenster!$D$10:$D$2160,Fassade!F268,Fenster!$L$10:$L$2160,"&gt;2,5")</f>
        <v>0</v>
      </c>
      <c r="P268" s="18">
        <f>SUMIF(Fenster!$D$10:$D$2160,Fassade!F268,Fenster!$K$10:$K$2160)</f>
        <v>0</v>
      </c>
      <c r="Q268" s="18">
        <f t="shared" si="166"/>
        <v>0</v>
      </c>
      <c r="R268" s="187">
        <f t="shared" si="167"/>
        <v>0</v>
      </c>
      <c r="S268" s="1596"/>
      <c r="T268" s="1606"/>
      <c r="U268" s="1212" t="s">
        <v>671</v>
      </c>
      <c r="V268" s="1586"/>
      <c r="W268" s="1586"/>
      <c r="X268" s="1589"/>
    </row>
    <row r="269" spans="2:24">
      <c r="B269" s="234" t="s">
        <v>670</v>
      </c>
      <c r="C269" s="798"/>
      <c r="D269" s="1552"/>
      <c r="E269" s="1609"/>
      <c r="F269" s="1612" t="s">
        <v>187</v>
      </c>
      <c r="G269" s="18"/>
      <c r="H269" s="657"/>
      <c r="I269" s="657"/>
      <c r="J269" s="657"/>
      <c r="K269" s="657"/>
      <c r="L269" s="1614">
        <f t="shared" ref="L269" si="168">SUM(L259:L268)</f>
        <v>0</v>
      </c>
      <c r="M269" s="1477">
        <f t="shared" ref="M269" si="169">SUM(M259:M268)</f>
        <v>0</v>
      </c>
      <c r="N269" s="1477">
        <f t="shared" ref="N269" si="170">SUM(N259:N268)</f>
        <v>0</v>
      </c>
      <c r="O269" s="1477">
        <f t="shared" ref="O269" si="171">SUM(O259:O268)</f>
        <v>0</v>
      </c>
      <c r="P269" s="1477">
        <f t="shared" ref="P269" si="172">SUM(P259:P268)</f>
        <v>0</v>
      </c>
      <c r="Q269" s="1477">
        <f t="shared" ref="Q269" si="173">SUM(Q259:Q268)</f>
        <v>0</v>
      </c>
      <c r="R269" s="1483">
        <f>SUM(R259:R268)</f>
        <v>0</v>
      </c>
      <c r="S269" s="1596"/>
      <c r="T269" s="1606"/>
      <c r="U269" s="1213"/>
      <c r="V269" s="1587"/>
      <c r="W269" s="1587"/>
      <c r="X269" s="1590"/>
    </row>
    <row r="270" spans="2:24" ht="17.399999999999999" thickBot="1">
      <c r="B270" s="234" t="s">
        <v>672</v>
      </c>
      <c r="C270" s="722"/>
      <c r="D270" s="1610"/>
      <c r="E270" s="1611"/>
      <c r="F270" s="1613"/>
      <c r="G270" s="788"/>
      <c r="H270" s="788"/>
      <c r="I270" s="788"/>
      <c r="J270" s="788"/>
      <c r="K270" s="788"/>
      <c r="L270" s="1615"/>
      <c r="M270" s="1592"/>
      <c r="N270" s="1592"/>
      <c r="O270" s="1592"/>
      <c r="P270" s="1592"/>
      <c r="Q270" s="1592"/>
      <c r="R270" s="1605"/>
      <c r="S270" s="1598"/>
      <c r="T270" s="1607"/>
      <c r="U270" s="1209"/>
      <c r="V270" s="1588"/>
      <c r="W270" s="1588"/>
      <c r="X270" s="1591"/>
    </row>
    <row r="271" spans="2:24" ht="57" customHeight="1">
      <c r="B271" s="792" t="s">
        <v>690</v>
      </c>
      <c r="C271" s="797"/>
      <c r="D271" s="1619" t="e" vm="8">
        <v>#VALUE!</v>
      </c>
      <c r="E271" s="1620"/>
      <c r="F271" s="784" t="s">
        <v>296</v>
      </c>
      <c r="G271" s="229" t="s">
        <v>272</v>
      </c>
      <c r="H271" s="229" t="s">
        <v>300</v>
      </c>
      <c r="I271" s="229" t="s">
        <v>301</v>
      </c>
      <c r="J271" s="177" t="s">
        <v>652</v>
      </c>
      <c r="K271" s="177" t="s">
        <v>653</v>
      </c>
      <c r="L271" s="785" t="s">
        <v>654</v>
      </c>
      <c r="M271" s="785" t="s">
        <v>655</v>
      </c>
      <c r="N271" s="785" t="s">
        <v>656</v>
      </c>
      <c r="O271" s="785" t="s">
        <v>657</v>
      </c>
      <c r="P271" s="785" t="s">
        <v>658</v>
      </c>
      <c r="Q271" s="785" t="s">
        <v>659</v>
      </c>
      <c r="R271" s="786" t="s">
        <v>660</v>
      </c>
      <c r="S271" s="1600"/>
      <c r="T271" s="1606"/>
      <c r="U271" s="1200" t="s">
        <v>661</v>
      </c>
      <c r="V271" s="995" t="str" cm="1">
        <f t="array" ref="V271">_xlfn.XLOOKUP(U271&amp;Allgemein!$C$45,Fassadenpositionen[[#Headers],[WDVS:]]&amp;Fassadenpositionen[Position Fassade],Fassadenpositionen[WDVS:],"",0,1)</f>
        <v>Nein</v>
      </c>
      <c r="W271" s="995" t="str" cm="1">
        <f t="array" ref="W271">_xlfn.XLOOKUP(U271&amp;Allgemein!$C$61,Fassadenpositionen[[#Headers],[WDVS:]]&amp;Fassadenpositionen[Position Fassade],Fassadenpositionen[WDVS:],"",0,1)</f>
        <v>Nein</v>
      </c>
      <c r="X271" s="996" t="str" cm="1">
        <f t="array" ref="X271">_xlfn.XLOOKUP(U271&amp;Allgemein!$C$77,Fassadenpositionen[[#Headers],[WDVS:]]&amp;Fassadenpositionen[Position Fassade],Fassadenpositionen[WDVS:],"",0,1)</f>
        <v>Nein</v>
      </c>
    </row>
    <row r="272" spans="2:24">
      <c r="B272" s="120" t="s">
        <v>662</v>
      </c>
      <c r="C272" s="364"/>
      <c r="D272" s="1552"/>
      <c r="E272" s="1609"/>
      <c r="F272" s="18"/>
      <c r="G272" s="18"/>
      <c r="H272" s="657"/>
      <c r="I272" s="657"/>
      <c r="J272" s="657"/>
      <c r="K272" s="657"/>
      <c r="L272" s="115">
        <f t="shared" ref="L272:L281" si="174">H272*I272+J272</f>
        <v>0</v>
      </c>
      <c r="M272" s="18">
        <f>SUMIF(Fenster!$D$10:$D$2160,Fassade!F272,Fenster!$J$10:$J$2160)</f>
        <v>0</v>
      </c>
      <c r="N272" s="18">
        <f>SUMIF(Fenster!$D$10:$D$2160,Fassade!F272,Fenster!$M$10:$M$2160)</f>
        <v>0</v>
      </c>
      <c r="O272" s="18">
        <f>SUMIFS(Fenster!$M$10:$M$2160,Fenster!$D$10:$D$2160,Fassade!F272,Fenster!$L$10:$L$2160,"&gt;2,5")</f>
        <v>0</v>
      </c>
      <c r="P272" s="18">
        <f>SUMIF(Fenster!$D$10:$D$2160,Fassade!F272,Fenster!$K$10:$K$2160)</f>
        <v>0</v>
      </c>
      <c r="Q272" s="18">
        <f t="shared" ref="Q272:Q281" si="175">L272-O272</f>
        <v>0</v>
      </c>
      <c r="R272" s="187">
        <f t="shared" ref="R272:R281" si="176">L272-N272</f>
        <v>0</v>
      </c>
      <c r="S272" s="1596"/>
      <c r="T272" s="1606"/>
      <c r="U272" s="1201" t="s">
        <v>663</v>
      </c>
      <c r="V272" s="997">
        <v>0</v>
      </c>
      <c r="W272" s="952">
        <v>0</v>
      </c>
      <c r="X272" s="988">
        <v>0</v>
      </c>
    </row>
    <row r="273" spans="2:24">
      <c r="B273" s="131" t="s">
        <v>683</v>
      </c>
      <c r="C273" s="208"/>
      <c r="D273" s="1552"/>
      <c r="E273" s="1609"/>
      <c r="F273" s="18"/>
      <c r="G273" s="18"/>
      <c r="H273" s="657"/>
      <c r="I273" s="657"/>
      <c r="J273" s="657"/>
      <c r="K273" s="657"/>
      <c r="L273" s="115">
        <f t="shared" si="174"/>
        <v>0</v>
      </c>
      <c r="M273" s="18">
        <f>SUMIF(Fenster!$D$10:$D$2160,Fassade!F273,Fenster!$J$10:$J$2160)</f>
        <v>0</v>
      </c>
      <c r="N273" s="18">
        <f>SUMIF(Fenster!$D$10:$D$2160,Fassade!F273,Fenster!$M$10:$M$2160)</f>
        <v>0</v>
      </c>
      <c r="O273" s="18">
        <f>SUMIFS(Fenster!$M$10:$M$2160,Fenster!$D$10:$D$2160,Fassade!F273,Fenster!$L$10:$L$2160,"&gt;2,5")</f>
        <v>0</v>
      </c>
      <c r="P273" s="18">
        <f>SUMIF(Fenster!$D$10:$D$2160,Fassade!F273,Fenster!$K$10:$K$2160)</f>
        <v>0</v>
      </c>
      <c r="Q273" s="18">
        <f t="shared" si="175"/>
        <v>0</v>
      </c>
      <c r="R273" s="187">
        <f t="shared" si="176"/>
        <v>0</v>
      </c>
      <c r="S273" s="1596"/>
      <c r="T273" s="1606"/>
      <c r="U273" s="1202" t="s">
        <v>665</v>
      </c>
      <c r="V273" s="998">
        <f>IF(V271="Ja",(Q282+V272)*$V$9,0)</f>
        <v>0</v>
      </c>
      <c r="W273" s="958">
        <f>IF(W271="Ja",(Q282+W272)*$V$9,0)</f>
        <v>0</v>
      </c>
      <c r="X273" s="999">
        <f>IF(X271="Ja",(Q282+X272)*$V$9,0)</f>
        <v>0</v>
      </c>
    </row>
    <row r="274" spans="2:24">
      <c r="B274" s="131" t="s">
        <v>684</v>
      </c>
      <c r="C274" s="208"/>
      <c r="D274" s="1552"/>
      <c r="E274" s="1609"/>
      <c r="F274" s="18"/>
      <c r="G274" s="18"/>
      <c r="H274" s="657"/>
      <c r="I274" s="657"/>
      <c r="J274" s="657"/>
      <c r="K274" s="657"/>
      <c r="L274" s="115">
        <f t="shared" si="174"/>
        <v>0</v>
      </c>
      <c r="M274" s="18">
        <f>SUMIF(Fenster!$D$10:$D$2160,Fassade!F274,Fenster!$J$10:$J$2160)</f>
        <v>0</v>
      </c>
      <c r="N274" s="18">
        <f>SUMIF(Fenster!$D$10:$D$2160,Fassade!F274,Fenster!$M$10:$M$2160)</f>
        <v>0</v>
      </c>
      <c r="O274" s="18">
        <f>SUMIFS(Fenster!$M$10:$M$2160,Fenster!$D$10:$D$2160,Fassade!F274,Fenster!$L$10:$L$2160,"&gt;2,5")</f>
        <v>0</v>
      </c>
      <c r="P274" s="18">
        <f>SUMIF(Fenster!$D$10:$D$2160,Fassade!F274,Fenster!$K$10:$K$2160)</f>
        <v>0</v>
      </c>
      <c r="Q274" s="18">
        <f t="shared" si="175"/>
        <v>0</v>
      </c>
      <c r="R274" s="187">
        <f t="shared" si="176"/>
        <v>0</v>
      </c>
      <c r="S274" s="1596"/>
      <c r="T274" s="1606"/>
      <c r="U274" s="1203" t="s">
        <v>667</v>
      </c>
      <c r="V274" s="998">
        <f>IF(V271="Ja",(R282+V272)*$V$9,0)</f>
        <v>0</v>
      </c>
      <c r="W274" s="958">
        <f>IF(W271="Ja",(R282+W272)*$V$9,0)</f>
        <v>0</v>
      </c>
      <c r="X274" s="999">
        <f>IF(X271="Ja",(R282+X272)*$V$9,0)</f>
        <v>0</v>
      </c>
    </row>
    <row r="275" spans="2:24">
      <c r="B275" s="131" t="s">
        <v>674</v>
      </c>
      <c r="C275" s="208"/>
      <c r="D275" s="1552"/>
      <c r="E275" s="1609"/>
      <c r="F275" s="18"/>
      <c r="G275" s="18"/>
      <c r="H275" s="657"/>
      <c r="I275" s="657"/>
      <c r="J275" s="657"/>
      <c r="K275" s="657"/>
      <c r="L275" s="115">
        <f t="shared" si="174"/>
        <v>0</v>
      </c>
      <c r="M275" s="18">
        <f>SUMIF(Fenster!$D$10:$D$2160,Fassade!F275,Fenster!$J$10:$J$2160)</f>
        <v>0</v>
      </c>
      <c r="N275" s="18">
        <f>SUMIF(Fenster!$D$10:$D$2160,Fassade!F275,Fenster!$M$10:$M$2160)</f>
        <v>0</v>
      </c>
      <c r="O275" s="18">
        <f>SUMIFS(Fenster!$M$10:$M$2160,Fenster!$D$10:$D$2160,Fassade!F275,Fenster!$L$10:$L$2160,"&gt;2,5")</f>
        <v>0</v>
      </c>
      <c r="P275" s="18">
        <f>SUMIF(Fenster!$D$10:$D$2160,Fassade!F275,Fenster!$K$10:$K$2160)</f>
        <v>0</v>
      </c>
      <c r="Q275" s="18">
        <f t="shared" si="175"/>
        <v>0</v>
      </c>
      <c r="R275" s="187">
        <f t="shared" si="176"/>
        <v>0</v>
      </c>
      <c r="S275" s="1596"/>
      <c r="T275" s="1606"/>
      <c r="U275" s="1204" t="s">
        <v>669</v>
      </c>
      <c r="V275" s="958" t="str">
        <f>Allgemein!$D$45</f>
        <v>-</v>
      </c>
      <c r="W275" s="958" t="str">
        <f>Allgemein!$D$61</f>
        <v>-</v>
      </c>
      <c r="X275" s="1000" t="str">
        <f>Allgemein!$D$77</f>
        <v>-</v>
      </c>
    </row>
    <row r="276" spans="2:24" ht="18.600000000000001">
      <c r="B276" s="131" t="s">
        <v>675</v>
      </c>
      <c r="C276" s="208"/>
      <c r="D276" s="1552"/>
      <c r="E276" s="1609"/>
      <c r="F276" s="18"/>
      <c r="G276" s="18"/>
      <c r="H276" s="657"/>
      <c r="I276" s="657"/>
      <c r="J276" s="657"/>
      <c r="K276" s="657"/>
      <c r="L276" s="115">
        <f t="shared" si="174"/>
        <v>0</v>
      </c>
      <c r="M276" s="18">
        <f>SUMIF(Fenster!$D$10:$D$2160,Fassade!F276,Fenster!$J$10:$J$2160)</f>
        <v>0</v>
      </c>
      <c r="N276" s="18">
        <f>SUMIF(Fenster!$D$10:$D$2160,Fassade!F276,Fenster!$M$10:$M$2160)</f>
        <v>0</v>
      </c>
      <c r="O276" s="18">
        <f>SUMIFS(Fenster!$M$10:$M$2160,Fenster!$D$10:$D$2160,Fassade!F276,Fenster!$L$10:$L$2160,"&gt;2,5")</f>
        <v>0</v>
      </c>
      <c r="P276" s="18">
        <f>SUMIF(Fenster!$D$10:$D$2160,Fassade!F276,Fenster!$K$10:$K$2160)</f>
        <v>0</v>
      </c>
      <c r="Q276" s="18">
        <f t="shared" si="175"/>
        <v>0</v>
      </c>
      <c r="R276" s="187">
        <f t="shared" si="176"/>
        <v>0</v>
      </c>
      <c r="S276" s="1596"/>
      <c r="T276" s="1606"/>
      <c r="U276" s="1210" t="s">
        <v>685</v>
      </c>
      <c r="V276" s="1005" t="str" cm="1">
        <f t="array" ref="V276">_xlfn.XLOOKUP(U276&amp;Allgemein!$C$45,Fassadenpositionen[[#Headers],[Einblasdämmung:]]&amp;Fassadenpositionen[Position Fassade],Fassadenpositionen[Einblasdämmung:],"",0,1)</f>
        <v>Nein</v>
      </c>
      <c r="W276" s="1006" t="str" cm="1">
        <f t="array" ref="W276">_xlfn.XLOOKUP(U276&amp;Allgemein!$C$61,Fassadenpositionen[[#Headers],[Einblasdämmung:]]&amp;Fassadenpositionen[Position Fassade],Fassadenpositionen[Einblasdämmung:],"",0,1)</f>
        <v>Nein</v>
      </c>
      <c r="X276" s="996" t="str" cm="1">
        <f t="array" ref="X276">_xlfn.XLOOKUP(U276&amp;Allgemein!$C$77,Fassadenpositionen[[#Headers],[Einblasdämmung:]]&amp;Fassadenpositionen[Position Fassade],Fassadenpositionen[Einblasdämmung:],"",0,1)</f>
        <v>Nein</v>
      </c>
    </row>
    <row r="277" spans="2:24">
      <c r="B277" s="131" t="s">
        <v>676</v>
      </c>
      <c r="C277" s="798"/>
      <c r="D277" s="1552"/>
      <c r="E277" s="1609"/>
      <c r="F277" s="18"/>
      <c r="G277" s="18"/>
      <c r="H277" s="657"/>
      <c r="I277" s="657"/>
      <c r="J277" s="657"/>
      <c r="K277" s="657"/>
      <c r="L277" s="115">
        <f t="shared" si="174"/>
        <v>0</v>
      </c>
      <c r="M277" s="18">
        <f>SUMIF(Fenster!$D$10:$D$2160,Fassade!F277,Fenster!$J$10:$J$2160)</f>
        <v>0</v>
      </c>
      <c r="N277" s="18">
        <f>SUMIF(Fenster!$D$10:$D$2160,Fassade!F277,Fenster!$M$10:$M$2160)</f>
        <v>0</v>
      </c>
      <c r="O277" s="18">
        <f>SUMIFS(Fenster!$M$10:$M$2160,Fenster!$D$10:$D$2160,Fassade!F277,Fenster!$L$10:$L$2160,"&gt;2,5")</f>
        <v>0</v>
      </c>
      <c r="P277" s="18">
        <f>SUMIF(Fenster!$D$10:$D$2160,Fassade!F277,Fenster!$K$10:$K$2160)</f>
        <v>0</v>
      </c>
      <c r="Q277" s="18">
        <f t="shared" si="175"/>
        <v>0</v>
      </c>
      <c r="R277" s="187">
        <f t="shared" si="176"/>
        <v>0</v>
      </c>
      <c r="S277" s="1596"/>
      <c r="T277" s="1606"/>
      <c r="U277" s="1211" t="s">
        <v>663</v>
      </c>
      <c r="V277" s="1001">
        <v>0</v>
      </c>
      <c r="W277" s="1007">
        <v>0</v>
      </c>
      <c r="X277" s="1003">
        <v>0</v>
      </c>
    </row>
    <row r="278" spans="2:24">
      <c r="B278" s="131" t="s">
        <v>686</v>
      </c>
      <c r="C278" s="798"/>
      <c r="D278" s="1552"/>
      <c r="E278" s="1609"/>
      <c r="F278" s="18"/>
      <c r="G278" s="18"/>
      <c r="H278" s="657"/>
      <c r="I278" s="657"/>
      <c r="J278" s="657"/>
      <c r="K278" s="657"/>
      <c r="L278" s="115">
        <f t="shared" si="174"/>
        <v>0</v>
      </c>
      <c r="M278" s="18">
        <f>SUMIF(Fenster!$D$10:$D$2160,Fassade!F278,Fenster!$J$10:$J$2160)</f>
        <v>0</v>
      </c>
      <c r="N278" s="18">
        <f>SUMIF(Fenster!$D$10:$D$2160,Fassade!F278,Fenster!$M$10:$M$2160)</f>
        <v>0</v>
      </c>
      <c r="O278" s="18">
        <f>SUMIFS(Fenster!$M$10:$M$2160,Fenster!$D$10:$D$2160,Fassade!F278,Fenster!$L$10:$L$2160,"&gt;2,5")</f>
        <v>0</v>
      </c>
      <c r="P278" s="18">
        <f>SUMIF(Fenster!$D$10:$D$2160,Fassade!F278,Fenster!$K$10:$K$2160)</f>
        <v>0</v>
      </c>
      <c r="Q278" s="18">
        <f t="shared" si="175"/>
        <v>0</v>
      </c>
      <c r="R278" s="187">
        <f t="shared" si="176"/>
        <v>0</v>
      </c>
      <c r="S278" s="1596"/>
      <c r="T278" s="1606"/>
      <c r="U278" s="1202" t="s">
        <v>665</v>
      </c>
      <c r="V278" s="1008">
        <f>IF(V276="Ja",(Q282+V277)*$V$9,0)</f>
        <v>0</v>
      </c>
      <c r="W278" s="1008">
        <f>IF(W276="Ja",(Q282+W277)*$V$9,0)</f>
        <v>0</v>
      </c>
      <c r="X278" s="1003">
        <f>IF(X276="Ja",(Q282+X277)*$V$9,0)</f>
        <v>0</v>
      </c>
    </row>
    <row r="279" spans="2:24">
      <c r="B279" s="131" t="s">
        <v>687</v>
      </c>
      <c r="C279" s="364"/>
      <c r="D279" s="1552"/>
      <c r="E279" s="1609"/>
      <c r="F279" s="18"/>
      <c r="G279" s="18"/>
      <c r="H279" s="657"/>
      <c r="I279" s="657"/>
      <c r="J279" s="657"/>
      <c r="K279" s="657"/>
      <c r="L279" s="115">
        <f t="shared" si="174"/>
        <v>0</v>
      </c>
      <c r="M279" s="18">
        <f>SUMIF(Fenster!$D$10:$D$2160,Fassade!F279,Fenster!$J$10:$J$2160)</f>
        <v>0</v>
      </c>
      <c r="N279" s="18">
        <f>SUMIF(Fenster!$D$10:$D$2160,Fassade!F279,Fenster!$M$10:$M$2160)</f>
        <v>0</v>
      </c>
      <c r="O279" s="18">
        <f>SUMIFS(Fenster!$M$10:$M$2160,Fenster!$D$10:$D$2160,Fassade!F279,Fenster!$L$10:$L$2160,"&gt;2,5")</f>
        <v>0</v>
      </c>
      <c r="P279" s="18">
        <f>SUMIF(Fenster!$D$10:$D$2160,Fassade!F279,Fenster!$K$10:$K$2160)</f>
        <v>0</v>
      </c>
      <c r="Q279" s="18">
        <f t="shared" si="175"/>
        <v>0</v>
      </c>
      <c r="R279" s="187">
        <f t="shared" si="176"/>
        <v>0</v>
      </c>
      <c r="S279" s="1596"/>
      <c r="T279" s="1606"/>
      <c r="U279" s="1203" t="s">
        <v>667</v>
      </c>
      <c r="V279" s="1008">
        <f>IF(V276="Ja",(R282+V277)*$V$9,0)</f>
        <v>0</v>
      </c>
      <c r="W279" s="1008">
        <f>IF(W276="Ja",(R282+W277)*$V$9,0)</f>
        <v>0</v>
      </c>
      <c r="X279" s="1003">
        <f>IF(X276="Ja",(R282+X277)*$V$9,0)</f>
        <v>0</v>
      </c>
    </row>
    <row r="280" spans="2:24">
      <c r="B280" s="131" t="s">
        <v>688</v>
      </c>
      <c r="C280" s="798"/>
      <c r="D280" s="1552"/>
      <c r="E280" s="1609"/>
      <c r="F280" s="18"/>
      <c r="G280" s="18"/>
      <c r="H280" s="657"/>
      <c r="I280" s="657"/>
      <c r="J280" s="657"/>
      <c r="K280" s="657"/>
      <c r="L280" s="115">
        <f t="shared" si="174"/>
        <v>0</v>
      </c>
      <c r="M280" s="18">
        <f>SUMIF(Fenster!$D$10:$D$2160,Fassade!F280,Fenster!$J$10:$J$2160)</f>
        <v>0</v>
      </c>
      <c r="N280" s="18">
        <f>SUMIF(Fenster!$D$10:$D$2160,Fassade!F280,Fenster!$M$10:$M$2160)</f>
        <v>0</v>
      </c>
      <c r="O280" s="18">
        <f>SUMIFS(Fenster!$M$10:$M$2160,Fenster!$D$10:$D$2160,Fassade!F280,Fenster!$L$10:$L$2160,"&gt;2,5")</f>
        <v>0</v>
      </c>
      <c r="P280" s="18">
        <f>SUMIF(Fenster!$D$10:$D$2160,Fassade!F280,Fenster!$K$10:$K$2160)</f>
        <v>0</v>
      </c>
      <c r="Q280" s="18">
        <f t="shared" si="175"/>
        <v>0</v>
      </c>
      <c r="R280" s="187">
        <f t="shared" si="176"/>
        <v>0</v>
      </c>
      <c r="S280" s="1596"/>
      <c r="T280" s="1606"/>
      <c r="U280" s="1204" t="s">
        <v>689</v>
      </c>
      <c r="V280" s="1002"/>
      <c r="W280" s="1009"/>
      <c r="X280" s="1010"/>
    </row>
    <row r="281" spans="2:24">
      <c r="B281" s="131" t="s">
        <v>668</v>
      </c>
      <c r="C281" s="798"/>
      <c r="D281" s="1552"/>
      <c r="E281" s="1609"/>
      <c r="F281" s="18"/>
      <c r="G281" s="18"/>
      <c r="H281" s="657"/>
      <c r="I281" s="657"/>
      <c r="J281" s="657"/>
      <c r="K281" s="657"/>
      <c r="L281" s="115">
        <f t="shared" si="174"/>
        <v>0</v>
      </c>
      <c r="M281" s="18">
        <f>SUMIF(Fenster!$D$10:$D$2160,Fassade!F281,Fenster!$J$10:$J$2160)</f>
        <v>0</v>
      </c>
      <c r="N281" s="18">
        <f>SUMIF(Fenster!$D$10:$D$2160,Fassade!F281,Fenster!$M$10:$M$2160)</f>
        <v>0</v>
      </c>
      <c r="O281" s="18">
        <f>SUMIFS(Fenster!$M$10:$M$2160,Fenster!$D$10:$D$2160,Fassade!F281,Fenster!$L$10:$L$2160,"&gt;2,5")</f>
        <v>0</v>
      </c>
      <c r="P281" s="18">
        <f>SUMIF(Fenster!$D$10:$D$2160,Fassade!F281,Fenster!$K$10:$K$2160)</f>
        <v>0</v>
      </c>
      <c r="Q281" s="18">
        <f t="shared" si="175"/>
        <v>0</v>
      </c>
      <c r="R281" s="187">
        <f t="shared" si="176"/>
        <v>0</v>
      </c>
      <c r="S281" s="1596"/>
      <c r="T281" s="1606"/>
      <c r="U281" s="1212" t="s">
        <v>671</v>
      </c>
      <c r="V281" s="1586"/>
      <c r="W281" s="1586"/>
      <c r="X281" s="1589"/>
    </row>
    <row r="282" spans="2:24">
      <c r="B282" s="234" t="s">
        <v>670</v>
      </c>
      <c r="C282" s="798"/>
      <c r="D282" s="1552"/>
      <c r="E282" s="1609"/>
      <c r="F282" s="1612" t="s">
        <v>187</v>
      </c>
      <c r="G282" s="18"/>
      <c r="H282" s="657"/>
      <c r="I282" s="657"/>
      <c r="J282" s="657"/>
      <c r="K282" s="657"/>
      <c r="L282" s="1614">
        <f t="shared" ref="L282" si="177">SUM(L272:L281)</f>
        <v>0</v>
      </c>
      <c r="M282" s="1477">
        <f t="shared" ref="M282" si="178">SUM(M272:M281)</f>
        <v>0</v>
      </c>
      <c r="N282" s="1477">
        <f t="shared" ref="N282" si="179">SUM(N272:N281)</f>
        <v>0</v>
      </c>
      <c r="O282" s="1477">
        <f t="shared" ref="O282" si="180">SUM(O272:O281)</f>
        <v>0</v>
      </c>
      <c r="P282" s="1477">
        <f t="shared" ref="P282" si="181">SUM(P272:P281)</f>
        <v>0</v>
      </c>
      <c r="Q282" s="1477">
        <f t="shared" ref="Q282" si="182">SUM(Q272:Q281)</f>
        <v>0</v>
      </c>
      <c r="R282" s="1483">
        <f>SUM(R272:R281)</f>
        <v>0</v>
      </c>
      <c r="S282" s="1596"/>
      <c r="T282" s="1606"/>
      <c r="U282" s="1213"/>
      <c r="V282" s="1587"/>
      <c r="W282" s="1587"/>
      <c r="X282" s="1590"/>
    </row>
    <row r="283" spans="2:24" ht="17.399999999999999" thickBot="1">
      <c r="B283" s="789" t="s">
        <v>672</v>
      </c>
      <c r="C283" s="722"/>
      <c r="D283" s="1610"/>
      <c r="E283" s="1611"/>
      <c r="F283" s="1613"/>
      <c r="G283" s="788"/>
      <c r="H283" s="788"/>
      <c r="I283" s="788"/>
      <c r="J283" s="788"/>
      <c r="K283" s="788"/>
      <c r="L283" s="1615"/>
      <c r="M283" s="1592"/>
      <c r="N283" s="1592"/>
      <c r="O283" s="1592"/>
      <c r="P283" s="1592"/>
      <c r="Q283" s="1592"/>
      <c r="R283" s="1605"/>
      <c r="S283" s="1596"/>
      <c r="T283" s="1606"/>
      <c r="U283" s="1209"/>
      <c r="V283" s="1588"/>
      <c r="W283" s="1588"/>
      <c r="X283" s="1591"/>
    </row>
    <row r="284" spans="2:24" ht="57" customHeight="1">
      <c r="B284" s="135" t="s">
        <v>691</v>
      </c>
      <c r="C284" s="123"/>
      <c r="D284" s="1552" t="e" vm="9">
        <v>#VALUE!</v>
      </c>
      <c r="E284" s="1609"/>
      <c r="F284" s="229" t="s">
        <v>296</v>
      </c>
      <c r="G284" s="229" t="s">
        <v>272</v>
      </c>
      <c r="H284" s="229" t="s">
        <v>300</v>
      </c>
      <c r="I284" s="229" t="s">
        <v>301</v>
      </c>
      <c r="J284" s="177" t="s">
        <v>652</v>
      </c>
      <c r="K284" s="177" t="s">
        <v>653</v>
      </c>
      <c r="L284" s="177" t="s">
        <v>654</v>
      </c>
      <c r="M284" s="177" t="s">
        <v>655</v>
      </c>
      <c r="N284" s="177" t="s">
        <v>656</v>
      </c>
      <c r="O284" s="177" t="s">
        <v>657</v>
      </c>
      <c r="P284" s="177" t="s">
        <v>658</v>
      </c>
      <c r="Q284" s="177" t="s">
        <v>659</v>
      </c>
      <c r="R284" s="713" t="s">
        <v>660</v>
      </c>
      <c r="S284" s="1604"/>
      <c r="T284" s="1608"/>
      <c r="U284" s="1200" t="s">
        <v>661</v>
      </c>
      <c r="V284" s="995" t="str" cm="1">
        <f t="array" ref="V284">_xlfn.XLOOKUP(U284&amp;Allgemein!$C$45,Fassadenpositionen[[#Headers],[WDVS:]]&amp;Fassadenpositionen[Position Fassade],Fassadenpositionen[WDVS:],"",0,1)</f>
        <v>Nein</v>
      </c>
      <c r="W284" s="995" t="str" cm="1">
        <f t="array" ref="W284">_xlfn.XLOOKUP(U284&amp;Allgemein!$C$61,Fassadenpositionen[[#Headers],[WDVS:]]&amp;Fassadenpositionen[Position Fassade],Fassadenpositionen[WDVS:],"",0,1)</f>
        <v>Nein</v>
      </c>
      <c r="X284" s="996" t="str" cm="1">
        <f t="array" ref="X284">_xlfn.XLOOKUP(U284&amp;Allgemein!$C$77,Fassadenpositionen[[#Headers],[WDVS:]]&amp;Fassadenpositionen[Position Fassade],Fassadenpositionen[WDVS:],"",0,1)</f>
        <v>Nein</v>
      </c>
    </row>
    <row r="285" spans="2:24">
      <c r="B285" s="120" t="s">
        <v>662</v>
      </c>
      <c r="C285" s="364"/>
      <c r="D285" s="1552"/>
      <c r="E285" s="1609"/>
      <c r="F285" s="18"/>
      <c r="G285" s="18"/>
      <c r="H285" s="657"/>
      <c r="I285" s="657"/>
      <c r="J285" s="657"/>
      <c r="K285" s="657"/>
      <c r="L285" s="115">
        <f t="shared" ref="L285:L294" si="183">H285*I285+J285</f>
        <v>0</v>
      </c>
      <c r="M285" s="18">
        <f>SUMIF(Fenster!$D$10:$D$2160,Fassade!F285,Fenster!$J$10:$J$2160)</f>
        <v>0</v>
      </c>
      <c r="N285" s="18">
        <f>SUMIF(Fenster!$D$10:$D$2160,Fassade!F285,Fenster!$M$10:$M$2160)</f>
        <v>0</v>
      </c>
      <c r="O285" s="18">
        <f>SUMIFS(Fenster!$M$10:$M$2160,Fenster!$D$10:$D$2160,Fassade!F285,Fenster!$L$10:$L$2160,"&gt;2,5")</f>
        <v>0</v>
      </c>
      <c r="P285" s="18">
        <f>SUMIF(Fenster!$D$10:$D$2160,Fassade!F285,Fenster!$K$10:$K$2160)</f>
        <v>0</v>
      </c>
      <c r="Q285" s="18">
        <f t="shared" ref="Q285:Q294" si="184">L285-O285</f>
        <v>0</v>
      </c>
      <c r="R285" s="187">
        <f t="shared" ref="R285:R294" si="185">L285-N285</f>
        <v>0</v>
      </c>
      <c r="S285" s="1602"/>
      <c r="T285" s="1606"/>
      <c r="U285" s="1201" t="s">
        <v>663</v>
      </c>
      <c r="V285" s="997">
        <v>0</v>
      </c>
      <c r="W285" s="952">
        <v>0</v>
      </c>
      <c r="X285" s="988">
        <v>0</v>
      </c>
    </row>
    <row r="286" spans="2:24">
      <c r="B286" s="131" t="s">
        <v>692</v>
      </c>
      <c r="C286" s="364"/>
      <c r="D286" s="1552"/>
      <c r="E286" s="1609"/>
      <c r="F286" s="18"/>
      <c r="G286" s="18"/>
      <c r="H286" s="657"/>
      <c r="I286" s="657"/>
      <c r="J286" s="657"/>
      <c r="K286" s="657"/>
      <c r="L286" s="115">
        <f t="shared" si="183"/>
        <v>0</v>
      </c>
      <c r="M286" s="18">
        <f>SUMIF(Fenster!$D$10:$D$2160,Fassade!F286,Fenster!$J$10:$J$2160)</f>
        <v>0</v>
      </c>
      <c r="N286" s="18">
        <f>SUMIF(Fenster!$D$10:$D$2160,Fassade!F286,Fenster!$M$10:$M$2160)</f>
        <v>0</v>
      </c>
      <c r="O286" s="18">
        <f>SUMIFS(Fenster!$M$10:$M$2160,Fenster!$D$10:$D$2160,Fassade!F286,Fenster!$L$10:$L$2160,"&gt;2,5")</f>
        <v>0</v>
      </c>
      <c r="P286" s="18">
        <f>SUMIF(Fenster!$D$10:$D$2160,Fassade!F286,Fenster!$K$10:$K$2160)</f>
        <v>0</v>
      </c>
      <c r="Q286" s="18">
        <f t="shared" si="184"/>
        <v>0</v>
      </c>
      <c r="R286" s="187">
        <f t="shared" si="185"/>
        <v>0</v>
      </c>
      <c r="S286" s="1602"/>
      <c r="T286" s="1606"/>
      <c r="U286" s="1202" t="s">
        <v>665</v>
      </c>
      <c r="V286" s="998">
        <f>IF(V284="Ja",(Q295+V285)*$V$9,0)</f>
        <v>0</v>
      </c>
      <c r="W286" s="958">
        <f>IF(W284="Ja",(Q295+W285)*$V$9,0)</f>
        <v>0</v>
      </c>
      <c r="X286" s="999">
        <f>IF(X284="Ja",(Q295+X285)*$V$9,0)</f>
        <v>0</v>
      </c>
    </row>
    <row r="287" spans="2:24">
      <c r="B287" s="131" t="s">
        <v>693</v>
      </c>
      <c r="C287" s="798"/>
      <c r="D287" s="1552"/>
      <c r="E287" s="1609"/>
      <c r="F287" s="18"/>
      <c r="G287" s="18"/>
      <c r="H287" s="657"/>
      <c r="I287" s="657"/>
      <c r="J287" s="657"/>
      <c r="K287" s="657"/>
      <c r="L287" s="115">
        <f t="shared" si="183"/>
        <v>0</v>
      </c>
      <c r="M287" s="18">
        <f>SUMIF(Fenster!$D$10:$D$2160,Fassade!F287,Fenster!$J$10:$J$2160)</f>
        <v>0</v>
      </c>
      <c r="N287" s="18">
        <f>SUMIF(Fenster!$D$10:$D$2160,Fassade!F287,Fenster!$M$10:$M$2160)</f>
        <v>0</v>
      </c>
      <c r="O287" s="18">
        <f>SUMIFS(Fenster!$M$10:$M$2160,Fenster!$D$10:$D$2160,Fassade!F287,Fenster!$L$10:$L$2160,"&gt;2,5")</f>
        <v>0</v>
      </c>
      <c r="P287" s="18">
        <f>SUMIF(Fenster!$D$10:$D$2160,Fassade!F287,Fenster!$K$10:$K$2160)</f>
        <v>0</v>
      </c>
      <c r="Q287" s="18">
        <f t="shared" si="184"/>
        <v>0</v>
      </c>
      <c r="R287" s="187">
        <f t="shared" si="185"/>
        <v>0</v>
      </c>
      <c r="S287" s="1602"/>
      <c r="T287" s="1606"/>
      <c r="U287" s="1203" t="s">
        <v>667</v>
      </c>
      <c r="V287" s="998">
        <f>IF(V284="Ja",(R295+V285)*$V$9,0)</f>
        <v>0</v>
      </c>
      <c r="W287" s="958">
        <f>IF(W284="Ja",(R295+W285)*$V$9,0)</f>
        <v>0</v>
      </c>
      <c r="X287" s="999">
        <f>IF(X284="Ja",(R295+X285)*$V$9,0)</f>
        <v>0</v>
      </c>
    </row>
    <row r="288" spans="2:24">
      <c r="B288" s="131" t="s">
        <v>694</v>
      </c>
      <c r="C288" s="798"/>
      <c r="D288" s="1552"/>
      <c r="E288" s="1609"/>
      <c r="F288" s="18"/>
      <c r="G288" s="18"/>
      <c r="H288" s="657"/>
      <c r="I288" s="657"/>
      <c r="J288" s="657"/>
      <c r="K288" s="657"/>
      <c r="L288" s="115">
        <f t="shared" si="183"/>
        <v>0</v>
      </c>
      <c r="M288" s="18">
        <f>SUMIF(Fenster!$D$10:$D$2160,Fassade!F288,Fenster!$J$10:$J$2160)</f>
        <v>0</v>
      </c>
      <c r="N288" s="18">
        <f>SUMIF(Fenster!$D$10:$D$2160,Fassade!F288,Fenster!$M$10:$M$2160)</f>
        <v>0</v>
      </c>
      <c r="O288" s="18">
        <f>SUMIFS(Fenster!$M$10:$M$2160,Fenster!$D$10:$D$2160,Fassade!F288,Fenster!$L$10:$L$2160,"&gt;2,5")</f>
        <v>0</v>
      </c>
      <c r="P288" s="18">
        <f>SUMIF(Fenster!$D$10:$D$2160,Fassade!F288,Fenster!$K$10:$K$2160)</f>
        <v>0</v>
      </c>
      <c r="Q288" s="18">
        <f t="shared" si="184"/>
        <v>0</v>
      </c>
      <c r="R288" s="187">
        <f t="shared" si="185"/>
        <v>0</v>
      </c>
      <c r="S288" s="1602"/>
      <c r="T288" s="1606"/>
      <c r="U288" s="1204" t="s">
        <v>669</v>
      </c>
      <c r="V288" s="958" t="str">
        <f>Allgemein!$D$45</f>
        <v>-</v>
      </c>
      <c r="W288" s="958" t="str">
        <f>Allgemein!$D$61</f>
        <v>-</v>
      </c>
      <c r="X288" s="1000" t="str">
        <f>Allgemein!$D$77</f>
        <v>-</v>
      </c>
    </row>
    <row r="289" spans="2:24">
      <c r="B289" s="131" t="s">
        <v>695</v>
      </c>
      <c r="C289" s="798"/>
      <c r="D289" s="1552"/>
      <c r="E289" s="1609"/>
      <c r="F289" s="18"/>
      <c r="G289" s="18"/>
      <c r="H289" s="657"/>
      <c r="I289" s="657"/>
      <c r="J289" s="657"/>
      <c r="K289" s="657"/>
      <c r="L289" s="115">
        <f t="shared" si="183"/>
        <v>0</v>
      </c>
      <c r="M289" s="18">
        <f>SUMIF(Fenster!$D$10:$D$2160,Fassade!F289,Fenster!$J$10:$J$2160)</f>
        <v>0</v>
      </c>
      <c r="N289" s="18">
        <f>SUMIF(Fenster!$D$10:$D$2160,Fassade!F289,Fenster!$M$10:$M$2160)</f>
        <v>0</v>
      </c>
      <c r="O289" s="18">
        <f>SUMIFS(Fenster!$M$10:$M$2160,Fenster!$D$10:$D$2160,Fassade!F289,Fenster!$L$10:$L$2160,"&gt;2,5")</f>
        <v>0</v>
      </c>
      <c r="P289" s="18">
        <f>SUMIF(Fenster!$D$10:$D$2160,Fassade!F289,Fenster!$K$10:$K$2160)</f>
        <v>0</v>
      </c>
      <c r="Q289" s="18">
        <f t="shared" si="184"/>
        <v>0</v>
      </c>
      <c r="R289" s="187">
        <f t="shared" si="185"/>
        <v>0</v>
      </c>
      <c r="S289" s="1602"/>
      <c r="T289" s="1606"/>
      <c r="U289" s="1205" t="s">
        <v>671</v>
      </c>
      <c r="V289" s="1640"/>
      <c r="W289" s="1586"/>
      <c r="X289" s="1589"/>
    </row>
    <row r="290" spans="2:24">
      <c r="B290" s="131" t="s">
        <v>696</v>
      </c>
      <c r="C290" s="798"/>
      <c r="D290" s="1552"/>
      <c r="E290" s="1609"/>
      <c r="F290" s="18"/>
      <c r="G290" s="18"/>
      <c r="H290" s="657"/>
      <c r="I290" s="657"/>
      <c r="J290" s="657"/>
      <c r="K290" s="657"/>
      <c r="L290" s="115">
        <f t="shared" si="183"/>
        <v>0</v>
      </c>
      <c r="M290" s="18">
        <f>SUMIF(Fenster!$D$10:$D$2160,Fassade!F290,Fenster!$J$10:$J$2160)</f>
        <v>0</v>
      </c>
      <c r="N290" s="18">
        <f>SUMIF(Fenster!$D$10:$D$2160,Fassade!F290,Fenster!$M$10:$M$2160)</f>
        <v>0</v>
      </c>
      <c r="O290" s="18">
        <f>SUMIFS(Fenster!$M$10:$M$2160,Fenster!$D$10:$D$2160,Fassade!F290,Fenster!$L$10:$L$2160,"&gt;2,5")</f>
        <v>0</v>
      </c>
      <c r="P290" s="18">
        <f>SUMIF(Fenster!$D$10:$D$2160,Fassade!F290,Fenster!$K$10:$K$2160)</f>
        <v>0</v>
      </c>
      <c r="Q290" s="18">
        <f t="shared" si="184"/>
        <v>0</v>
      </c>
      <c r="R290" s="187">
        <f t="shared" si="185"/>
        <v>0</v>
      </c>
      <c r="S290" s="1602"/>
      <c r="T290" s="1606"/>
      <c r="U290" s="1214"/>
      <c r="V290" s="1645"/>
      <c r="W290" s="1587"/>
      <c r="X290" s="1590"/>
    </row>
    <row r="291" spans="2:24">
      <c r="B291" s="131" t="s">
        <v>697</v>
      </c>
      <c r="C291" s="798"/>
      <c r="D291" s="1552"/>
      <c r="E291" s="1609"/>
      <c r="F291" s="18"/>
      <c r="G291" s="18"/>
      <c r="H291" s="657"/>
      <c r="I291" s="657"/>
      <c r="J291" s="657"/>
      <c r="K291" s="657"/>
      <c r="L291" s="115">
        <f t="shared" si="183"/>
        <v>0</v>
      </c>
      <c r="M291" s="18">
        <f>SUMIF(Fenster!$D$10:$D$2160,Fassade!F291,Fenster!$J$10:$J$2160)</f>
        <v>0</v>
      </c>
      <c r="N291" s="18">
        <f>SUMIF(Fenster!$D$10:$D$2160,Fassade!F291,Fenster!$M$10:$M$2160)</f>
        <v>0</v>
      </c>
      <c r="O291" s="18">
        <f>SUMIFS(Fenster!$M$10:$M$2160,Fenster!$D$10:$D$2160,Fassade!F291,Fenster!$L$10:$L$2160,"&gt;2,5")</f>
        <v>0</v>
      </c>
      <c r="P291" s="18">
        <f>SUMIF(Fenster!$D$10:$D$2160,Fassade!F291,Fenster!$K$10:$K$2160)</f>
        <v>0</v>
      </c>
      <c r="Q291" s="18">
        <f t="shared" si="184"/>
        <v>0</v>
      </c>
      <c r="R291" s="187">
        <f t="shared" si="185"/>
        <v>0</v>
      </c>
      <c r="S291" s="1602"/>
      <c r="T291" s="1606"/>
      <c r="U291" s="1214"/>
      <c r="V291" s="1645"/>
      <c r="W291" s="1587"/>
      <c r="X291" s="1590"/>
    </row>
    <row r="292" spans="2:24">
      <c r="B292" s="131" t="s">
        <v>698</v>
      </c>
      <c r="C292" s="364"/>
      <c r="D292" s="1552"/>
      <c r="E292" s="1609"/>
      <c r="F292" s="18"/>
      <c r="G292" s="18"/>
      <c r="H292" s="657"/>
      <c r="I292" s="657"/>
      <c r="J292" s="657"/>
      <c r="K292" s="657"/>
      <c r="L292" s="115">
        <f t="shared" si="183"/>
        <v>0</v>
      </c>
      <c r="M292" s="18">
        <f>SUMIF(Fenster!$D$10:$D$2160,Fassade!F292,Fenster!$J$10:$J$2160)</f>
        <v>0</v>
      </c>
      <c r="N292" s="18">
        <f>SUMIF(Fenster!$D$10:$D$2160,Fassade!F292,Fenster!$M$10:$M$2160)</f>
        <v>0</v>
      </c>
      <c r="O292" s="18">
        <f>SUMIFS(Fenster!$M$10:$M$2160,Fenster!$D$10:$D$2160,Fassade!F292,Fenster!$L$10:$L$2160,"&gt;2,5")</f>
        <v>0</v>
      </c>
      <c r="P292" s="18">
        <f>SUMIF(Fenster!$D$10:$D$2160,Fassade!F292,Fenster!$K$10:$K$2160)</f>
        <v>0</v>
      </c>
      <c r="Q292" s="18">
        <f t="shared" si="184"/>
        <v>0</v>
      </c>
      <c r="R292" s="187">
        <f t="shared" si="185"/>
        <v>0</v>
      </c>
      <c r="S292" s="1602"/>
      <c r="T292" s="1606"/>
      <c r="U292" s="1215"/>
      <c r="V292" s="1645"/>
      <c r="W292" s="1587"/>
      <c r="X292" s="1590"/>
    </row>
    <row r="293" spans="2:24">
      <c r="B293" s="131" t="s">
        <v>699</v>
      </c>
      <c r="C293" s="798"/>
      <c r="D293" s="1552"/>
      <c r="E293" s="1609"/>
      <c r="F293" s="18"/>
      <c r="G293" s="18"/>
      <c r="H293" s="657"/>
      <c r="I293" s="657"/>
      <c r="J293" s="657"/>
      <c r="K293" s="657"/>
      <c r="L293" s="115">
        <f t="shared" si="183"/>
        <v>0</v>
      </c>
      <c r="M293" s="18">
        <f>SUMIF(Fenster!$D$10:$D$2160,Fassade!F293,Fenster!$J$10:$J$2160)</f>
        <v>0</v>
      </c>
      <c r="N293" s="18">
        <f>SUMIF(Fenster!$D$10:$D$2160,Fassade!F293,Fenster!$M$10:$M$2160)</f>
        <v>0</v>
      </c>
      <c r="O293" s="18">
        <f>SUMIFS(Fenster!$M$10:$M$2160,Fenster!$D$10:$D$2160,Fassade!F293,Fenster!$L$10:$L$2160,"&gt;2,5")</f>
        <v>0</v>
      </c>
      <c r="P293" s="18">
        <f>SUMIF(Fenster!$D$10:$D$2160,Fassade!F293,Fenster!$K$10:$K$2160)</f>
        <v>0</v>
      </c>
      <c r="Q293" s="18">
        <f t="shared" si="184"/>
        <v>0</v>
      </c>
      <c r="R293" s="187">
        <f t="shared" si="185"/>
        <v>0</v>
      </c>
      <c r="S293" s="1602"/>
      <c r="T293" s="1606"/>
      <c r="U293" s="1215"/>
      <c r="V293" s="1645"/>
      <c r="W293" s="1587"/>
      <c r="X293" s="1590"/>
    </row>
    <row r="294" spans="2:24">
      <c r="B294" s="131" t="s">
        <v>668</v>
      </c>
      <c r="C294" s="798"/>
      <c r="D294" s="1552"/>
      <c r="E294" s="1609"/>
      <c r="F294" s="18"/>
      <c r="G294" s="18"/>
      <c r="H294" s="657"/>
      <c r="I294" s="657"/>
      <c r="J294" s="657"/>
      <c r="K294" s="657"/>
      <c r="L294" s="115">
        <f t="shared" si="183"/>
        <v>0</v>
      </c>
      <c r="M294" s="18">
        <f>SUMIF(Fenster!$D$10:$D$2160,Fassade!F294,Fenster!$J$10:$J$2160)</f>
        <v>0</v>
      </c>
      <c r="N294" s="18">
        <f>SUMIF(Fenster!$D$10:$D$2160,Fassade!F294,Fenster!$M$10:$M$2160)</f>
        <v>0</v>
      </c>
      <c r="O294" s="18">
        <f>SUMIFS(Fenster!$M$10:$M$2160,Fenster!$D$10:$D$2160,Fassade!F294,Fenster!$L$10:$L$2160,"&gt;2,5")</f>
        <v>0</v>
      </c>
      <c r="P294" s="18">
        <f>SUMIF(Fenster!$D$10:$D$2160,Fassade!F294,Fenster!$K$10:$K$2160)</f>
        <v>0</v>
      </c>
      <c r="Q294" s="18">
        <f t="shared" si="184"/>
        <v>0</v>
      </c>
      <c r="R294" s="187">
        <f t="shared" si="185"/>
        <v>0</v>
      </c>
      <c r="S294" s="1602"/>
      <c r="T294" s="1606"/>
      <c r="U294" s="1214"/>
      <c r="V294" s="1645"/>
      <c r="W294" s="1587"/>
      <c r="X294" s="1590"/>
    </row>
    <row r="295" spans="2:24">
      <c r="B295" s="234" t="s">
        <v>670</v>
      </c>
      <c r="C295" s="798"/>
      <c r="D295" s="1552"/>
      <c r="E295" s="1609"/>
      <c r="F295" s="1612" t="s">
        <v>187</v>
      </c>
      <c r="G295" s="18"/>
      <c r="H295" s="657"/>
      <c r="I295" s="657"/>
      <c r="J295" s="657"/>
      <c r="K295" s="657"/>
      <c r="L295" s="1614">
        <f t="shared" ref="L295" si="186">SUM(L285:L294)</f>
        <v>0</v>
      </c>
      <c r="M295" s="1477">
        <f t="shared" ref="M295" si="187">SUM(M285:M294)</f>
        <v>0</v>
      </c>
      <c r="N295" s="1477">
        <f t="shared" ref="N295" si="188">SUM(N285:N294)</f>
        <v>0</v>
      </c>
      <c r="O295" s="1477">
        <f t="shared" ref="O295" si="189">SUM(O285:O294)</f>
        <v>0</v>
      </c>
      <c r="P295" s="1477">
        <f t="shared" ref="P295" si="190">SUM(P285:P294)</f>
        <v>0</v>
      </c>
      <c r="Q295" s="1477">
        <f t="shared" ref="Q295" si="191">SUM(Q285:Q294)</f>
        <v>0</v>
      </c>
      <c r="R295" s="1483">
        <f>SUM(R285:R294)</f>
        <v>0</v>
      </c>
      <c r="S295" s="1602"/>
      <c r="T295" s="1606"/>
      <c r="U295" s="1213"/>
      <c r="V295" s="1645"/>
      <c r="W295" s="1587"/>
      <c r="X295" s="1590"/>
    </row>
    <row r="296" spans="2:24" ht="17.399999999999999" thickBot="1">
      <c r="B296" s="789" t="s">
        <v>672</v>
      </c>
      <c r="C296" s="722"/>
      <c r="D296" s="1610"/>
      <c r="E296" s="1611"/>
      <c r="F296" s="1613"/>
      <c r="G296" s="788"/>
      <c r="H296" s="788"/>
      <c r="I296" s="788"/>
      <c r="J296" s="788"/>
      <c r="K296" s="788"/>
      <c r="L296" s="1615"/>
      <c r="M296" s="1592"/>
      <c r="N296" s="1592"/>
      <c r="O296" s="1592"/>
      <c r="P296" s="1592"/>
      <c r="Q296" s="1592"/>
      <c r="R296" s="1605"/>
      <c r="S296" s="1603"/>
      <c r="T296" s="1607"/>
      <c r="U296" s="1209"/>
      <c r="V296" s="1646"/>
      <c r="W296" s="1588"/>
      <c r="X296" s="1591"/>
    </row>
    <row r="297" spans="2:24" ht="57" customHeight="1">
      <c r="B297" s="135" t="s">
        <v>691</v>
      </c>
      <c r="C297" s="123"/>
      <c r="D297" s="1552" t="e" vm="9">
        <v>#VALUE!</v>
      </c>
      <c r="E297" s="1609"/>
      <c r="F297" s="229" t="s">
        <v>296</v>
      </c>
      <c r="G297" s="229" t="s">
        <v>272</v>
      </c>
      <c r="H297" s="229" t="s">
        <v>300</v>
      </c>
      <c r="I297" s="229" t="s">
        <v>301</v>
      </c>
      <c r="J297" s="177" t="s">
        <v>652</v>
      </c>
      <c r="K297" s="177" t="s">
        <v>653</v>
      </c>
      <c r="L297" s="177" t="s">
        <v>654</v>
      </c>
      <c r="M297" s="177" t="s">
        <v>655</v>
      </c>
      <c r="N297" s="177" t="s">
        <v>656</v>
      </c>
      <c r="O297" s="177" t="s">
        <v>657</v>
      </c>
      <c r="P297" s="177" t="s">
        <v>658</v>
      </c>
      <c r="Q297" s="177" t="s">
        <v>659</v>
      </c>
      <c r="R297" s="713" t="s">
        <v>660</v>
      </c>
      <c r="S297" s="1600"/>
      <c r="T297" s="1606"/>
      <c r="U297" s="1200" t="s">
        <v>661</v>
      </c>
      <c r="V297" s="995" t="str" cm="1">
        <f t="array" ref="V297">_xlfn.XLOOKUP(U297&amp;Allgemein!$C$45,Fassadenpositionen[[#Headers],[WDVS:]]&amp;Fassadenpositionen[Position Fassade],Fassadenpositionen[WDVS:],"",0,1)</f>
        <v>Nein</v>
      </c>
      <c r="W297" s="995" t="str" cm="1">
        <f t="array" ref="W297">_xlfn.XLOOKUP(U297&amp;Allgemein!$C$61,Fassadenpositionen[[#Headers],[WDVS:]]&amp;Fassadenpositionen[Position Fassade],Fassadenpositionen[WDVS:],"",0,1)</f>
        <v>Nein</v>
      </c>
      <c r="X297" s="996" t="str" cm="1">
        <f t="array" ref="X297">_xlfn.XLOOKUP(U297&amp;Allgemein!$C$77,Fassadenpositionen[[#Headers],[WDVS:]]&amp;Fassadenpositionen[Position Fassade],Fassadenpositionen[WDVS:],"",0,1)</f>
        <v>Nein</v>
      </c>
    </row>
    <row r="298" spans="2:24">
      <c r="B298" s="120" t="s">
        <v>662</v>
      </c>
      <c r="C298" s="364"/>
      <c r="D298" s="1552"/>
      <c r="E298" s="1609"/>
      <c r="F298" s="18"/>
      <c r="G298" s="18"/>
      <c r="H298" s="657"/>
      <c r="I298" s="657"/>
      <c r="J298" s="657"/>
      <c r="K298" s="657"/>
      <c r="L298" s="115">
        <f t="shared" ref="L298:L307" si="192">H298*I298+J298</f>
        <v>0</v>
      </c>
      <c r="M298" s="18">
        <f>SUMIF(Fenster!$D$10:$D$2160,Fassade!F298,Fenster!$J$10:$J$2160)</f>
        <v>0</v>
      </c>
      <c r="N298" s="18">
        <f>SUMIF(Fenster!$D$10:$D$2160,Fassade!F298,Fenster!$M$10:$M$2160)</f>
        <v>0</v>
      </c>
      <c r="O298" s="18">
        <f>SUMIFS(Fenster!$M$10:$M$2160,Fenster!$D$10:$D$2160,Fassade!F298,Fenster!$L$10:$L$2160,"&gt;2,5")</f>
        <v>0</v>
      </c>
      <c r="P298" s="18">
        <f>SUMIF(Fenster!$D$10:$D$2160,Fassade!F298,Fenster!$K$10:$K$2160)</f>
        <v>0</v>
      </c>
      <c r="Q298" s="18">
        <f t="shared" ref="Q298:Q307" si="193">L298-O298</f>
        <v>0</v>
      </c>
      <c r="R298" s="187">
        <f t="shared" ref="R298:R307" si="194">L298-N298</f>
        <v>0</v>
      </c>
      <c r="S298" s="1596"/>
      <c r="T298" s="1606"/>
      <c r="U298" s="1201" t="s">
        <v>663</v>
      </c>
      <c r="V298" s="997">
        <v>0</v>
      </c>
      <c r="W298" s="952">
        <v>0</v>
      </c>
      <c r="X298" s="988">
        <v>0</v>
      </c>
    </row>
    <row r="299" spans="2:24">
      <c r="B299" s="131" t="s">
        <v>692</v>
      </c>
      <c r="C299" s="364"/>
      <c r="D299" s="1552"/>
      <c r="E299" s="1609"/>
      <c r="F299" s="18"/>
      <c r="G299" s="18"/>
      <c r="H299" s="657"/>
      <c r="I299" s="657"/>
      <c r="J299" s="657"/>
      <c r="K299" s="657"/>
      <c r="L299" s="115">
        <f t="shared" si="192"/>
        <v>0</v>
      </c>
      <c r="M299" s="18">
        <f>SUMIF(Fenster!$D$10:$D$2160,Fassade!F299,Fenster!$J$10:$J$2160)</f>
        <v>0</v>
      </c>
      <c r="N299" s="18">
        <f>SUMIF(Fenster!$D$10:$D$2160,Fassade!F299,Fenster!$M$10:$M$2160)</f>
        <v>0</v>
      </c>
      <c r="O299" s="18">
        <f>SUMIFS(Fenster!$M$10:$M$2160,Fenster!$D$10:$D$2160,Fassade!F299,Fenster!$L$10:$L$2160,"&gt;2,5")</f>
        <v>0</v>
      </c>
      <c r="P299" s="18">
        <f>SUMIF(Fenster!$D$10:$D$2160,Fassade!F299,Fenster!$K$10:$K$2160)</f>
        <v>0</v>
      </c>
      <c r="Q299" s="18">
        <f t="shared" si="193"/>
        <v>0</v>
      </c>
      <c r="R299" s="187">
        <f t="shared" si="194"/>
        <v>0</v>
      </c>
      <c r="S299" s="1596"/>
      <c r="T299" s="1606"/>
      <c r="U299" s="1202" t="s">
        <v>665</v>
      </c>
      <c r="V299" s="998">
        <f>IF(V297="Ja",(Q308+V298)*$V$9,0)</f>
        <v>0</v>
      </c>
      <c r="W299" s="958">
        <f>IF(W297="Ja",(Q308+W298)*$V$9,0)</f>
        <v>0</v>
      </c>
      <c r="X299" s="999">
        <f>IF(X297="Ja",(Q308+X298)*$V$9,0)</f>
        <v>0</v>
      </c>
    </row>
    <row r="300" spans="2:24">
      <c r="B300" s="131" t="s">
        <v>693</v>
      </c>
      <c r="C300" s="798"/>
      <c r="D300" s="1552"/>
      <c r="E300" s="1609"/>
      <c r="F300" s="18"/>
      <c r="G300" s="18"/>
      <c r="H300" s="657"/>
      <c r="I300" s="657"/>
      <c r="J300" s="657"/>
      <c r="K300" s="657"/>
      <c r="L300" s="115">
        <f t="shared" si="192"/>
        <v>0</v>
      </c>
      <c r="M300" s="18">
        <f>SUMIF(Fenster!$D$10:$D$2160,Fassade!F300,Fenster!$J$10:$J$2160)</f>
        <v>0</v>
      </c>
      <c r="N300" s="18">
        <f>SUMIF(Fenster!$D$10:$D$2160,Fassade!F300,Fenster!$M$10:$M$2160)</f>
        <v>0</v>
      </c>
      <c r="O300" s="18">
        <f>SUMIFS(Fenster!$M$10:$M$2160,Fenster!$D$10:$D$2160,Fassade!F300,Fenster!$L$10:$L$2160,"&gt;2,5")</f>
        <v>0</v>
      </c>
      <c r="P300" s="18">
        <f>SUMIF(Fenster!$D$10:$D$2160,Fassade!F300,Fenster!$K$10:$K$2160)</f>
        <v>0</v>
      </c>
      <c r="Q300" s="18">
        <f t="shared" si="193"/>
        <v>0</v>
      </c>
      <c r="R300" s="187">
        <f t="shared" si="194"/>
        <v>0</v>
      </c>
      <c r="S300" s="1596"/>
      <c r="T300" s="1606"/>
      <c r="U300" s="1203" t="s">
        <v>667</v>
      </c>
      <c r="V300" s="998">
        <f>IF(V297="Ja",(R308+V298)*$V$9,0)</f>
        <v>0</v>
      </c>
      <c r="W300" s="958">
        <f>IF(W297="Ja",(R308+W298)*$V$9,0)</f>
        <v>0</v>
      </c>
      <c r="X300" s="999">
        <f>IF(X297="Ja",(R308+X298)*$V$9,0)</f>
        <v>0</v>
      </c>
    </row>
    <row r="301" spans="2:24">
      <c r="B301" s="131" t="s">
        <v>694</v>
      </c>
      <c r="C301" s="798"/>
      <c r="D301" s="1552"/>
      <c r="E301" s="1609"/>
      <c r="F301" s="18"/>
      <c r="G301" s="18"/>
      <c r="H301" s="657"/>
      <c r="I301" s="657"/>
      <c r="J301" s="657"/>
      <c r="K301" s="657"/>
      <c r="L301" s="115">
        <f t="shared" si="192"/>
        <v>0</v>
      </c>
      <c r="M301" s="18">
        <f>SUMIF(Fenster!$D$10:$D$2160,Fassade!F301,Fenster!$J$10:$J$2160)</f>
        <v>0</v>
      </c>
      <c r="N301" s="18">
        <f>SUMIF(Fenster!$D$10:$D$2160,Fassade!F301,Fenster!$M$10:$M$2160)</f>
        <v>0</v>
      </c>
      <c r="O301" s="18">
        <f>SUMIFS(Fenster!$M$10:$M$2160,Fenster!$D$10:$D$2160,Fassade!F301,Fenster!$L$10:$L$2160,"&gt;2,5")</f>
        <v>0</v>
      </c>
      <c r="P301" s="18">
        <f>SUMIF(Fenster!$D$10:$D$2160,Fassade!F301,Fenster!$K$10:$K$2160)</f>
        <v>0</v>
      </c>
      <c r="Q301" s="18">
        <f t="shared" si="193"/>
        <v>0</v>
      </c>
      <c r="R301" s="187">
        <f t="shared" si="194"/>
        <v>0</v>
      </c>
      <c r="S301" s="1596"/>
      <c r="T301" s="1606"/>
      <c r="U301" s="1204" t="s">
        <v>669</v>
      </c>
      <c r="V301" s="958" t="str">
        <f>Allgemein!$D$45</f>
        <v>-</v>
      </c>
      <c r="W301" s="958" t="str">
        <f>Allgemein!$D$61</f>
        <v>-</v>
      </c>
      <c r="X301" s="1000" t="str">
        <f>Allgemein!$D$77</f>
        <v>-</v>
      </c>
    </row>
    <row r="302" spans="2:24">
      <c r="B302" s="131" t="s">
        <v>695</v>
      </c>
      <c r="C302" s="798"/>
      <c r="D302" s="1552"/>
      <c r="E302" s="1609"/>
      <c r="F302" s="18"/>
      <c r="G302" s="18"/>
      <c r="H302" s="657"/>
      <c r="I302" s="657"/>
      <c r="J302" s="657"/>
      <c r="K302" s="657"/>
      <c r="L302" s="115">
        <f t="shared" si="192"/>
        <v>0</v>
      </c>
      <c r="M302" s="18">
        <f>SUMIF(Fenster!$D$10:$D$2160,Fassade!F302,Fenster!$J$10:$J$2160)</f>
        <v>0</v>
      </c>
      <c r="N302" s="18">
        <f>SUMIF(Fenster!$D$10:$D$2160,Fassade!F302,Fenster!$M$10:$M$2160)</f>
        <v>0</v>
      </c>
      <c r="O302" s="18">
        <f>SUMIFS(Fenster!$M$10:$M$2160,Fenster!$D$10:$D$2160,Fassade!F302,Fenster!$L$10:$L$2160,"&gt;2,5")</f>
        <v>0</v>
      </c>
      <c r="P302" s="18">
        <f>SUMIF(Fenster!$D$10:$D$2160,Fassade!F302,Fenster!$K$10:$K$2160)</f>
        <v>0</v>
      </c>
      <c r="Q302" s="18">
        <f t="shared" si="193"/>
        <v>0</v>
      </c>
      <c r="R302" s="187">
        <f t="shared" si="194"/>
        <v>0</v>
      </c>
      <c r="S302" s="1596"/>
      <c r="T302" s="1606"/>
      <c r="U302" s="1205" t="s">
        <v>671</v>
      </c>
      <c r="V302" s="1640"/>
      <c r="W302" s="1586"/>
      <c r="X302" s="1589"/>
    </row>
    <row r="303" spans="2:24">
      <c r="B303" s="131" t="s">
        <v>696</v>
      </c>
      <c r="C303" s="798"/>
      <c r="D303" s="1552"/>
      <c r="E303" s="1609"/>
      <c r="F303" s="18"/>
      <c r="G303" s="18"/>
      <c r="H303" s="657"/>
      <c r="I303" s="657"/>
      <c r="J303" s="657"/>
      <c r="K303" s="657"/>
      <c r="L303" s="115">
        <f t="shared" si="192"/>
        <v>0</v>
      </c>
      <c r="M303" s="18">
        <f>SUMIF(Fenster!$D$10:$D$2160,Fassade!F303,Fenster!$J$10:$J$2160)</f>
        <v>0</v>
      </c>
      <c r="N303" s="18">
        <f>SUMIF(Fenster!$D$10:$D$2160,Fassade!F303,Fenster!$M$10:$M$2160)</f>
        <v>0</v>
      </c>
      <c r="O303" s="18">
        <f>SUMIFS(Fenster!$M$10:$M$2160,Fenster!$D$10:$D$2160,Fassade!F303,Fenster!$L$10:$L$2160,"&gt;2,5")</f>
        <v>0</v>
      </c>
      <c r="P303" s="18">
        <f>SUMIF(Fenster!$D$10:$D$2160,Fassade!F303,Fenster!$K$10:$K$2160)</f>
        <v>0</v>
      </c>
      <c r="Q303" s="18">
        <f t="shared" si="193"/>
        <v>0</v>
      </c>
      <c r="R303" s="187">
        <f t="shared" si="194"/>
        <v>0</v>
      </c>
      <c r="S303" s="1596"/>
      <c r="T303" s="1606"/>
      <c r="U303" s="1214"/>
      <c r="V303" s="1645"/>
      <c r="W303" s="1587"/>
      <c r="X303" s="1590"/>
    </row>
    <row r="304" spans="2:24">
      <c r="B304" s="131" t="s">
        <v>697</v>
      </c>
      <c r="C304" s="798"/>
      <c r="D304" s="1552"/>
      <c r="E304" s="1609"/>
      <c r="F304" s="18"/>
      <c r="G304" s="18"/>
      <c r="H304" s="657"/>
      <c r="I304" s="657"/>
      <c r="J304" s="657"/>
      <c r="K304" s="657"/>
      <c r="L304" s="115">
        <f t="shared" si="192"/>
        <v>0</v>
      </c>
      <c r="M304" s="18">
        <f>SUMIF(Fenster!$D$10:$D$2160,Fassade!F304,Fenster!$J$10:$J$2160)</f>
        <v>0</v>
      </c>
      <c r="N304" s="18">
        <f>SUMIF(Fenster!$D$10:$D$2160,Fassade!F304,Fenster!$M$10:$M$2160)</f>
        <v>0</v>
      </c>
      <c r="O304" s="18">
        <f>SUMIFS(Fenster!$M$10:$M$2160,Fenster!$D$10:$D$2160,Fassade!F304,Fenster!$L$10:$L$2160,"&gt;2,5")</f>
        <v>0</v>
      </c>
      <c r="P304" s="18">
        <f>SUMIF(Fenster!$D$10:$D$2160,Fassade!F304,Fenster!$K$10:$K$2160)</f>
        <v>0</v>
      </c>
      <c r="Q304" s="18">
        <f t="shared" si="193"/>
        <v>0</v>
      </c>
      <c r="R304" s="187">
        <f t="shared" si="194"/>
        <v>0</v>
      </c>
      <c r="S304" s="1596"/>
      <c r="T304" s="1606"/>
      <c r="U304" s="1214"/>
      <c r="V304" s="1645"/>
      <c r="W304" s="1587"/>
      <c r="X304" s="1590"/>
    </row>
    <row r="305" spans="2:24">
      <c r="B305" s="131" t="s">
        <v>698</v>
      </c>
      <c r="C305" s="364"/>
      <c r="D305" s="1552"/>
      <c r="E305" s="1609"/>
      <c r="F305" s="18"/>
      <c r="G305" s="18"/>
      <c r="H305" s="657"/>
      <c r="I305" s="657"/>
      <c r="J305" s="657"/>
      <c r="K305" s="657"/>
      <c r="L305" s="115">
        <f t="shared" si="192"/>
        <v>0</v>
      </c>
      <c r="M305" s="18">
        <f>SUMIF(Fenster!$D$10:$D$2160,Fassade!F305,Fenster!$J$10:$J$2160)</f>
        <v>0</v>
      </c>
      <c r="N305" s="18">
        <f>SUMIF(Fenster!$D$10:$D$2160,Fassade!F305,Fenster!$M$10:$M$2160)</f>
        <v>0</v>
      </c>
      <c r="O305" s="18">
        <f>SUMIFS(Fenster!$M$10:$M$2160,Fenster!$D$10:$D$2160,Fassade!F305,Fenster!$L$10:$L$2160,"&gt;2,5")</f>
        <v>0</v>
      </c>
      <c r="P305" s="18">
        <f>SUMIF(Fenster!$D$10:$D$2160,Fassade!F305,Fenster!$K$10:$K$2160)</f>
        <v>0</v>
      </c>
      <c r="Q305" s="18">
        <f t="shared" si="193"/>
        <v>0</v>
      </c>
      <c r="R305" s="187">
        <f t="shared" si="194"/>
        <v>0</v>
      </c>
      <c r="S305" s="1596"/>
      <c r="T305" s="1606"/>
      <c r="U305" s="1215"/>
      <c r="V305" s="1645"/>
      <c r="W305" s="1587"/>
      <c r="X305" s="1590"/>
    </row>
    <row r="306" spans="2:24">
      <c r="B306" s="131" t="s">
        <v>699</v>
      </c>
      <c r="C306" s="798"/>
      <c r="D306" s="1552"/>
      <c r="E306" s="1609"/>
      <c r="F306" s="18"/>
      <c r="G306" s="18"/>
      <c r="H306" s="657"/>
      <c r="I306" s="657"/>
      <c r="J306" s="657"/>
      <c r="K306" s="657"/>
      <c r="L306" s="115">
        <f t="shared" si="192"/>
        <v>0</v>
      </c>
      <c r="M306" s="18">
        <f>SUMIF(Fenster!$D$10:$D$2160,Fassade!F306,Fenster!$J$10:$J$2160)</f>
        <v>0</v>
      </c>
      <c r="N306" s="18">
        <f>SUMIF(Fenster!$D$10:$D$2160,Fassade!F306,Fenster!$M$10:$M$2160)</f>
        <v>0</v>
      </c>
      <c r="O306" s="18">
        <f>SUMIFS(Fenster!$M$10:$M$2160,Fenster!$D$10:$D$2160,Fassade!F306,Fenster!$L$10:$L$2160,"&gt;2,5")</f>
        <v>0</v>
      </c>
      <c r="P306" s="18">
        <f>SUMIF(Fenster!$D$10:$D$2160,Fassade!F306,Fenster!$K$10:$K$2160)</f>
        <v>0</v>
      </c>
      <c r="Q306" s="18">
        <f t="shared" si="193"/>
        <v>0</v>
      </c>
      <c r="R306" s="187">
        <f t="shared" si="194"/>
        <v>0</v>
      </c>
      <c r="S306" s="1596"/>
      <c r="T306" s="1606"/>
      <c r="U306" s="1215"/>
      <c r="V306" s="1645"/>
      <c r="W306" s="1587"/>
      <c r="X306" s="1590"/>
    </row>
    <row r="307" spans="2:24">
      <c r="B307" s="131" t="s">
        <v>668</v>
      </c>
      <c r="C307" s="798"/>
      <c r="D307" s="1552"/>
      <c r="E307" s="1609"/>
      <c r="F307" s="18"/>
      <c r="G307" s="18"/>
      <c r="H307" s="657"/>
      <c r="I307" s="657"/>
      <c r="J307" s="657"/>
      <c r="K307" s="657"/>
      <c r="L307" s="115">
        <f t="shared" si="192"/>
        <v>0</v>
      </c>
      <c r="M307" s="18">
        <f>SUMIF(Fenster!$D$10:$D$2160,Fassade!F307,Fenster!$J$10:$J$2160)</f>
        <v>0</v>
      </c>
      <c r="N307" s="18">
        <f>SUMIF(Fenster!$D$10:$D$2160,Fassade!F307,Fenster!$M$10:$M$2160)</f>
        <v>0</v>
      </c>
      <c r="O307" s="18">
        <f>SUMIFS(Fenster!$M$10:$M$2160,Fenster!$D$10:$D$2160,Fassade!F307,Fenster!$L$10:$L$2160,"&gt;2,5")</f>
        <v>0</v>
      </c>
      <c r="P307" s="18">
        <f>SUMIF(Fenster!$D$10:$D$2160,Fassade!F307,Fenster!$K$10:$K$2160)</f>
        <v>0</v>
      </c>
      <c r="Q307" s="18">
        <f t="shared" si="193"/>
        <v>0</v>
      </c>
      <c r="R307" s="187">
        <f t="shared" si="194"/>
        <v>0</v>
      </c>
      <c r="S307" s="1596"/>
      <c r="T307" s="1606"/>
      <c r="U307" s="1214"/>
      <c r="V307" s="1645"/>
      <c r="W307" s="1587"/>
      <c r="X307" s="1590"/>
    </row>
    <row r="308" spans="2:24">
      <c r="B308" s="234" t="s">
        <v>670</v>
      </c>
      <c r="C308" s="798"/>
      <c r="D308" s="1552"/>
      <c r="E308" s="1609"/>
      <c r="F308" s="1612" t="s">
        <v>187</v>
      </c>
      <c r="G308" s="18"/>
      <c r="H308" s="657"/>
      <c r="I308" s="657"/>
      <c r="J308" s="657"/>
      <c r="K308" s="657"/>
      <c r="L308" s="1614">
        <f t="shared" ref="L308" si="195">SUM(L298:L307)</f>
        <v>0</v>
      </c>
      <c r="M308" s="1477">
        <f t="shared" ref="M308" si="196">SUM(M298:M307)</f>
        <v>0</v>
      </c>
      <c r="N308" s="1477">
        <f t="shared" ref="N308" si="197">SUM(N298:N307)</f>
        <v>0</v>
      </c>
      <c r="O308" s="1477">
        <f t="shared" ref="O308" si="198">SUM(O298:O307)</f>
        <v>0</v>
      </c>
      <c r="P308" s="1477">
        <f t="shared" ref="P308" si="199">SUM(P298:P307)</f>
        <v>0</v>
      </c>
      <c r="Q308" s="1477">
        <f t="shared" ref="Q308" si="200">SUM(Q298:Q307)</f>
        <v>0</v>
      </c>
      <c r="R308" s="1483">
        <f>SUM(R298:R307)</f>
        <v>0</v>
      </c>
      <c r="S308" s="1596"/>
      <c r="T308" s="1606"/>
      <c r="U308" s="1213"/>
      <c r="V308" s="1645"/>
      <c r="W308" s="1587"/>
      <c r="X308" s="1590"/>
    </row>
    <row r="309" spans="2:24" ht="17.399999999999999" thickBot="1">
      <c r="B309" s="789" t="s">
        <v>672</v>
      </c>
      <c r="C309" s="722"/>
      <c r="D309" s="1610"/>
      <c r="E309" s="1611"/>
      <c r="F309" s="1613"/>
      <c r="G309" s="788"/>
      <c r="H309" s="788"/>
      <c r="I309" s="788"/>
      <c r="J309" s="788"/>
      <c r="K309" s="788"/>
      <c r="L309" s="1615"/>
      <c r="M309" s="1592"/>
      <c r="N309" s="1592"/>
      <c r="O309" s="1592"/>
      <c r="P309" s="1592"/>
      <c r="Q309" s="1592"/>
      <c r="R309" s="1605"/>
      <c r="S309" s="1598"/>
      <c r="T309" s="1607"/>
      <c r="U309" s="1209"/>
      <c r="V309" s="1646"/>
      <c r="W309" s="1588"/>
      <c r="X309" s="1591"/>
    </row>
    <row r="310" spans="2:24" ht="57" customHeight="1">
      <c r="B310" s="135" t="s">
        <v>691</v>
      </c>
      <c r="C310" s="123"/>
      <c r="D310" s="1552" t="e" vm="9">
        <v>#VALUE!</v>
      </c>
      <c r="E310" s="1609"/>
      <c r="F310" s="229" t="s">
        <v>296</v>
      </c>
      <c r="G310" s="229" t="s">
        <v>272</v>
      </c>
      <c r="H310" s="229" t="s">
        <v>300</v>
      </c>
      <c r="I310" s="229" t="s">
        <v>301</v>
      </c>
      <c r="J310" s="177" t="s">
        <v>652</v>
      </c>
      <c r="K310" s="177" t="s">
        <v>653</v>
      </c>
      <c r="L310" s="177" t="s">
        <v>654</v>
      </c>
      <c r="M310" s="177" t="s">
        <v>655</v>
      </c>
      <c r="N310" s="177" t="s">
        <v>656</v>
      </c>
      <c r="O310" s="177" t="s">
        <v>657</v>
      </c>
      <c r="P310" s="177" t="s">
        <v>658</v>
      </c>
      <c r="Q310" s="177" t="s">
        <v>659</v>
      </c>
      <c r="R310" s="713" t="s">
        <v>660</v>
      </c>
      <c r="S310" s="1600"/>
      <c r="T310" s="1606"/>
      <c r="U310" s="1200" t="s">
        <v>661</v>
      </c>
      <c r="V310" s="995" t="str" cm="1">
        <f t="array" ref="V310">_xlfn.XLOOKUP(U310&amp;Allgemein!$C$45,Fassadenpositionen[[#Headers],[WDVS:]]&amp;Fassadenpositionen[Position Fassade],Fassadenpositionen[WDVS:],"",0,1)</f>
        <v>Nein</v>
      </c>
      <c r="W310" s="995" t="str" cm="1">
        <f t="array" ref="W310">_xlfn.XLOOKUP(U310&amp;Allgemein!$C$61,Fassadenpositionen[[#Headers],[WDVS:]]&amp;Fassadenpositionen[Position Fassade],Fassadenpositionen[WDVS:],"",0,1)</f>
        <v>Nein</v>
      </c>
      <c r="X310" s="996" t="str" cm="1">
        <f t="array" ref="X310">_xlfn.XLOOKUP(U310&amp;Allgemein!$C$77,Fassadenpositionen[[#Headers],[WDVS:]]&amp;Fassadenpositionen[Position Fassade],Fassadenpositionen[WDVS:],"",0,1)</f>
        <v>Nein</v>
      </c>
    </row>
    <row r="311" spans="2:24">
      <c r="B311" s="120" t="s">
        <v>662</v>
      </c>
      <c r="C311" s="364"/>
      <c r="D311" s="1552"/>
      <c r="E311" s="1609"/>
      <c r="F311" s="18"/>
      <c r="G311" s="18"/>
      <c r="H311" s="657"/>
      <c r="I311" s="657"/>
      <c r="J311" s="657"/>
      <c r="K311" s="657"/>
      <c r="L311" s="115">
        <f t="shared" ref="L311:L320" si="201">H311*I311+J311</f>
        <v>0</v>
      </c>
      <c r="M311" s="18">
        <f>SUMIF(Fenster!$D$10:$D$2160,Fassade!F311,Fenster!$J$10:$J$2160)</f>
        <v>0</v>
      </c>
      <c r="N311" s="18">
        <f>SUMIF(Fenster!$D$10:$D$2160,Fassade!F311,Fenster!$M$10:$M$2160)</f>
        <v>0</v>
      </c>
      <c r="O311" s="18">
        <f>SUMIFS(Fenster!$M$10:$M$2160,Fenster!$D$10:$D$2160,Fassade!F311,Fenster!$L$10:$L$2160,"&gt;2,5")</f>
        <v>0</v>
      </c>
      <c r="P311" s="18">
        <f>SUMIF(Fenster!$D$10:$D$2160,Fassade!F311,Fenster!$K$10:$K$2160)</f>
        <v>0</v>
      </c>
      <c r="Q311" s="18">
        <f t="shared" ref="Q311:Q320" si="202">L311-O311</f>
        <v>0</v>
      </c>
      <c r="R311" s="187">
        <f t="shared" ref="R311:R320" si="203">L311-N311</f>
        <v>0</v>
      </c>
      <c r="S311" s="1596"/>
      <c r="T311" s="1606"/>
      <c r="U311" s="1201" t="s">
        <v>663</v>
      </c>
      <c r="V311" s="997">
        <v>0</v>
      </c>
      <c r="W311" s="952">
        <v>0</v>
      </c>
      <c r="X311" s="988">
        <v>0</v>
      </c>
    </row>
    <row r="312" spans="2:24">
      <c r="B312" s="131" t="s">
        <v>692</v>
      </c>
      <c r="C312" s="364"/>
      <c r="D312" s="1552"/>
      <c r="E312" s="1609"/>
      <c r="F312" s="18"/>
      <c r="G312" s="18"/>
      <c r="H312" s="657"/>
      <c r="I312" s="657"/>
      <c r="J312" s="657"/>
      <c r="K312" s="657"/>
      <c r="L312" s="115">
        <f t="shared" si="201"/>
        <v>0</v>
      </c>
      <c r="M312" s="18">
        <f>SUMIF(Fenster!$D$10:$D$2160,Fassade!F312,Fenster!$J$10:$J$2160)</f>
        <v>0</v>
      </c>
      <c r="N312" s="18">
        <f>SUMIF(Fenster!$D$10:$D$2160,Fassade!F312,Fenster!$M$10:$M$2160)</f>
        <v>0</v>
      </c>
      <c r="O312" s="18">
        <f>SUMIFS(Fenster!$M$10:$M$2160,Fenster!$D$10:$D$2160,Fassade!F312,Fenster!$L$10:$L$2160,"&gt;2,5")</f>
        <v>0</v>
      </c>
      <c r="P312" s="18">
        <f>SUMIF(Fenster!$D$10:$D$2160,Fassade!F312,Fenster!$K$10:$K$2160)</f>
        <v>0</v>
      </c>
      <c r="Q312" s="18">
        <f t="shared" si="202"/>
        <v>0</v>
      </c>
      <c r="R312" s="187">
        <f t="shared" si="203"/>
        <v>0</v>
      </c>
      <c r="S312" s="1596"/>
      <c r="T312" s="1606"/>
      <c r="U312" s="1202" t="s">
        <v>665</v>
      </c>
      <c r="V312" s="998">
        <f>IF(V310="Ja",(Q321+V311)*$V$9,0)</f>
        <v>0</v>
      </c>
      <c r="W312" s="958">
        <f>IF(W310="Ja",(Q321+W311)*$V$9,0)</f>
        <v>0</v>
      </c>
      <c r="X312" s="999">
        <f>IF(X310="Ja",(Q321+X311)*$V$9,0)</f>
        <v>0</v>
      </c>
    </row>
    <row r="313" spans="2:24">
      <c r="B313" s="131" t="s">
        <v>693</v>
      </c>
      <c r="C313" s="798"/>
      <c r="D313" s="1552"/>
      <c r="E313" s="1609"/>
      <c r="F313" s="18"/>
      <c r="G313" s="18"/>
      <c r="H313" s="657"/>
      <c r="I313" s="657"/>
      <c r="J313" s="657"/>
      <c r="K313" s="657"/>
      <c r="L313" s="115">
        <f t="shared" si="201"/>
        <v>0</v>
      </c>
      <c r="M313" s="18">
        <f>SUMIF(Fenster!$D$10:$D$2160,Fassade!F313,Fenster!$J$10:$J$2160)</f>
        <v>0</v>
      </c>
      <c r="N313" s="18">
        <f>SUMIF(Fenster!$D$10:$D$2160,Fassade!F313,Fenster!$M$10:$M$2160)</f>
        <v>0</v>
      </c>
      <c r="O313" s="18">
        <f>SUMIFS(Fenster!$M$10:$M$2160,Fenster!$D$10:$D$2160,Fassade!F313,Fenster!$L$10:$L$2160,"&gt;2,5")</f>
        <v>0</v>
      </c>
      <c r="P313" s="18">
        <f>SUMIF(Fenster!$D$10:$D$2160,Fassade!F313,Fenster!$K$10:$K$2160)</f>
        <v>0</v>
      </c>
      <c r="Q313" s="18">
        <f t="shared" si="202"/>
        <v>0</v>
      </c>
      <c r="R313" s="187">
        <f t="shared" si="203"/>
        <v>0</v>
      </c>
      <c r="S313" s="1596"/>
      <c r="T313" s="1606"/>
      <c r="U313" s="1203" t="s">
        <v>667</v>
      </c>
      <c r="V313" s="998">
        <f>IF(V310="Ja",(R321+V311)*$V$9,0)</f>
        <v>0</v>
      </c>
      <c r="W313" s="958">
        <f>IF(W310="Ja",(R321+W311)*$V$9,0)</f>
        <v>0</v>
      </c>
      <c r="X313" s="999">
        <f>IF(X310="Ja",(R321+X311)*$V$9,0)</f>
        <v>0</v>
      </c>
    </row>
    <row r="314" spans="2:24">
      <c r="B314" s="131" t="s">
        <v>694</v>
      </c>
      <c r="C314" s="798"/>
      <c r="D314" s="1552"/>
      <c r="E314" s="1609"/>
      <c r="F314" s="18"/>
      <c r="G314" s="18"/>
      <c r="H314" s="657"/>
      <c r="I314" s="657"/>
      <c r="J314" s="657"/>
      <c r="K314" s="657"/>
      <c r="L314" s="115">
        <f t="shared" si="201"/>
        <v>0</v>
      </c>
      <c r="M314" s="18">
        <f>SUMIF(Fenster!$D$10:$D$2160,Fassade!F314,Fenster!$J$10:$J$2160)</f>
        <v>0</v>
      </c>
      <c r="N314" s="18">
        <f>SUMIF(Fenster!$D$10:$D$2160,Fassade!F314,Fenster!$M$10:$M$2160)</f>
        <v>0</v>
      </c>
      <c r="O314" s="18">
        <f>SUMIFS(Fenster!$M$10:$M$2160,Fenster!$D$10:$D$2160,Fassade!F314,Fenster!$L$10:$L$2160,"&gt;2,5")</f>
        <v>0</v>
      </c>
      <c r="P314" s="18">
        <f>SUMIF(Fenster!$D$10:$D$2160,Fassade!F314,Fenster!$K$10:$K$2160)</f>
        <v>0</v>
      </c>
      <c r="Q314" s="18">
        <f t="shared" si="202"/>
        <v>0</v>
      </c>
      <c r="R314" s="187">
        <f t="shared" si="203"/>
        <v>0</v>
      </c>
      <c r="S314" s="1596"/>
      <c r="T314" s="1606"/>
      <c r="U314" s="1204" t="s">
        <v>669</v>
      </c>
      <c r="V314" s="958" t="str">
        <f>Allgemein!$D$45</f>
        <v>-</v>
      </c>
      <c r="W314" s="958" t="str">
        <f>Allgemein!$D$61</f>
        <v>-</v>
      </c>
      <c r="X314" s="1000" t="str">
        <f>Allgemein!$D$77</f>
        <v>-</v>
      </c>
    </row>
    <row r="315" spans="2:24">
      <c r="B315" s="131" t="s">
        <v>695</v>
      </c>
      <c r="C315" s="798"/>
      <c r="D315" s="1552"/>
      <c r="E315" s="1609"/>
      <c r="F315" s="18"/>
      <c r="G315" s="18"/>
      <c r="H315" s="657"/>
      <c r="I315" s="657"/>
      <c r="J315" s="657"/>
      <c r="K315" s="657"/>
      <c r="L315" s="115">
        <f t="shared" si="201"/>
        <v>0</v>
      </c>
      <c r="M315" s="18">
        <f>SUMIF(Fenster!$D$10:$D$2160,Fassade!F315,Fenster!$J$10:$J$2160)</f>
        <v>0</v>
      </c>
      <c r="N315" s="18">
        <f>SUMIF(Fenster!$D$10:$D$2160,Fassade!F315,Fenster!$M$10:$M$2160)</f>
        <v>0</v>
      </c>
      <c r="O315" s="18">
        <f>SUMIFS(Fenster!$M$10:$M$2160,Fenster!$D$10:$D$2160,Fassade!F315,Fenster!$L$10:$L$2160,"&gt;2,5")</f>
        <v>0</v>
      </c>
      <c r="P315" s="18">
        <f>SUMIF(Fenster!$D$10:$D$2160,Fassade!F315,Fenster!$K$10:$K$2160)</f>
        <v>0</v>
      </c>
      <c r="Q315" s="18">
        <f t="shared" si="202"/>
        <v>0</v>
      </c>
      <c r="R315" s="187">
        <f t="shared" si="203"/>
        <v>0</v>
      </c>
      <c r="S315" s="1596"/>
      <c r="T315" s="1606"/>
      <c r="U315" s="1205" t="s">
        <v>671</v>
      </c>
      <c r="V315" s="1640"/>
      <c r="W315" s="1586"/>
      <c r="X315" s="1589"/>
    </row>
    <row r="316" spans="2:24">
      <c r="B316" s="131" t="s">
        <v>696</v>
      </c>
      <c r="C316" s="798"/>
      <c r="D316" s="1552"/>
      <c r="E316" s="1609"/>
      <c r="F316" s="18"/>
      <c r="G316" s="18"/>
      <c r="H316" s="657"/>
      <c r="I316" s="657"/>
      <c r="J316" s="657"/>
      <c r="K316" s="657"/>
      <c r="L316" s="115">
        <f t="shared" si="201"/>
        <v>0</v>
      </c>
      <c r="M316" s="18">
        <f>SUMIF(Fenster!$D$10:$D$2160,Fassade!F316,Fenster!$J$10:$J$2160)</f>
        <v>0</v>
      </c>
      <c r="N316" s="18">
        <f>SUMIF(Fenster!$D$10:$D$2160,Fassade!F316,Fenster!$M$10:$M$2160)</f>
        <v>0</v>
      </c>
      <c r="O316" s="18">
        <f>SUMIFS(Fenster!$M$10:$M$2160,Fenster!$D$10:$D$2160,Fassade!F316,Fenster!$L$10:$L$2160,"&gt;2,5")</f>
        <v>0</v>
      </c>
      <c r="P316" s="18">
        <f>SUMIF(Fenster!$D$10:$D$2160,Fassade!F316,Fenster!$K$10:$K$2160)</f>
        <v>0</v>
      </c>
      <c r="Q316" s="18">
        <f t="shared" si="202"/>
        <v>0</v>
      </c>
      <c r="R316" s="187">
        <f t="shared" si="203"/>
        <v>0</v>
      </c>
      <c r="S316" s="1596"/>
      <c r="T316" s="1606"/>
      <c r="U316" s="1214"/>
      <c r="V316" s="1645"/>
      <c r="W316" s="1587"/>
      <c r="X316" s="1590"/>
    </row>
    <row r="317" spans="2:24">
      <c r="B317" s="131" t="s">
        <v>697</v>
      </c>
      <c r="C317" s="798"/>
      <c r="D317" s="1552"/>
      <c r="E317" s="1609"/>
      <c r="F317" s="18"/>
      <c r="G317" s="18"/>
      <c r="H317" s="657"/>
      <c r="I317" s="657"/>
      <c r="J317" s="657"/>
      <c r="K317" s="657"/>
      <c r="L317" s="115">
        <f t="shared" si="201"/>
        <v>0</v>
      </c>
      <c r="M317" s="18">
        <f>SUMIF(Fenster!$D$10:$D$2160,Fassade!F317,Fenster!$J$10:$J$2160)</f>
        <v>0</v>
      </c>
      <c r="N317" s="18">
        <f>SUMIF(Fenster!$D$10:$D$2160,Fassade!F317,Fenster!$M$10:$M$2160)</f>
        <v>0</v>
      </c>
      <c r="O317" s="18">
        <f>SUMIFS(Fenster!$M$10:$M$2160,Fenster!$D$10:$D$2160,Fassade!F317,Fenster!$L$10:$L$2160,"&gt;2,5")</f>
        <v>0</v>
      </c>
      <c r="P317" s="18">
        <f>SUMIF(Fenster!$D$10:$D$2160,Fassade!F317,Fenster!$K$10:$K$2160)</f>
        <v>0</v>
      </c>
      <c r="Q317" s="18">
        <f t="shared" si="202"/>
        <v>0</v>
      </c>
      <c r="R317" s="187">
        <f t="shared" si="203"/>
        <v>0</v>
      </c>
      <c r="S317" s="1596"/>
      <c r="T317" s="1606"/>
      <c r="U317" s="1214"/>
      <c r="V317" s="1645"/>
      <c r="W317" s="1587"/>
      <c r="X317" s="1590"/>
    </row>
    <row r="318" spans="2:24">
      <c r="B318" s="131" t="s">
        <v>698</v>
      </c>
      <c r="C318" s="364"/>
      <c r="D318" s="1552"/>
      <c r="E318" s="1609"/>
      <c r="F318" s="18"/>
      <c r="G318" s="18"/>
      <c r="H318" s="657"/>
      <c r="I318" s="657"/>
      <c r="J318" s="657"/>
      <c r="K318" s="657"/>
      <c r="L318" s="115">
        <f t="shared" si="201"/>
        <v>0</v>
      </c>
      <c r="M318" s="18">
        <f>SUMIF(Fenster!$D$10:$D$2160,Fassade!F318,Fenster!$J$10:$J$2160)</f>
        <v>0</v>
      </c>
      <c r="N318" s="18">
        <f>SUMIF(Fenster!$D$10:$D$2160,Fassade!F318,Fenster!$M$10:$M$2160)</f>
        <v>0</v>
      </c>
      <c r="O318" s="18">
        <f>SUMIFS(Fenster!$M$10:$M$2160,Fenster!$D$10:$D$2160,Fassade!F318,Fenster!$L$10:$L$2160,"&gt;2,5")</f>
        <v>0</v>
      </c>
      <c r="P318" s="18">
        <f>SUMIF(Fenster!$D$10:$D$2160,Fassade!F318,Fenster!$K$10:$K$2160)</f>
        <v>0</v>
      </c>
      <c r="Q318" s="18">
        <f t="shared" si="202"/>
        <v>0</v>
      </c>
      <c r="R318" s="187">
        <f t="shared" si="203"/>
        <v>0</v>
      </c>
      <c r="S318" s="1596"/>
      <c r="T318" s="1606"/>
      <c r="U318" s="1215"/>
      <c r="V318" s="1645"/>
      <c r="W318" s="1587"/>
      <c r="X318" s="1590"/>
    </row>
    <row r="319" spans="2:24">
      <c r="B319" s="131" t="s">
        <v>699</v>
      </c>
      <c r="C319" s="798"/>
      <c r="D319" s="1552"/>
      <c r="E319" s="1609"/>
      <c r="F319" s="18"/>
      <c r="G319" s="18"/>
      <c r="H319" s="657"/>
      <c r="I319" s="657"/>
      <c r="J319" s="657"/>
      <c r="K319" s="657"/>
      <c r="L319" s="115">
        <f t="shared" si="201"/>
        <v>0</v>
      </c>
      <c r="M319" s="18">
        <f>SUMIF(Fenster!$D$10:$D$2160,Fassade!F319,Fenster!$J$10:$J$2160)</f>
        <v>0</v>
      </c>
      <c r="N319" s="18">
        <f>SUMIF(Fenster!$D$10:$D$2160,Fassade!F319,Fenster!$M$10:$M$2160)</f>
        <v>0</v>
      </c>
      <c r="O319" s="18">
        <f>SUMIFS(Fenster!$M$10:$M$2160,Fenster!$D$10:$D$2160,Fassade!F319,Fenster!$L$10:$L$2160,"&gt;2,5")</f>
        <v>0</v>
      </c>
      <c r="P319" s="18">
        <f>SUMIF(Fenster!$D$10:$D$2160,Fassade!F319,Fenster!$K$10:$K$2160)</f>
        <v>0</v>
      </c>
      <c r="Q319" s="18">
        <f t="shared" si="202"/>
        <v>0</v>
      </c>
      <c r="R319" s="187">
        <f t="shared" si="203"/>
        <v>0</v>
      </c>
      <c r="S319" s="1596"/>
      <c r="T319" s="1606"/>
      <c r="U319" s="1215"/>
      <c r="V319" s="1645"/>
      <c r="W319" s="1587"/>
      <c r="X319" s="1590"/>
    </row>
    <row r="320" spans="2:24">
      <c r="B320" s="131" t="s">
        <v>668</v>
      </c>
      <c r="C320" s="798"/>
      <c r="D320" s="1552"/>
      <c r="E320" s="1609"/>
      <c r="F320" s="18"/>
      <c r="G320" s="18"/>
      <c r="H320" s="657"/>
      <c r="I320" s="657"/>
      <c r="J320" s="657"/>
      <c r="K320" s="657"/>
      <c r="L320" s="115">
        <f t="shared" si="201"/>
        <v>0</v>
      </c>
      <c r="M320" s="18">
        <f>SUMIF(Fenster!$D$10:$D$2160,Fassade!F320,Fenster!$J$10:$J$2160)</f>
        <v>0</v>
      </c>
      <c r="N320" s="18">
        <f>SUMIF(Fenster!$D$10:$D$2160,Fassade!F320,Fenster!$M$10:$M$2160)</f>
        <v>0</v>
      </c>
      <c r="O320" s="18">
        <f>SUMIFS(Fenster!$M$10:$M$2160,Fenster!$D$10:$D$2160,Fassade!F320,Fenster!$L$10:$L$2160,"&gt;2,5")</f>
        <v>0</v>
      </c>
      <c r="P320" s="18">
        <f>SUMIF(Fenster!$D$10:$D$2160,Fassade!F320,Fenster!$K$10:$K$2160)</f>
        <v>0</v>
      </c>
      <c r="Q320" s="18">
        <f t="shared" si="202"/>
        <v>0</v>
      </c>
      <c r="R320" s="187">
        <f t="shared" si="203"/>
        <v>0</v>
      </c>
      <c r="S320" s="1596"/>
      <c r="T320" s="1606"/>
      <c r="U320" s="1214"/>
      <c r="V320" s="1645"/>
      <c r="W320" s="1587"/>
      <c r="X320" s="1590"/>
    </row>
    <row r="321" spans="2:24">
      <c r="B321" s="234" t="s">
        <v>670</v>
      </c>
      <c r="C321" s="798"/>
      <c r="D321" s="1552"/>
      <c r="E321" s="1609"/>
      <c r="F321" s="1612" t="s">
        <v>187</v>
      </c>
      <c r="G321" s="18"/>
      <c r="H321" s="657"/>
      <c r="I321" s="657"/>
      <c r="J321" s="657"/>
      <c r="K321" s="657"/>
      <c r="L321" s="1614">
        <f t="shared" ref="L321" si="204">SUM(L311:L320)</f>
        <v>0</v>
      </c>
      <c r="M321" s="1477">
        <f t="shared" ref="M321" si="205">SUM(M311:M320)</f>
        <v>0</v>
      </c>
      <c r="N321" s="1477">
        <f t="shared" ref="N321" si="206">SUM(N311:N320)</f>
        <v>0</v>
      </c>
      <c r="O321" s="1477">
        <f t="shared" ref="O321" si="207">SUM(O311:O320)</f>
        <v>0</v>
      </c>
      <c r="P321" s="1477">
        <f t="shared" ref="P321" si="208">SUM(P311:P320)</f>
        <v>0</v>
      </c>
      <c r="Q321" s="1477">
        <f t="shared" ref="Q321" si="209">SUM(Q311:Q320)</f>
        <v>0</v>
      </c>
      <c r="R321" s="1483">
        <f>SUM(R311:R320)</f>
        <v>0</v>
      </c>
      <c r="S321" s="1596"/>
      <c r="T321" s="1606"/>
      <c r="U321" s="1213"/>
      <c r="V321" s="1645"/>
      <c r="W321" s="1587"/>
      <c r="X321" s="1590"/>
    </row>
    <row r="322" spans="2:24" ht="17.399999999999999" thickBot="1">
      <c r="B322" s="789" t="s">
        <v>672</v>
      </c>
      <c r="C322" s="722"/>
      <c r="D322" s="1610"/>
      <c r="E322" s="1611"/>
      <c r="F322" s="1613"/>
      <c r="G322" s="788"/>
      <c r="H322" s="788"/>
      <c r="I322" s="788"/>
      <c r="J322" s="788"/>
      <c r="K322" s="788"/>
      <c r="L322" s="1615"/>
      <c r="M322" s="1592"/>
      <c r="N322" s="1592"/>
      <c r="O322" s="1592"/>
      <c r="P322" s="1592"/>
      <c r="Q322" s="1592"/>
      <c r="R322" s="1605"/>
      <c r="S322" s="1598"/>
      <c r="T322" s="1607"/>
      <c r="U322" s="1209"/>
      <c r="V322" s="1646"/>
      <c r="W322" s="1588"/>
      <c r="X322" s="1591"/>
    </row>
    <row r="323" spans="2:24" ht="57" customHeight="1">
      <c r="B323" s="135" t="s">
        <v>700</v>
      </c>
      <c r="C323" s="123"/>
      <c r="D323" s="1552" t="e" vm="10">
        <v>#VALUE!</v>
      </c>
      <c r="E323" s="1609"/>
      <c r="F323" s="229" t="s">
        <v>296</v>
      </c>
      <c r="G323" s="229" t="s">
        <v>272</v>
      </c>
      <c r="H323" s="229" t="s">
        <v>300</v>
      </c>
      <c r="I323" s="229" t="s">
        <v>301</v>
      </c>
      <c r="J323" s="177" t="s">
        <v>652</v>
      </c>
      <c r="K323" s="177" t="s">
        <v>653</v>
      </c>
      <c r="L323" s="177" t="s">
        <v>654</v>
      </c>
      <c r="M323" s="177" t="s">
        <v>655</v>
      </c>
      <c r="N323" s="177" t="s">
        <v>656</v>
      </c>
      <c r="O323" s="177" t="s">
        <v>657</v>
      </c>
      <c r="P323" s="177" t="s">
        <v>658</v>
      </c>
      <c r="Q323" s="177" t="s">
        <v>659</v>
      </c>
      <c r="R323" s="713" t="s">
        <v>660</v>
      </c>
      <c r="S323" s="1600"/>
      <c r="T323" s="1606"/>
      <c r="U323" s="1200" t="s">
        <v>661</v>
      </c>
      <c r="V323" s="995" t="str" cm="1">
        <f t="array" ref="V323">_xlfn.XLOOKUP(U323&amp;Allgemein!$C$45,Fassadenpositionen[[#Headers],[WDVS:]]&amp;Fassadenpositionen[Position Fassade],Fassadenpositionen[WDVS:],"",0,1)</f>
        <v>Nein</v>
      </c>
      <c r="W323" s="995" t="str" cm="1">
        <f t="array" ref="W323">_xlfn.XLOOKUP(U323&amp;Allgemein!$C$61,Fassadenpositionen[[#Headers],[WDVS:]]&amp;Fassadenpositionen[Position Fassade],Fassadenpositionen[WDVS:],"",0,1)</f>
        <v>Nein</v>
      </c>
      <c r="X323" s="996" t="str" cm="1">
        <f t="array" ref="X323">_xlfn.XLOOKUP(U323&amp;Allgemein!$C$77,Fassadenpositionen[[#Headers],[WDVS:]]&amp;Fassadenpositionen[Position Fassade],Fassadenpositionen[WDVS:],"",0,1)</f>
        <v>Nein</v>
      </c>
    </row>
    <row r="324" spans="2:24">
      <c r="B324" s="120" t="s">
        <v>662</v>
      </c>
      <c r="C324" s="364"/>
      <c r="D324" s="1552"/>
      <c r="E324" s="1609"/>
      <c r="F324" s="18"/>
      <c r="G324" s="18"/>
      <c r="H324" s="657"/>
      <c r="I324" s="657"/>
      <c r="J324" s="657"/>
      <c r="K324" s="657"/>
      <c r="L324" s="115">
        <f t="shared" ref="L324:L333" si="210">H324*I324+J324</f>
        <v>0</v>
      </c>
      <c r="M324" s="18">
        <f>SUMIF(Fenster!$D$10:$D$2160,Fassade!F324,Fenster!$J$10:$J$2160)</f>
        <v>0</v>
      </c>
      <c r="N324" s="18">
        <f>SUMIF(Fenster!$D$10:$D$2160,Fassade!F324,Fenster!$M$10:$M$2160)</f>
        <v>0</v>
      </c>
      <c r="O324" s="18">
        <f>SUMIFS(Fenster!$M$10:$M$2160,Fenster!$D$10:$D$2160,Fassade!F324,Fenster!$L$10:$L$2160,"&gt;2,5")</f>
        <v>0</v>
      </c>
      <c r="P324" s="18">
        <f>SUMIF(Fenster!$D$10:$D$2160,Fassade!F324,Fenster!$K$10:$K$2160)</f>
        <v>0</v>
      </c>
      <c r="Q324" s="18">
        <f t="shared" ref="Q324:Q333" si="211">L324-O324</f>
        <v>0</v>
      </c>
      <c r="R324" s="187">
        <f t="shared" ref="R324:R333" si="212">L324-N324</f>
        <v>0</v>
      </c>
      <c r="S324" s="1596"/>
      <c r="T324" s="1606"/>
      <c r="U324" s="1201" t="s">
        <v>663</v>
      </c>
      <c r="V324" s="997">
        <v>0</v>
      </c>
      <c r="W324" s="952">
        <v>0</v>
      </c>
      <c r="X324" s="988">
        <v>0</v>
      </c>
    </row>
    <row r="325" spans="2:24">
      <c r="B325" s="131" t="s">
        <v>701</v>
      </c>
      <c r="C325" s="364"/>
      <c r="D325" s="1552"/>
      <c r="E325" s="1609"/>
      <c r="F325" s="18"/>
      <c r="G325" s="18"/>
      <c r="H325" s="657"/>
      <c r="I325" s="657"/>
      <c r="J325" s="657"/>
      <c r="K325" s="657"/>
      <c r="L325" s="115">
        <f t="shared" si="210"/>
        <v>0</v>
      </c>
      <c r="M325" s="18">
        <f>SUMIF(Fenster!$D$10:$D$2160,Fassade!F325,Fenster!$J$10:$J$2160)</f>
        <v>0</v>
      </c>
      <c r="N325" s="18">
        <f>SUMIF(Fenster!$D$10:$D$2160,Fassade!F325,Fenster!$M$10:$M$2160)</f>
        <v>0</v>
      </c>
      <c r="O325" s="18">
        <f>SUMIFS(Fenster!$M$10:$M$2160,Fenster!$D$10:$D$2160,Fassade!F325,Fenster!$L$10:$L$2160,"&gt;2,5")</f>
        <v>0</v>
      </c>
      <c r="P325" s="18">
        <f>SUMIF(Fenster!$D$10:$D$2160,Fassade!F325,Fenster!$K$10:$K$2160)</f>
        <v>0</v>
      </c>
      <c r="Q325" s="18">
        <f t="shared" si="211"/>
        <v>0</v>
      </c>
      <c r="R325" s="187">
        <f t="shared" si="212"/>
        <v>0</v>
      </c>
      <c r="S325" s="1596"/>
      <c r="T325" s="1606"/>
      <c r="U325" s="1202" t="s">
        <v>665</v>
      </c>
      <c r="V325" s="998">
        <f>IF(V323="Ja",(Q334+V324)*$V$9,0)</f>
        <v>0</v>
      </c>
      <c r="W325" s="958">
        <f>IF(W323="Ja",(Q334+W324)*$V$9,0)</f>
        <v>0</v>
      </c>
      <c r="X325" s="999">
        <f>IF(X323="Ja",(Q334+X324)*$V$9,0)</f>
        <v>0</v>
      </c>
    </row>
    <row r="326" spans="2:24">
      <c r="B326" s="131" t="s">
        <v>702</v>
      </c>
      <c r="C326" s="798"/>
      <c r="D326" s="1552"/>
      <c r="E326" s="1609"/>
      <c r="F326" s="18"/>
      <c r="G326" s="18"/>
      <c r="H326" s="657"/>
      <c r="I326" s="657"/>
      <c r="J326" s="657"/>
      <c r="K326" s="657"/>
      <c r="L326" s="115">
        <f t="shared" si="210"/>
        <v>0</v>
      </c>
      <c r="M326" s="18">
        <f>SUMIF(Fenster!$D$10:$D$2160,Fassade!F326,Fenster!$J$10:$J$2160)</f>
        <v>0</v>
      </c>
      <c r="N326" s="18">
        <f>SUMIF(Fenster!$D$10:$D$2160,Fassade!F326,Fenster!$M$10:$M$2160)</f>
        <v>0</v>
      </c>
      <c r="O326" s="18">
        <f>SUMIFS(Fenster!$M$10:$M$2160,Fenster!$D$10:$D$2160,Fassade!F326,Fenster!$L$10:$L$2160,"&gt;2,5")</f>
        <v>0</v>
      </c>
      <c r="P326" s="18">
        <f>SUMIF(Fenster!$D$10:$D$2160,Fassade!F326,Fenster!$K$10:$K$2160)</f>
        <v>0</v>
      </c>
      <c r="Q326" s="18">
        <f t="shared" si="211"/>
        <v>0</v>
      </c>
      <c r="R326" s="187">
        <f t="shared" si="212"/>
        <v>0</v>
      </c>
      <c r="S326" s="1596"/>
      <c r="T326" s="1606"/>
      <c r="U326" s="1203" t="s">
        <v>667</v>
      </c>
      <c r="V326" s="998">
        <f>IF(V323="Ja",(R334+V324)*$V$9,0)</f>
        <v>0</v>
      </c>
      <c r="W326" s="958">
        <f>IF(W323="Ja",(R334+W324)*$V$9,0)</f>
        <v>0</v>
      </c>
      <c r="X326" s="999">
        <f>IF(X323="Ja",(R334+X324)*$V$9,0)</f>
        <v>0</v>
      </c>
    </row>
    <row r="327" spans="2:24">
      <c r="B327" s="131" t="s">
        <v>703</v>
      </c>
      <c r="C327" s="798"/>
      <c r="D327" s="1552"/>
      <c r="E327" s="1609"/>
      <c r="F327" s="18"/>
      <c r="G327" s="18"/>
      <c r="H327" s="657"/>
      <c r="I327" s="657"/>
      <c r="J327" s="657"/>
      <c r="K327" s="657"/>
      <c r="L327" s="115">
        <f t="shared" si="210"/>
        <v>0</v>
      </c>
      <c r="M327" s="18">
        <f>SUMIF(Fenster!$D$10:$D$2160,Fassade!F327,Fenster!$J$10:$J$2160)</f>
        <v>0</v>
      </c>
      <c r="N327" s="18">
        <f>SUMIF(Fenster!$D$10:$D$2160,Fassade!F327,Fenster!$M$10:$M$2160)</f>
        <v>0</v>
      </c>
      <c r="O327" s="18">
        <f>SUMIFS(Fenster!$M$10:$M$2160,Fenster!$D$10:$D$2160,Fassade!F327,Fenster!$L$10:$L$2160,"&gt;2,5")</f>
        <v>0</v>
      </c>
      <c r="P327" s="18">
        <f>SUMIF(Fenster!$D$10:$D$2160,Fassade!F327,Fenster!$K$10:$K$2160)</f>
        <v>0</v>
      </c>
      <c r="Q327" s="18">
        <f t="shared" si="211"/>
        <v>0</v>
      </c>
      <c r="R327" s="187">
        <f t="shared" si="212"/>
        <v>0</v>
      </c>
      <c r="S327" s="1596"/>
      <c r="T327" s="1606"/>
      <c r="U327" s="1204" t="s">
        <v>669</v>
      </c>
      <c r="V327" s="958" t="str">
        <f>Allgemein!$D$45</f>
        <v>-</v>
      </c>
      <c r="W327" s="958" t="str">
        <f>Allgemein!$D$61</f>
        <v>-</v>
      </c>
      <c r="X327" s="1000" t="str">
        <f>Allgemein!$D$77</f>
        <v>-</v>
      </c>
    </row>
    <row r="328" spans="2:24">
      <c r="B328" s="131" t="s">
        <v>704</v>
      </c>
      <c r="C328" s="798"/>
      <c r="D328" s="1552"/>
      <c r="E328" s="1609"/>
      <c r="F328" s="18"/>
      <c r="G328" s="18"/>
      <c r="H328" s="657"/>
      <c r="I328" s="657"/>
      <c r="J328" s="657"/>
      <c r="K328" s="657"/>
      <c r="L328" s="115">
        <f t="shared" si="210"/>
        <v>0</v>
      </c>
      <c r="M328" s="18">
        <f>SUMIF(Fenster!$D$10:$D$2160,Fassade!F328,Fenster!$J$10:$J$2160)</f>
        <v>0</v>
      </c>
      <c r="N328" s="18">
        <f>SUMIF(Fenster!$D$10:$D$2160,Fassade!F328,Fenster!$M$10:$M$2160)</f>
        <v>0</v>
      </c>
      <c r="O328" s="18">
        <f>SUMIFS(Fenster!$M$10:$M$2160,Fenster!$D$10:$D$2160,Fassade!F328,Fenster!$L$10:$L$2160,"&gt;2,5")</f>
        <v>0</v>
      </c>
      <c r="P328" s="18">
        <f>SUMIF(Fenster!$D$10:$D$2160,Fassade!F328,Fenster!$K$10:$K$2160)</f>
        <v>0</v>
      </c>
      <c r="Q328" s="18">
        <f t="shared" si="211"/>
        <v>0</v>
      </c>
      <c r="R328" s="187">
        <f t="shared" si="212"/>
        <v>0</v>
      </c>
      <c r="S328" s="1596"/>
      <c r="T328" s="1606"/>
      <c r="U328" s="1205" t="s">
        <v>671</v>
      </c>
      <c r="V328" s="1640"/>
      <c r="W328" s="1586"/>
      <c r="X328" s="1589"/>
    </row>
    <row r="329" spans="2:24">
      <c r="B329" s="131" t="s">
        <v>705</v>
      </c>
      <c r="C329" s="798"/>
      <c r="D329" s="1552"/>
      <c r="E329" s="1609"/>
      <c r="F329" s="18"/>
      <c r="G329" s="18"/>
      <c r="H329" s="657"/>
      <c r="I329" s="657"/>
      <c r="J329" s="657"/>
      <c r="K329" s="657"/>
      <c r="L329" s="115">
        <f t="shared" si="210"/>
        <v>0</v>
      </c>
      <c r="M329" s="18">
        <f>SUMIF(Fenster!$D$10:$D$2160,Fassade!F329,Fenster!$J$10:$J$2160)</f>
        <v>0</v>
      </c>
      <c r="N329" s="18">
        <f>SUMIF(Fenster!$D$10:$D$2160,Fassade!F329,Fenster!$M$10:$M$2160)</f>
        <v>0</v>
      </c>
      <c r="O329" s="18">
        <f>SUMIFS(Fenster!$M$10:$M$2160,Fenster!$D$10:$D$2160,Fassade!F329,Fenster!$L$10:$L$2160,"&gt;2,5")</f>
        <v>0</v>
      </c>
      <c r="P329" s="18">
        <f>SUMIF(Fenster!$D$10:$D$2160,Fassade!F329,Fenster!$K$10:$K$2160)</f>
        <v>0</v>
      </c>
      <c r="Q329" s="18">
        <f t="shared" si="211"/>
        <v>0</v>
      </c>
      <c r="R329" s="187">
        <f t="shared" si="212"/>
        <v>0</v>
      </c>
      <c r="S329" s="1596"/>
      <c r="T329" s="1606"/>
      <c r="U329" s="1214"/>
      <c r="V329" s="1645"/>
      <c r="W329" s="1587"/>
      <c r="X329" s="1590"/>
    </row>
    <row r="330" spans="2:24">
      <c r="B330" s="131" t="s">
        <v>706</v>
      </c>
      <c r="C330" s="798"/>
      <c r="D330" s="1552"/>
      <c r="E330" s="1609"/>
      <c r="F330" s="18"/>
      <c r="G330" s="18"/>
      <c r="H330" s="657"/>
      <c r="I330" s="657"/>
      <c r="J330" s="657"/>
      <c r="K330" s="657"/>
      <c r="L330" s="115">
        <f t="shared" si="210"/>
        <v>0</v>
      </c>
      <c r="M330" s="18">
        <f>SUMIF(Fenster!$D$10:$D$2160,Fassade!F330,Fenster!$J$10:$J$2160)</f>
        <v>0</v>
      </c>
      <c r="N330" s="18">
        <f>SUMIF(Fenster!$D$10:$D$2160,Fassade!F330,Fenster!$M$10:$M$2160)</f>
        <v>0</v>
      </c>
      <c r="O330" s="18">
        <f>SUMIFS(Fenster!$M$10:$M$2160,Fenster!$D$10:$D$2160,Fassade!F330,Fenster!$L$10:$L$2160,"&gt;2,5")</f>
        <v>0</v>
      </c>
      <c r="P330" s="18">
        <f>SUMIF(Fenster!$D$10:$D$2160,Fassade!F330,Fenster!$K$10:$K$2160)</f>
        <v>0</v>
      </c>
      <c r="Q330" s="18">
        <f t="shared" si="211"/>
        <v>0</v>
      </c>
      <c r="R330" s="187">
        <f t="shared" si="212"/>
        <v>0</v>
      </c>
      <c r="S330" s="1596"/>
      <c r="T330" s="1606"/>
      <c r="U330" s="1214"/>
      <c r="V330" s="1645"/>
      <c r="W330" s="1587"/>
      <c r="X330" s="1590"/>
    </row>
    <row r="331" spans="2:24">
      <c r="B331" s="131" t="s">
        <v>707</v>
      </c>
      <c r="C331" s="364"/>
      <c r="D331" s="1552"/>
      <c r="E331" s="1609"/>
      <c r="F331" s="18"/>
      <c r="G331" s="18"/>
      <c r="H331" s="657"/>
      <c r="I331" s="657"/>
      <c r="J331" s="657"/>
      <c r="K331" s="657"/>
      <c r="L331" s="115">
        <f t="shared" si="210"/>
        <v>0</v>
      </c>
      <c r="M331" s="18">
        <f>SUMIF(Fenster!$D$10:$D$2160,Fassade!F331,Fenster!$J$10:$J$2160)</f>
        <v>0</v>
      </c>
      <c r="N331" s="18">
        <f>SUMIF(Fenster!$D$10:$D$2160,Fassade!F331,Fenster!$M$10:$M$2160)</f>
        <v>0</v>
      </c>
      <c r="O331" s="18">
        <f>SUMIFS(Fenster!$M$10:$M$2160,Fenster!$D$10:$D$2160,Fassade!F331,Fenster!$L$10:$L$2160,"&gt;2,5")</f>
        <v>0</v>
      </c>
      <c r="P331" s="18">
        <f>SUMIF(Fenster!$D$10:$D$2160,Fassade!F331,Fenster!$K$10:$K$2160)</f>
        <v>0</v>
      </c>
      <c r="Q331" s="18">
        <f t="shared" si="211"/>
        <v>0</v>
      </c>
      <c r="R331" s="187">
        <f t="shared" si="212"/>
        <v>0</v>
      </c>
      <c r="S331" s="1596"/>
      <c r="T331" s="1606"/>
      <c r="U331" s="1215"/>
      <c r="V331" s="1645"/>
      <c r="W331" s="1587"/>
      <c r="X331" s="1590"/>
    </row>
    <row r="332" spans="2:24">
      <c r="B332" s="131" t="s">
        <v>708</v>
      </c>
      <c r="C332" s="798"/>
      <c r="D332" s="1552"/>
      <c r="E332" s="1609"/>
      <c r="F332" s="18"/>
      <c r="G332" s="18"/>
      <c r="H332" s="657"/>
      <c r="I332" s="657"/>
      <c r="J332" s="657"/>
      <c r="K332" s="657"/>
      <c r="L332" s="115">
        <f t="shared" si="210"/>
        <v>0</v>
      </c>
      <c r="M332" s="18">
        <f>SUMIF(Fenster!$D$10:$D$2160,Fassade!F332,Fenster!$J$10:$J$2160)</f>
        <v>0</v>
      </c>
      <c r="N332" s="18">
        <f>SUMIF(Fenster!$D$10:$D$2160,Fassade!F332,Fenster!$M$10:$M$2160)</f>
        <v>0</v>
      </c>
      <c r="O332" s="18">
        <f>SUMIFS(Fenster!$M$10:$M$2160,Fenster!$D$10:$D$2160,Fassade!F332,Fenster!$L$10:$L$2160,"&gt;2,5")</f>
        <v>0</v>
      </c>
      <c r="P332" s="18">
        <f>SUMIF(Fenster!$D$10:$D$2160,Fassade!F332,Fenster!$K$10:$K$2160)</f>
        <v>0</v>
      </c>
      <c r="Q332" s="18">
        <f t="shared" si="211"/>
        <v>0</v>
      </c>
      <c r="R332" s="187">
        <f t="shared" si="212"/>
        <v>0</v>
      </c>
      <c r="S332" s="1596"/>
      <c r="T332" s="1606"/>
      <c r="U332" s="1215"/>
      <c r="V332" s="1645"/>
      <c r="W332" s="1587"/>
      <c r="X332" s="1590"/>
    </row>
    <row r="333" spans="2:24">
      <c r="B333" s="131" t="s">
        <v>668</v>
      </c>
      <c r="C333" s="798"/>
      <c r="D333" s="1552"/>
      <c r="E333" s="1609"/>
      <c r="F333" s="18"/>
      <c r="G333" s="18"/>
      <c r="H333" s="657"/>
      <c r="I333" s="657"/>
      <c r="J333" s="657"/>
      <c r="K333" s="657"/>
      <c r="L333" s="115">
        <f t="shared" si="210"/>
        <v>0</v>
      </c>
      <c r="M333" s="18">
        <f>SUMIF(Fenster!$D$10:$D$2160,Fassade!F333,Fenster!$J$10:$J$2160)</f>
        <v>0</v>
      </c>
      <c r="N333" s="18">
        <f>SUMIF(Fenster!$D$10:$D$2160,Fassade!F333,Fenster!$M$10:$M$2160)</f>
        <v>0</v>
      </c>
      <c r="O333" s="18">
        <f>SUMIFS(Fenster!$M$10:$M$2160,Fenster!$D$10:$D$2160,Fassade!F333,Fenster!$L$10:$L$2160,"&gt;2,5")</f>
        <v>0</v>
      </c>
      <c r="P333" s="18">
        <f>SUMIF(Fenster!$D$10:$D$2160,Fassade!F333,Fenster!$K$10:$K$2160)</f>
        <v>0</v>
      </c>
      <c r="Q333" s="18">
        <f t="shared" si="211"/>
        <v>0</v>
      </c>
      <c r="R333" s="187">
        <f t="shared" si="212"/>
        <v>0</v>
      </c>
      <c r="S333" s="1596"/>
      <c r="T333" s="1606"/>
      <c r="U333" s="1214"/>
      <c r="V333" s="1645"/>
      <c r="W333" s="1587"/>
      <c r="X333" s="1590"/>
    </row>
    <row r="334" spans="2:24">
      <c r="B334" s="234" t="s">
        <v>670</v>
      </c>
      <c r="C334" s="798"/>
      <c r="D334" s="1552"/>
      <c r="E334" s="1609"/>
      <c r="F334" s="1612" t="s">
        <v>187</v>
      </c>
      <c r="G334" s="18"/>
      <c r="H334" s="657"/>
      <c r="I334" s="657"/>
      <c r="J334" s="657"/>
      <c r="K334" s="657"/>
      <c r="L334" s="1614">
        <f t="shared" ref="L334" si="213">SUM(L324:L333)</f>
        <v>0</v>
      </c>
      <c r="M334" s="1477">
        <f t="shared" ref="M334" si="214">SUM(M324:M333)</f>
        <v>0</v>
      </c>
      <c r="N334" s="1477">
        <f t="shared" ref="N334" si="215">SUM(N324:N333)</f>
        <v>0</v>
      </c>
      <c r="O334" s="1477">
        <f t="shared" ref="O334" si="216">SUM(O324:O333)</f>
        <v>0</v>
      </c>
      <c r="P334" s="1477">
        <f t="shared" ref="P334" si="217">SUM(P324:P333)</f>
        <v>0</v>
      </c>
      <c r="Q334" s="1477">
        <f t="shared" ref="Q334" si="218">SUM(Q324:Q333)</f>
        <v>0</v>
      </c>
      <c r="R334" s="1483">
        <f>SUM(R324:R333)</f>
        <v>0</v>
      </c>
      <c r="S334" s="1596"/>
      <c r="T334" s="1606"/>
      <c r="U334" s="1213"/>
      <c r="V334" s="1645"/>
      <c r="W334" s="1587"/>
      <c r="X334" s="1590"/>
    </row>
    <row r="335" spans="2:24" ht="17.399999999999999" thickBot="1">
      <c r="B335" s="789" t="s">
        <v>672</v>
      </c>
      <c r="C335" s="722"/>
      <c r="D335" s="1610"/>
      <c r="E335" s="1611"/>
      <c r="F335" s="1613"/>
      <c r="G335" s="788"/>
      <c r="H335" s="788"/>
      <c r="I335" s="788"/>
      <c r="J335" s="788"/>
      <c r="K335" s="788"/>
      <c r="L335" s="1615"/>
      <c r="M335" s="1592"/>
      <c r="N335" s="1592"/>
      <c r="O335" s="1592"/>
      <c r="P335" s="1592"/>
      <c r="Q335" s="1592"/>
      <c r="R335" s="1605"/>
      <c r="S335" s="1598"/>
      <c r="T335" s="1607"/>
      <c r="U335" s="1209"/>
      <c r="V335" s="1646"/>
      <c r="W335" s="1588"/>
      <c r="X335" s="1591"/>
    </row>
    <row r="336" spans="2:24" ht="57" customHeight="1">
      <c r="B336" s="135" t="s">
        <v>700</v>
      </c>
      <c r="C336" s="123"/>
      <c r="D336" s="1552" t="e" vm="10">
        <v>#VALUE!</v>
      </c>
      <c r="E336" s="1609"/>
      <c r="F336" s="229" t="s">
        <v>296</v>
      </c>
      <c r="G336" s="229" t="s">
        <v>272</v>
      </c>
      <c r="H336" s="229" t="s">
        <v>300</v>
      </c>
      <c r="I336" s="229" t="s">
        <v>301</v>
      </c>
      <c r="J336" s="177" t="s">
        <v>652</v>
      </c>
      <c r="K336" s="177" t="s">
        <v>653</v>
      </c>
      <c r="L336" s="177" t="s">
        <v>654</v>
      </c>
      <c r="M336" s="177" t="s">
        <v>655</v>
      </c>
      <c r="N336" s="177" t="s">
        <v>656</v>
      </c>
      <c r="O336" s="177" t="s">
        <v>657</v>
      </c>
      <c r="P336" s="177" t="s">
        <v>658</v>
      </c>
      <c r="Q336" s="177" t="s">
        <v>659</v>
      </c>
      <c r="R336" s="713" t="s">
        <v>660</v>
      </c>
      <c r="S336" s="1600"/>
      <c r="T336" s="1606"/>
      <c r="U336" s="1200" t="s">
        <v>661</v>
      </c>
      <c r="V336" s="995" t="str" cm="1">
        <f t="array" ref="V336">_xlfn.XLOOKUP(U336&amp;Allgemein!$C$45,Fassadenpositionen[[#Headers],[WDVS:]]&amp;Fassadenpositionen[Position Fassade],Fassadenpositionen[WDVS:],"",0,1)</f>
        <v>Nein</v>
      </c>
      <c r="W336" s="995" t="str" cm="1">
        <f t="array" ref="W336">_xlfn.XLOOKUP(U336&amp;Allgemein!$C$61,Fassadenpositionen[[#Headers],[WDVS:]]&amp;Fassadenpositionen[Position Fassade],Fassadenpositionen[WDVS:],"",0,1)</f>
        <v>Nein</v>
      </c>
      <c r="X336" s="996" t="str" cm="1">
        <f t="array" ref="X336">_xlfn.XLOOKUP(U336&amp;Allgemein!$C$77,Fassadenpositionen[[#Headers],[WDVS:]]&amp;Fassadenpositionen[Position Fassade],Fassadenpositionen[WDVS:],"",0,1)</f>
        <v>Nein</v>
      </c>
    </row>
    <row r="337" spans="2:24">
      <c r="B337" s="120" t="s">
        <v>662</v>
      </c>
      <c r="C337" s="364"/>
      <c r="D337" s="1552"/>
      <c r="E337" s="1609"/>
      <c r="F337" s="18"/>
      <c r="G337" s="18"/>
      <c r="H337" s="657"/>
      <c r="I337" s="657"/>
      <c r="J337" s="657"/>
      <c r="K337" s="657"/>
      <c r="L337" s="115">
        <f t="shared" ref="L337:L346" si="219">H337*I337+J337</f>
        <v>0</v>
      </c>
      <c r="M337" s="18">
        <f>SUMIF(Fenster!$D$10:$D$2160,Fassade!F337,Fenster!$J$10:$J$2160)</f>
        <v>0</v>
      </c>
      <c r="N337" s="18">
        <f>SUMIF(Fenster!$D$10:$D$2160,Fassade!F337,Fenster!$M$10:$M$2160)</f>
        <v>0</v>
      </c>
      <c r="O337" s="18">
        <f>SUMIFS(Fenster!$M$10:$M$2160,Fenster!$D$10:$D$2160,Fassade!F337,Fenster!$L$10:$L$2160,"&gt;2,5")</f>
        <v>0</v>
      </c>
      <c r="P337" s="18">
        <f>SUMIF(Fenster!$D$10:$D$2160,Fassade!F337,Fenster!$K$10:$K$2160)</f>
        <v>0</v>
      </c>
      <c r="Q337" s="18">
        <f t="shared" ref="Q337:Q346" si="220">L337-O337</f>
        <v>0</v>
      </c>
      <c r="R337" s="187">
        <f t="shared" ref="R337:R346" si="221">L337-N337</f>
        <v>0</v>
      </c>
      <c r="S337" s="1596"/>
      <c r="T337" s="1606"/>
      <c r="U337" s="1201" t="s">
        <v>663</v>
      </c>
      <c r="V337" s="997">
        <v>0</v>
      </c>
      <c r="W337" s="952">
        <v>0</v>
      </c>
      <c r="X337" s="988">
        <v>0</v>
      </c>
    </row>
    <row r="338" spans="2:24">
      <c r="B338" s="131" t="s">
        <v>701</v>
      </c>
      <c r="C338" s="364"/>
      <c r="D338" s="1552"/>
      <c r="E338" s="1609"/>
      <c r="F338" s="18"/>
      <c r="G338" s="18"/>
      <c r="H338" s="657"/>
      <c r="I338" s="657"/>
      <c r="J338" s="657"/>
      <c r="K338" s="657"/>
      <c r="L338" s="115">
        <f t="shared" si="219"/>
        <v>0</v>
      </c>
      <c r="M338" s="18">
        <f>SUMIF(Fenster!$D$10:$D$2160,Fassade!F338,Fenster!$J$10:$J$2160)</f>
        <v>0</v>
      </c>
      <c r="N338" s="18">
        <f>SUMIF(Fenster!$D$10:$D$2160,Fassade!F338,Fenster!$M$10:$M$2160)</f>
        <v>0</v>
      </c>
      <c r="O338" s="18">
        <f>SUMIFS(Fenster!$M$10:$M$2160,Fenster!$D$10:$D$2160,Fassade!F338,Fenster!$L$10:$L$2160,"&gt;2,5")</f>
        <v>0</v>
      </c>
      <c r="P338" s="18">
        <f>SUMIF(Fenster!$D$10:$D$2160,Fassade!F338,Fenster!$K$10:$K$2160)</f>
        <v>0</v>
      </c>
      <c r="Q338" s="18">
        <f t="shared" si="220"/>
        <v>0</v>
      </c>
      <c r="R338" s="187">
        <f t="shared" si="221"/>
        <v>0</v>
      </c>
      <c r="S338" s="1596"/>
      <c r="T338" s="1606"/>
      <c r="U338" s="1202" t="s">
        <v>665</v>
      </c>
      <c r="V338" s="998">
        <f>IF(V336="Ja",(Q347+V337)*$V$9,0)</f>
        <v>0</v>
      </c>
      <c r="W338" s="958">
        <f>IF(W336="Ja",(Q347+W337)*$V$9,0)</f>
        <v>0</v>
      </c>
      <c r="X338" s="999">
        <f>IF(X336="Ja",(Q347+X337)*$V$9,0)</f>
        <v>0</v>
      </c>
    </row>
    <row r="339" spans="2:24">
      <c r="B339" s="131" t="s">
        <v>702</v>
      </c>
      <c r="C339" s="798"/>
      <c r="D339" s="1552"/>
      <c r="E339" s="1609"/>
      <c r="F339" s="18"/>
      <c r="G339" s="18"/>
      <c r="H339" s="657"/>
      <c r="I339" s="657"/>
      <c r="J339" s="657"/>
      <c r="K339" s="657"/>
      <c r="L339" s="115">
        <f t="shared" si="219"/>
        <v>0</v>
      </c>
      <c r="M339" s="18">
        <f>SUMIF(Fenster!$D$10:$D$2160,Fassade!F339,Fenster!$J$10:$J$2160)</f>
        <v>0</v>
      </c>
      <c r="N339" s="18">
        <f>SUMIF(Fenster!$D$10:$D$2160,Fassade!F339,Fenster!$M$10:$M$2160)</f>
        <v>0</v>
      </c>
      <c r="O339" s="18">
        <f>SUMIFS(Fenster!$M$10:$M$2160,Fenster!$D$10:$D$2160,Fassade!F339,Fenster!$L$10:$L$2160,"&gt;2,5")</f>
        <v>0</v>
      </c>
      <c r="P339" s="18">
        <f>SUMIF(Fenster!$D$10:$D$2160,Fassade!F339,Fenster!$K$10:$K$2160)</f>
        <v>0</v>
      </c>
      <c r="Q339" s="18">
        <f t="shared" si="220"/>
        <v>0</v>
      </c>
      <c r="R339" s="187">
        <f t="shared" si="221"/>
        <v>0</v>
      </c>
      <c r="S339" s="1596"/>
      <c r="T339" s="1606"/>
      <c r="U339" s="1203" t="s">
        <v>667</v>
      </c>
      <c r="V339" s="998">
        <f>IF(V336="Ja",(R347+V337)*$V$9,0)</f>
        <v>0</v>
      </c>
      <c r="W339" s="958">
        <f>IF(W336="Ja",(R347+W337)*$V$9,0)</f>
        <v>0</v>
      </c>
      <c r="X339" s="999">
        <f>IF(X336="Ja",(R347+X337)*$V$9,0)</f>
        <v>0</v>
      </c>
    </row>
    <row r="340" spans="2:24">
      <c r="B340" s="131" t="s">
        <v>703</v>
      </c>
      <c r="C340" s="798"/>
      <c r="D340" s="1552"/>
      <c r="E340" s="1609"/>
      <c r="F340" s="18"/>
      <c r="G340" s="18"/>
      <c r="H340" s="657"/>
      <c r="I340" s="657"/>
      <c r="J340" s="657"/>
      <c r="K340" s="657"/>
      <c r="L340" s="115">
        <f t="shared" si="219"/>
        <v>0</v>
      </c>
      <c r="M340" s="18">
        <f>SUMIF(Fenster!$D$10:$D$2160,Fassade!F340,Fenster!$J$10:$J$2160)</f>
        <v>0</v>
      </c>
      <c r="N340" s="18">
        <f>SUMIF(Fenster!$D$10:$D$2160,Fassade!F340,Fenster!$M$10:$M$2160)</f>
        <v>0</v>
      </c>
      <c r="O340" s="18">
        <f>SUMIFS(Fenster!$M$10:$M$2160,Fenster!$D$10:$D$2160,Fassade!F340,Fenster!$L$10:$L$2160,"&gt;2,5")</f>
        <v>0</v>
      </c>
      <c r="P340" s="18">
        <f>SUMIF(Fenster!$D$10:$D$2160,Fassade!F340,Fenster!$K$10:$K$2160)</f>
        <v>0</v>
      </c>
      <c r="Q340" s="18">
        <f t="shared" si="220"/>
        <v>0</v>
      </c>
      <c r="R340" s="187">
        <f t="shared" si="221"/>
        <v>0</v>
      </c>
      <c r="S340" s="1596"/>
      <c r="T340" s="1606"/>
      <c r="U340" s="1204" t="s">
        <v>669</v>
      </c>
      <c r="V340" s="958" t="str">
        <f>Allgemein!$D$45</f>
        <v>-</v>
      </c>
      <c r="W340" s="958" t="str">
        <f>Allgemein!$D$61</f>
        <v>-</v>
      </c>
      <c r="X340" s="1000" t="str">
        <f>Allgemein!$D$77</f>
        <v>-</v>
      </c>
    </row>
    <row r="341" spans="2:24">
      <c r="B341" s="131" t="s">
        <v>704</v>
      </c>
      <c r="C341" s="798"/>
      <c r="D341" s="1552"/>
      <c r="E341" s="1609"/>
      <c r="F341" s="18"/>
      <c r="G341" s="18"/>
      <c r="H341" s="657"/>
      <c r="I341" s="657"/>
      <c r="J341" s="657"/>
      <c r="K341" s="657"/>
      <c r="L341" s="115">
        <f t="shared" si="219"/>
        <v>0</v>
      </c>
      <c r="M341" s="18">
        <f>SUMIF(Fenster!$D$10:$D$2160,Fassade!F341,Fenster!$J$10:$J$2160)</f>
        <v>0</v>
      </c>
      <c r="N341" s="18">
        <f>SUMIF(Fenster!$D$10:$D$2160,Fassade!F341,Fenster!$M$10:$M$2160)</f>
        <v>0</v>
      </c>
      <c r="O341" s="18">
        <f>SUMIFS(Fenster!$M$10:$M$2160,Fenster!$D$10:$D$2160,Fassade!F341,Fenster!$L$10:$L$2160,"&gt;2,5")</f>
        <v>0</v>
      </c>
      <c r="P341" s="18">
        <f>SUMIF(Fenster!$D$10:$D$2160,Fassade!F341,Fenster!$K$10:$K$2160)</f>
        <v>0</v>
      </c>
      <c r="Q341" s="18">
        <f t="shared" si="220"/>
        <v>0</v>
      </c>
      <c r="R341" s="187">
        <f t="shared" si="221"/>
        <v>0</v>
      </c>
      <c r="S341" s="1596"/>
      <c r="T341" s="1606"/>
      <c r="U341" s="1205" t="s">
        <v>671</v>
      </c>
      <c r="V341" s="1640"/>
      <c r="W341" s="1586"/>
      <c r="X341" s="1589"/>
    </row>
    <row r="342" spans="2:24">
      <c r="B342" s="131" t="s">
        <v>705</v>
      </c>
      <c r="C342" s="798"/>
      <c r="D342" s="1552"/>
      <c r="E342" s="1609"/>
      <c r="F342" s="18"/>
      <c r="G342" s="18"/>
      <c r="H342" s="657"/>
      <c r="I342" s="657"/>
      <c r="J342" s="657"/>
      <c r="K342" s="657"/>
      <c r="L342" s="115">
        <f t="shared" si="219"/>
        <v>0</v>
      </c>
      <c r="M342" s="18">
        <f>SUMIF(Fenster!$D$10:$D$2160,Fassade!F342,Fenster!$J$10:$J$2160)</f>
        <v>0</v>
      </c>
      <c r="N342" s="18">
        <f>SUMIF(Fenster!$D$10:$D$2160,Fassade!F342,Fenster!$M$10:$M$2160)</f>
        <v>0</v>
      </c>
      <c r="O342" s="18">
        <f>SUMIFS(Fenster!$M$10:$M$2160,Fenster!$D$10:$D$2160,Fassade!F342,Fenster!$L$10:$L$2160,"&gt;2,5")</f>
        <v>0</v>
      </c>
      <c r="P342" s="18">
        <f>SUMIF(Fenster!$D$10:$D$2160,Fassade!F342,Fenster!$K$10:$K$2160)</f>
        <v>0</v>
      </c>
      <c r="Q342" s="18">
        <f t="shared" si="220"/>
        <v>0</v>
      </c>
      <c r="R342" s="187">
        <f t="shared" si="221"/>
        <v>0</v>
      </c>
      <c r="S342" s="1596"/>
      <c r="T342" s="1606"/>
      <c r="U342" s="1214"/>
      <c r="V342" s="1645"/>
      <c r="W342" s="1587"/>
      <c r="X342" s="1590"/>
    </row>
    <row r="343" spans="2:24">
      <c r="B343" s="131" t="s">
        <v>706</v>
      </c>
      <c r="C343" s="798"/>
      <c r="D343" s="1552"/>
      <c r="E343" s="1609"/>
      <c r="F343" s="18"/>
      <c r="G343" s="18"/>
      <c r="H343" s="657"/>
      <c r="I343" s="657"/>
      <c r="J343" s="657"/>
      <c r="K343" s="657"/>
      <c r="L343" s="115">
        <f t="shared" si="219"/>
        <v>0</v>
      </c>
      <c r="M343" s="18">
        <f>SUMIF(Fenster!$D$10:$D$2160,Fassade!F343,Fenster!$J$10:$J$2160)</f>
        <v>0</v>
      </c>
      <c r="N343" s="18">
        <f>SUMIF(Fenster!$D$10:$D$2160,Fassade!F343,Fenster!$M$10:$M$2160)</f>
        <v>0</v>
      </c>
      <c r="O343" s="18">
        <f>SUMIFS(Fenster!$M$10:$M$2160,Fenster!$D$10:$D$2160,Fassade!F343,Fenster!$L$10:$L$2160,"&gt;2,5")</f>
        <v>0</v>
      </c>
      <c r="P343" s="18">
        <f>SUMIF(Fenster!$D$10:$D$2160,Fassade!F343,Fenster!$K$10:$K$2160)</f>
        <v>0</v>
      </c>
      <c r="Q343" s="18">
        <f t="shared" si="220"/>
        <v>0</v>
      </c>
      <c r="R343" s="187">
        <f t="shared" si="221"/>
        <v>0</v>
      </c>
      <c r="S343" s="1596"/>
      <c r="T343" s="1606"/>
      <c r="U343" s="1214"/>
      <c r="V343" s="1645"/>
      <c r="W343" s="1587"/>
      <c r="X343" s="1590"/>
    </row>
    <row r="344" spans="2:24">
      <c r="B344" s="131" t="s">
        <v>707</v>
      </c>
      <c r="C344" s="364"/>
      <c r="D344" s="1552"/>
      <c r="E344" s="1609"/>
      <c r="F344" s="18"/>
      <c r="G344" s="18"/>
      <c r="H344" s="657"/>
      <c r="I344" s="657"/>
      <c r="J344" s="657"/>
      <c r="K344" s="657"/>
      <c r="L344" s="115">
        <f t="shared" si="219"/>
        <v>0</v>
      </c>
      <c r="M344" s="18">
        <f>SUMIF(Fenster!$D$10:$D$2160,Fassade!F344,Fenster!$J$10:$J$2160)</f>
        <v>0</v>
      </c>
      <c r="N344" s="18">
        <f>SUMIF(Fenster!$D$10:$D$2160,Fassade!F344,Fenster!$M$10:$M$2160)</f>
        <v>0</v>
      </c>
      <c r="O344" s="18">
        <f>SUMIFS(Fenster!$M$10:$M$2160,Fenster!$D$10:$D$2160,Fassade!F344,Fenster!$L$10:$L$2160,"&gt;2,5")</f>
        <v>0</v>
      </c>
      <c r="P344" s="18">
        <f>SUMIF(Fenster!$D$10:$D$2160,Fassade!F344,Fenster!$K$10:$K$2160)</f>
        <v>0</v>
      </c>
      <c r="Q344" s="18">
        <f t="shared" si="220"/>
        <v>0</v>
      </c>
      <c r="R344" s="187">
        <f t="shared" si="221"/>
        <v>0</v>
      </c>
      <c r="S344" s="1596"/>
      <c r="T344" s="1606"/>
      <c r="U344" s="1215"/>
      <c r="V344" s="1645"/>
      <c r="W344" s="1587"/>
      <c r="X344" s="1590"/>
    </row>
    <row r="345" spans="2:24">
      <c r="B345" s="131" t="s">
        <v>708</v>
      </c>
      <c r="C345" s="798"/>
      <c r="D345" s="1552"/>
      <c r="E345" s="1609"/>
      <c r="F345" s="18"/>
      <c r="G345" s="18"/>
      <c r="H345" s="657"/>
      <c r="I345" s="657"/>
      <c r="J345" s="657"/>
      <c r="K345" s="657"/>
      <c r="L345" s="115">
        <f t="shared" si="219"/>
        <v>0</v>
      </c>
      <c r="M345" s="18">
        <f>SUMIF(Fenster!$D$10:$D$2160,Fassade!F345,Fenster!$J$10:$J$2160)</f>
        <v>0</v>
      </c>
      <c r="N345" s="18">
        <f>SUMIF(Fenster!$D$10:$D$2160,Fassade!F345,Fenster!$M$10:$M$2160)</f>
        <v>0</v>
      </c>
      <c r="O345" s="18">
        <f>SUMIFS(Fenster!$M$10:$M$2160,Fenster!$D$10:$D$2160,Fassade!F345,Fenster!$L$10:$L$2160,"&gt;2,5")</f>
        <v>0</v>
      </c>
      <c r="P345" s="18">
        <f>SUMIF(Fenster!$D$10:$D$2160,Fassade!F345,Fenster!$K$10:$K$2160)</f>
        <v>0</v>
      </c>
      <c r="Q345" s="18">
        <f t="shared" si="220"/>
        <v>0</v>
      </c>
      <c r="R345" s="187">
        <f t="shared" si="221"/>
        <v>0</v>
      </c>
      <c r="S345" s="1596"/>
      <c r="T345" s="1606"/>
      <c r="U345" s="1215"/>
      <c r="V345" s="1645"/>
      <c r="W345" s="1587"/>
      <c r="X345" s="1590"/>
    </row>
    <row r="346" spans="2:24">
      <c r="B346" s="131" t="s">
        <v>668</v>
      </c>
      <c r="C346" s="798"/>
      <c r="D346" s="1552"/>
      <c r="E346" s="1609"/>
      <c r="F346" s="18"/>
      <c r="G346" s="18"/>
      <c r="H346" s="657"/>
      <c r="I346" s="657"/>
      <c r="J346" s="657"/>
      <c r="K346" s="657"/>
      <c r="L346" s="115">
        <f t="shared" si="219"/>
        <v>0</v>
      </c>
      <c r="M346" s="18">
        <f>SUMIF(Fenster!$D$10:$D$2160,Fassade!F346,Fenster!$J$10:$J$2160)</f>
        <v>0</v>
      </c>
      <c r="N346" s="18">
        <f>SUMIF(Fenster!$D$10:$D$2160,Fassade!F346,Fenster!$M$10:$M$2160)</f>
        <v>0</v>
      </c>
      <c r="O346" s="18">
        <f>SUMIFS(Fenster!$M$10:$M$2160,Fenster!$D$10:$D$2160,Fassade!F346,Fenster!$L$10:$L$2160,"&gt;2,5")</f>
        <v>0</v>
      </c>
      <c r="P346" s="18">
        <f>SUMIF(Fenster!$D$10:$D$2160,Fassade!F346,Fenster!$K$10:$K$2160)</f>
        <v>0</v>
      </c>
      <c r="Q346" s="18">
        <f t="shared" si="220"/>
        <v>0</v>
      </c>
      <c r="R346" s="187">
        <f t="shared" si="221"/>
        <v>0</v>
      </c>
      <c r="S346" s="1596"/>
      <c r="T346" s="1606"/>
      <c r="U346" s="1214"/>
      <c r="V346" s="1645"/>
      <c r="W346" s="1587"/>
      <c r="X346" s="1590"/>
    </row>
    <row r="347" spans="2:24">
      <c r="B347" s="234" t="s">
        <v>670</v>
      </c>
      <c r="C347" s="798"/>
      <c r="D347" s="1552"/>
      <c r="E347" s="1609"/>
      <c r="F347" s="1612" t="s">
        <v>187</v>
      </c>
      <c r="G347" s="18"/>
      <c r="H347" s="657"/>
      <c r="I347" s="657"/>
      <c r="J347" s="657"/>
      <c r="K347" s="657"/>
      <c r="L347" s="1614">
        <f t="shared" ref="L347" si="222">SUM(L337:L346)</f>
        <v>0</v>
      </c>
      <c r="M347" s="1477">
        <f t="shared" ref="M347" si="223">SUM(M337:M346)</f>
        <v>0</v>
      </c>
      <c r="N347" s="1477">
        <f t="shared" ref="N347" si="224">SUM(N337:N346)</f>
        <v>0</v>
      </c>
      <c r="O347" s="1477">
        <f t="shared" ref="O347" si="225">SUM(O337:O346)</f>
        <v>0</v>
      </c>
      <c r="P347" s="1477">
        <f t="shared" ref="P347" si="226">SUM(P337:P346)</f>
        <v>0</v>
      </c>
      <c r="Q347" s="1477">
        <f t="shared" ref="Q347" si="227">SUM(Q337:Q346)</f>
        <v>0</v>
      </c>
      <c r="R347" s="1483">
        <f>SUM(R337:R346)</f>
        <v>0</v>
      </c>
      <c r="S347" s="1596"/>
      <c r="T347" s="1606"/>
      <c r="U347" s="1213"/>
      <c r="V347" s="1645"/>
      <c r="W347" s="1587"/>
      <c r="X347" s="1590"/>
    </row>
    <row r="348" spans="2:24" ht="17.399999999999999" thickBot="1">
      <c r="B348" s="789" t="s">
        <v>672</v>
      </c>
      <c r="C348" s="722"/>
      <c r="D348" s="1610"/>
      <c r="E348" s="1611"/>
      <c r="F348" s="1613"/>
      <c r="G348" s="788"/>
      <c r="H348" s="788"/>
      <c r="I348" s="788"/>
      <c r="J348" s="788"/>
      <c r="K348" s="788"/>
      <c r="L348" s="1615"/>
      <c r="M348" s="1592"/>
      <c r="N348" s="1592"/>
      <c r="O348" s="1592"/>
      <c r="P348" s="1592"/>
      <c r="Q348" s="1592"/>
      <c r="R348" s="1605"/>
      <c r="S348" s="1598"/>
      <c r="T348" s="1607"/>
      <c r="U348" s="1209"/>
      <c r="V348" s="1646"/>
      <c r="W348" s="1588"/>
      <c r="X348" s="1591"/>
    </row>
    <row r="349" spans="2:24" ht="57" customHeight="1">
      <c r="B349" s="135" t="s">
        <v>700</v>
      </c>
      <c r="C349" s="123"/>
      <c r="D349" s="1552" t="e" vm="10">
        <v>#VALUE!</v>
      </c>
      <c r="E349" s="1609"/>
      <c r="F349" s="229" t="s">
        <v>296</v>
      </c>
      <c r="G349" s="229" t="s">
        <v>272</v>
      </c>
      <c r="H349" s="229" t="s">
        <v>300</v>
      </c>
      <c r="I349" s="229" t="s">
        <v>301</v>
      </c>
      <c r="J349" s="177" t="s">
        <v>652</v>
      </c>
      <c r="K349" s="177" t="s">
        <v>653</v>
      </c>
      <c r="L349" s="177" t="s">
        <v>654</v>
      </c>
      <c r="M349" s="177" t="s">
        <v>655</v>
      </c>
      <c r="N349" s="177" t="s">
        <v>656</v>
      </c>
      <c r="O349" s="177" t="s">
        <v>657</v>
      </c>
      <c r="P349" s="177" t="s">
        <v>658</v>
      </c>
      <c r="Q349" s="177" t="s">
        <v>659</v>
      </c>
      <c r="R349" s="713" t="s">
        <v>660</v>
      </c>
      <c r="S349" s="1600"/>
      <c r="T349" s="1606"/>
      <c r="U349" s="1200" t="s">
        <v>661</v>
      </c>
      <c r="V349" s="995" t="str" cm="1">
        <f t="array" ref="V349">_xlfn.XLOOKUP(U349&amp;Allgemein!$C$45,Fassadenpositionen[[#Headers],[WDVS:]]&amp;Fassadenpositionen[Position Fassade],Fassadenpositionen[WDVS:],"",0,1)</f>
        <v>Nein</v>
      </c>
      <c r="W349" s="995" t="str" cm="1">
        <f t="array" ref="W349">_xlfn.XLOOKUP(U349&amp;Allgemein!$C$61,Fassadenpositionen[[#Headers],[WDVS:]]&amp;Fassadenpositionen[Position Fassade],Fassadenpositionen[WDVS:],"",0,1)</f>
        <v>Nein</v>
      </c>
      <c r="X349" s="996" t="str" cm="1">
        <f t="array" ref="X349">_xlfn.XLOOKUP(U349&amp;Allgemein!$C$77,Fassadenpositionen[[#Headers],[WDVS:]]&amp;Fassadenpositionen[Position Fassade],Fassadenpositionen[WDVS:],"",0,1)</f>
        <v>Nein</v>
      </c>
    </row>
    <row r="350" spans="2:24">
      <c r="B350" s="120" t="s">
        <v>662</v>
      </c>
      <c r="C350" s="364"/>
      <c r="D350" s="1552"/>
      <c r="E350" s="1609"/>
      <c r="F350" s="18"/>
      <c r="G350" s="18"/>
      <c r="H350" s="657"/>
      <c r="I350" s="657"/>
      <c r="J350" s="657"/>
      <c r="K350" s="657"/>
      <c r="L350" s="115">
        <f t="shared" ref="L350:L359" si="228">H350*I350+J350</f>
        <v>0</v>
      </c>
      <c r="M350" s="18">
        <f>SUMIF(Fenster!$D$10:$D$2160,Fassade!F350,Fenster!$J$10:$J$2160)</f>
        <v>0</v>
      </c>
      <c r="N350" s="18">
        <f>SUMIF(Fenster!$D$10:$D$2160,Fassade!F350,Fenster!$M$10:$M$2160)</f>
        <v>0</v>
      </c>
      <c r="O350" s="18">
        <f>SUMIFS(Fenster!$M$10:$M$2160,Fenster!$D$10:$D$2160,Fassade!F350,Fenster!$L$10:$L$2160,"&gt;2,5")</f>
        <v>0</v>
      </c>
      <c r="P350" s="18">
        <f>SUMIF(Fenster!$D$10:$D$2160,Fassade!F350,Fenster!$K$10:$K$2160)</f>
        <v>0</v>
      </c>
      <c r="Q350" s="18">
        <f t="shared" ref="Q350:Q359" si="229">L350-O350</f>
        <v>0</v>
      </c>
      <c r="R350" s="187">
        <f t="shared" ref="R350:R359" si="230">L350-N350</f>
        <v>0</v>
      </c>
      <c r="S350" s="1596"/>
      <c r="T350" s="1606"/>
      <c r="U350" s="1201" t="s">
        <v>663</v>
      </c>
      <c r="V350" s="997">
        <v>0</v>
      </c>
      <c r="W350" s="952">
        <v>0</v>
      </c>
      <c r="X350" s="988">
        <v>0</v>
      </c>
    </row>
    <row r="351" spans="2:24">
      <c r="B351" s="131" t="s">
        <v>701</v>
      </c>
      <c r="C351" s="364"/>
      <c r="D351" s="1552"/>
      <c r="E351" s="1609"/>
      <c r="F351" s="18"/>
      <c r="G351" s="18"/>
      <c r="H351" s="657"/>
      <c r="I351" s="657"/>
      <c r="J351" s="657"/>
      <c r="K351" s="657"/>
      <c r="L351" s="115">
        <f t="shared" si="228"/>
        <v>0</v>
      </c>
      <c r="M351" s="18">
        <f>SUMIF(Fenster!$D$10:$D$2160,Fassade!F351,Fenster!$J$10:$J$2160)</f>
        <v>0</v>
      </c>
      <c r="N351" s="18">
        <f>SUMIF(Fenster!$D$10:$D$2160,Fassade!F351,Fenster!$M$10:$M$2160)</f>
        <v>0</v>
      </c>
      <c r="O351" s="18">
        <f>SUMIFS(Fenster!$M$10:$M$2160,Fenster!$D$10:$D$2160,Fassade!F351,Fenster!$L$10:$L$2160,"&gt;2,5")</f>
        <v>0</v>
      </c>
      <c r="P351" s="18">
        <f>SUMIF(Fenster!$D$10:$D$2160,Fassade!F351,Fenster!$K$10:$K$2160)</f>
        <v>0</v>
      </c>
      <c r="Q351" s="18">
        <f t="shared" si="229"/>
        <v>0</v>
      </c>
      <c r="R351" s="187">
        <f t="shared" si="230"/>
        <v>0</v>
      </c>
      <c r="S351" s="1596"/>
      <c r="T351" s="1606"/>
      <c r="U351" s="1202" t="s">
        <v>665</v>
      </c>
      <c r="V351" s="998">
        <f>IF(V349="Ja",(Q360+V350)*$V$9,0)</f>
        <v>0</v>
      </c>
      <c r="W351" s="958">
        <f>IF(W349="Ja",(Q360+W350)*$V$9,0)</f>
        <v>0</v>
      </c>
      <c r="X351" s="999">
        <f>IF(X349="Ja",(Q360+X350)*$V$9,0)</f>
        <v>0</v>
      </c>
    </row>
    <row r="352" spans="2:24">
      <c r="B352" s="131" t="s">
        <v>702</v>
      </c>
      <c r="C352" s="798"/>
      <c r="D352" s="1552"/>
      <c r="E352" s="1609"/>
      <c r="F352" s="18"/>
      <c r="G352" s="18"/>
      <c r="H352" s="657"/>
      <c r="I352" s="657"/>
      <c r="J352" s="657"/>
      <c r="K352" s="657"/>
      <c r="L352" s="115">
        <f t="shared" si="228"/>
        <v>0</v>
      </c>
      <c r="M352" s="18">
        <f>SUMIF(Fenster!$D$10:$D$2160,Fassade!F352,Fenster!$J$10:$J$2160)</f>
        <v>0</v>
      </c>
      <c r="N352" s="18">
        <f>SUMIF(Fenster!$D$10:$D$2160,Fassade!F352,Fenster!$M$10:$M$2160)</f>
        <v>0</v>
      </c>
      <c r="O352" s="18">
        <f>SUMIFS(Fenster!$M$10:$M$2160,Fenster!$D$10:$D$2160,Fassade!F352,Fenster!$L$10:$L$2160,"&gt;2,5")</f>
        <v>0</v>
      </c>
      <c r="P352" s="18">
        <f>SUMIF(Fenster!$D$10:$D$2160,Fassade!F352,Fenster!$K$10:$K$2160)</f>
        <v>0</v>
      </c>
      <c r="Q352" s="18">
        <f t="shared" si="229"/>
        <v>0</v>
      </c>
      <c r="R352" s="187">
        <f t="shared" si="230"/>
        <v>0</v>
      </c>
      <c r="S352" s="1596"/>
      <c r="T352" s="1606"/>
      <c r="U352" s="1203" t="s">
        <v>667</v>
      </c>
      <c r="V352" s="998">
        <f>IF(V349="Ja",(R360+V350)*$V$9,0)</f>
        <v>0</v>
      </c>
      <c r="W352" s="958">
        <f>IF(W349="Ja",(R360+W350)*$V$9,0)</f>
        <v>0</v>
      </c>
      <c r="X352" s="999">
        <f>IF(X349="Ja",(R360+X350)*$V$9,0)</f>
        <v>0</v>
      </c>
    </row>
    <row r="353" spans="2:24">
      <c r="B353" s="131" t="s">
        <v>703</v>
      </c>
      <c r="C353" s="798"/>
      <c r="D353" s="1552"/>
      <c r="E353" s="1609"/>
      <c r="F353" s="18"/>
      <c r="G353" s="18"/>
      <c r="H353" s="657"/>
      <c r="I353" s="657"/>
      <c r="J353" s="657"/>
      <c r="K353" s="657"/>
      <c r="L353" s="115">
        <f t="shared" si="228"/>
        <v>0</v>
      </c>
      <c r="M353" s="18">
        <f>SUMIF(Fenster!$D$10:$D$2160,Fassade!F353,Fenster!$J$10:$J$2160)</f>
        <v>0</v>
      </c>
      <c r="N353" s="18">
        <f>SUMIF(Fenster!$D$10:$D$2160,Fassade!F353,Fenster!$M$10:$M$2160)</f>
        <v>0</v>
      </c>
      <c r="O353" s="18">
        <f>SUMIFS(Fenster!$M$10:$M$2160,Fenster!$D$10:$D$2160,Fassade!F353,Fenster!$L$10:$L$2160,"&gt;2,5")</f>
        <v>0</v>
      </c>
      <c r="P353" s="18">
        <f>SUMIF(Fenster!$D$10:$D$2160,Fassade!F353,Fenster!$K$10:$K$2160)</f>
        <v>0</v>
      </c>
      <c r="Q353" s="18">
        <f t="shared" si="229"/>
        <v>0</v>
      </c>
      <c r="R353" s="187">
        <f t="shared" si="230"/>
        <v>0</v>
      </c>
      <c r="S353" s="1596"/>
      <c r="T353" s="1606"/>
      <c r="U353" s="1204" t="s">
        <v>669</v>
      </c>
      <c r="V353" s="958" t="str">
        <f>Allgemein!$D$45</f>
        <v>-</v>
      </c>
      <c r="W353" s="958" t="str">
        <f>Allgemein!$D$61</f>
        <v>-</v>
      </c>
      <c r="X353" s="1000" t="str">
        <f>Allgemein!$D$77</f>
        <v>-</v>
      </c>
    </row>
    <row r="354" spans="2:24">
      <c r="B354" s="131" t="s">
        <v>704</v>
      </c>
      <c r="C354" s="798"/>
      <c r="D354" s="1552"/>
      <c r="E354" s="1609"/>
      <c r="F354" s="18"/>
      <c r="G354" s="18"/>
      <c r="H354" s="657"/>
      <c r="I354" s="657"/>
      <c r="J354" s="657"/>
      <c r="K354" s="657"/>
      <c r="L354" s="115">
        <f t="shared" si="228"/>
        <v>0</v>
      </c>
      <c r="M354" s="18">
        <f>SUMIF(Fenster!$D$10:$D$2160,Fassade!F354,Fenster!$J$10:$J$2160)</f>
        <v>0</v>
      </c>
      <c r="N354" s="18">
        <f>SUMIF(Fenster!$D$10:$D$2160,Fassade!F354,Fenster!$M$10:$M$2160)</f>
        <v>0</v>
      </c>
      <c r="O354" s="18">
        <f>SUMIFS(Fenster!$M$10:$M$2160,Fenster!$D$10:$D$2160,Fassade!F354,Fenster!$L$10:$L$2160,"&gt;2,5")</f>
        <v>0</v>
      </c>
      <c r="P354" s="18">
        <f>SUMIF(Fenster!$D$10:$D$2160,Fassade!F354,Fenster!$K$10:$K$2160)</f>
        <v>0</v>
      </c>
      <c r="Q354" s="18">
        <f t="shared" si="229"/>
        <v>0</v>
      </c>
      <c r="R354" s="187">
        <f t="shared" si="230"/>
        <v>0</v>
      </c>
      <c r="S354" s="1596"/>
      <c r="T354" s="1606"/>
      <c r="U354" s="1205" t="s">
        <v>671</v>
      </c>
      <c r="V354" s="1640"/>
      <c r="W354" s="1586"/>
      <c r="X354" s="1589"/>
    </row>
    <row r="355" spans="2:24">
      <c r="B355" s="131" t="s">
        <v>705</v>
      </c>
      <c r="C355" s="798"/>
      <c r="D355" s="1552"/>
      <c r="E355" s="1609"/>
      <c r="F355" s="18"/>
      <c r="G355" s="18"/>
      <c r="H355" s="657"/>
      <c r="I355" s="657"/>
      <c r="J355" s="657"/>
      <c r="K355" s="657"/>
      <c r="L355" s="115">
        <f t="shared" si="228"/>
        <v>0</v>
      </c>
      <c r="M355" s="18">
        <f>SUMIF(Fenster!$D$10:$D$2160,Fassade!F355,Fenster!$J$10:$J$2160)</f>
        <v>0</v>
      </c>
      <c r="N355" s="18">
        <f>SUMIF(Fenster!$D$10:$D$2160,Fassade!F355,Fenster!$M$10:$M$2160)</f>
        <v>0</v>
      </c>
      <c r="O355" s="18">
        <f>SUMIFS(Fenster!$M$10:$M$2160,Fenster!$D$10:$D$2160,Fassade!F355,Fenster!$L$10:$L$2160,"&gt;2,5")</f>
        <v>0</v>
      </c>
      <c r="P355" s="18">
        <f>SUMIF(Fenster!$D$10:$D$2160,Fassade!F355,Fenster!$K$10:$K$2160)</f>
        <v>0</v>
      </c>
      <c r="Q355" s="18">
        <f t="shared" si="229"/>
        <v>0</v>
      </c>
      <c r="R355" s="187">
        <f t="shared" si="230"/>
        <v>0</v>
      </c>
      <c r="S355" s="1596"/>
      <c r="T355" s="1606"/>
      <c r="U355" s="1214"/>
      <c r="V355" s="1645"/>
      <c r="W355" s="1587"/>
      <c r="X355" s="1590"/>
    </row>
    <row r="356" spans="2:24">
      <c r="B356" s="131" t="s">
        <v>706</v>
      </c>
      <c r="C356" s="798"/>
      <c r="D356" s="1552"/>
      <c r="E356" s="1609"/>
      <c r="F356" s="18"/>
      <c r="G356" s="18"/>
      <c r="H356" s="657"/>
      <c r="I356" s="657"/>
      <c r="J356" s="657"/>
      <c r="K356" s="657"/>
      <c r="L356" s="115">
        <f t="shared" si="228"/>
        <v>0</v>
      </c>
      <c r="M356" s="18">
        <f>SUMIF(Fenster!$D$10:$D$2160,Fassade!F356,Fenster!$J$10:$J$2160)</f>
        <v>0</v>
      </c>
      <c r="N356" s="18">
        <f>SUMIF(Fenster!$D$10:$D$2160,Fassade!F356,Fenster!$M$10:$M$2160)</f>
        <v>0</v>
      </c>
      <c r="O356" s="18">
        <f>SUMIFS(Fenster!$M$10:$M$2160,Fenster!$D$10:$D$2160,Fassade!F356,Fenster!$L$10:$L$2160,"&gt;2,5")</f>
        <v>0</v>
      </c>
      <c r="P356" s="18">
        <f>SUMIF(Fenster!$D$10:$D$2160,Fassade!F356,Fenster!$K$10:$K$2160)</f>
        <v>0</v>
      </c>
      <c r="Q356" s="18">
        <f t="shared" si="229"/>
        <v>0</v>
      </c>
      <c r="R356" s="187">
        <f t="shared" si="230"/>
        <v>0</v>
      </c>
      <c r="S356" s="1596"/>
      <c r="T356" s="1606"/>
      <c r="U356" s="1214"/>
      <c r="V356" s="1645"/>
      <c r="W356" s="1587"/>
      <c r="X356" s="1590"/>
    </row>
    <row r="357" spans="2:24">
      <c r="B357" s="131" t="s">
        <v>707</v>
      </c>
      <c r="C357" s="364"/>
      <c r="D357" s="1552"/>
      <c r="E357" s="1609"/>
      <c r="F357" s="18"/>
      <c r="G357" s="18"/>
      <c r="H357" s="657"/>
      <c r="I357" s="657"/>
      <c r="J357" s="657"/>
      <c r="K357" s="657"/>
      <c r="L357" s="115">
        <f t="shared" si="228"/>
        <v>0</v>
      </c>
      <c r="M357" s="18">
        <f>SUMIF(Fenster!$D$10:$D$2160,Fassade!F357,Fenster!$J$10:$J$2160)</f>
        <v>0</v>
      </c>
      <c r="N357" s="18">
        <f>SUMIF(Fenster!$D$10:$D$2160,Fassade!F357,Fenster!$M$10:$M$2160)</f>
        <v>0</v>
      </c>
      <c r="O357" s="18">
        <f>SUMIFS(Fenster!$M$10:$M$2160,Fenster!$D$10:$D$2160,Fassade!F357,Fenster!$L$10:$L$2160,"&gt;2,5")</f>
        <v>0</v>
      </c>
      <c r="P357" s="18">
        <f>SUMIF(Fenster!$D$10:$D$2160,Fassade!F357,Fenster!$K$10:$K$2160)</f>
        <v>0</v>
      </c>
      <c r="Q357" s="18">
        <f t="shared" si="229"/>
        <v>0</v>
      </c>
      <c r="R357" s="187">
        <f t="shared" si="230"/>
        <v>0</v>
      </c>
      <c r="S357" s="1596"/>
      <c r="T357" s="1606"/>
      <c r="U357" s="1215"/>
      <c r="V357" s="1645"/>
      <c r="W357" s="1587"/>
      <c r="X357" s="1590"/>
    </row>
    <row r="358" spans="2:24">
      <c r="B358" s="131" t="s">
        <v>708</v>
      </c>
      <c r="C358" s="798"/>
      <c r="D358" s="1552"/>
      <c r="E358" s="1609"/>
      <c r="F358" s="18"/>
      <c r="G358" s="18"/>
      <c r="H358" s="657"/>
      <c r="I358" s="657"/>
      <c r="J358" s="657"/>
      <c r="K358" s="657"/>
      <c r="L358" s="115">
        <f t="shared" si="228"/>
        <v>0</v>
      </c>
      <c r="M358" s="18">
        <f>SUMIF(Fenster!$D$10:$D$2160,Fassade!F358,Fenster!$J$10:$J$2160)</f>
        <v>0</v>
      </c>
      <c r="N358" s="18">
        <f>SUMIF(Fenster!$D$10:$D$2160,Fassade!F358,Fenster!$M$10:$M$2160)</f>
        <v>0</v>
      </c>
      <c r="O358" s="18">
        <f>SUMIFS(Fenster!$M$10:$M$2160,Fenster!$D$10:$D$2160,Fassade!F358,Fenster!$L$10:$L$2160,"&gt;2,5")</f>
        <v>0</v>
      </c>
      <c r="P358" s="18">
        <f>SUMIF(Fenster!$D$10:$D$2160,Fassade!F358,Fenster!$K$10:$K$2160)</f>
        <v>0</v>
      </c>
      <c r="Q358" s="18">
        <f t="shared" si="229"/>
        <v>0</v>
      </c>
      <c r="R358" s="187">
        <f t="shared" si="230"/>
        <v>0</v>
      </c>
      <c r="S358" s="1596"/>
      <c r="T358" s="1606"/>
      <c r="U358" s="1215"/>
      <c r="V358" s="1645"/>
      <c r="W358" s="1587"/>
      <c r="X358" s="1590"/>
    </row>
    <row r="359" spans="2:24">
      <c r="B359" s="131" t="s">
        <v>668</v>
      </c>
      <c r="C359" s="798"/>
      <c r="D359" s="1552"/>
      <c r="E359" s="1609"/>
      <c r="F359" s="18"/>
      <c r="G359" s="18"/>
      <c r="H359" s="657"/>
      <c r="I359" s="657"/>
      <c r="J359" s="657"/>
      <c r="K359" s="657"/>
      <c r="L359" s="115">
        <f t="shared" si="228"/>
        <v>0</v>
      </c>
      <c r="M359" s="18">
        <f>SUMIF(Fenster!$D$10:$D$2160,Fassade!F359,Fenster!$J$10:$J$2160)</f>
        <v>0</v>
      </c>
      <c r="N359" s="18">
        <f>SUMIF(Fenster!$D$10:$D$2160,Fassade!F359,Fenster!$M$10:$M$2160)</f>
        <v>0</v>
      </c>
      <c r="O359" s="18">
        <f>SUMIFS(Fenster!$M$10:$M$2160,Fenster!$D$10:$D$2160,Fassade!F359,Fenster!$L$10:$L$2160,"&gt;2,5")</f>
        <v>0</v>
      </c>
      <c r="P359" s="18">
        <f>SUMIF(Fenster!$D$10:$D$2160,Fassade!F359,Fenster!$K$10:$K$2160)</f>
        <v>0</v>
      </c>
      <c r="Q359" s="18">
        <f t="shared" si="229"/>
        <v>0</v>
      </c>
      <c r="R359" s="187">
        <f t="shared" si="230"/>
        <v>0</v>
      </c>
      <c r="S359" s="1596"/>
      <c r="T359" s="1606"/>
      <c r="U359" s="1214"/>
      <c r="V359" s="1645"/>
      <c r="W359" s="1587"/>
      <c r="X359" s="1590"/>
    </row>
    <row r="360" spans="2:24">
      <c r="B360" s="234" t="s">
        <v>670</v>
      </c>
      <c r="C360" s="798"/>
      <c r="D360" s="1552"/>
      <c r="E360" s="1609"/>
      <c r="F360" s="1612" t="s">
        <v>187</v>
      </c>
      <c r="G360" s="18"/>
      <c r="H360" s="657"/>
      <c r="I360" s="657"/>
      <c r="J360" s="657"/>
      <c r="K360" s="657"/>
      <c r="L360" s="1614">
        <f t="shared" ref="L360" si="231">SUM(L350:L359)</f>
        <v>0</v>
      </c>
      <c r="M360" s="1477">
        <f t="shared" ref="M360" si="232">SUM(M350:M359)</f>
        <v>0</v>
      </c>
      <c r="N360" s="1477">
        <f t="shared" ref="N360" si="233">SUM(N350:N359)</f>
        <v>0</v>
      </c>
      <c r="O360" s="1477">
        <f t="shared" ref="O360" si="234">SUM(O350:O359)</f>
        <v>0</v>
      </c>
      <c r="P360" s="1477">
        <f t="shared" ref="P360" si="235">SUM(P350:P359)</f>
        <v>0</v>
      </c>
      <c r="Q360" s="1477">
        <f t="shared" ref="Q360" si="236">SUM(Q350:Q359)</f>
        <v>0</v>
      </c>
      <c r="R360" s="1483">
        <f>SUM(R350:R359)</f>
        <v>0</v>
      </c>
      <c r="S360" s="1596"/>
      <c r="T360" s="1606"/>
      <c r="U360" s="1213"/>
      <c r="V360" s="1645"/>
      <c r="W360" s="1587"/>
      <c r="X360" s="1590"/>
    </row>
    <row r="361" spans="2:24" ht="17.399999999999999" thickBot="1">
      <c r="B361" s="789" t="s">
        <v>672</v>
      </c>
      <c r="C361" s="722"/>
      <c r="D361" s="1610"/>
      <c r="E361" s="1611"/>
      <c r="F361" s="1613"/>
      <c r="G361" s="788"/>
      <c r="H361" s="788"/>
      <c r="I361" s="788"/>
      <c r="J361" s="788"/>
      <c r="K361" s="788"/>
      <c r="L361" s="1615"/>
      <c r="M361" s="1592"/>
      <c r="N361" s="1592"/>
      <c r="O361" s="1592"/>
      <c r="P361" s="1592"/>
      <c r="Q361" s="1592"/>
      <c r="R361" s="1605"/>
      <c r="S361" s="1598"/>
      <c r="T361" s="1607"/>
      <c r="U361" s="1209"/>
      <c r="V361" s="1646"/>
      <c r="W361" s="1588"/>
      <c r="X361" s="1591"/>
    </row>
    <row r="362" spans="2:24" ht="57" customHeight="1">
      <c r="B362" s="135" t="s">
        <v>709</v>
      </c>
      <c r="C362" s="123"/>
      <c r="D362" s="1552" t="e" vm="11">
        <v>#VALUE!</v>
      </c>
      <c r="E362" s="1609"/>
      <c r="F362" s="229" t="s">
        <v>296</v>
      </c>
      <c r="G362" s="229" t="s">
        <v>272</v>
      </c>
      <c r="H362" s="229" t="s">
        <v>300</v>
      </c>
      <c r="I362" s="229" t="s">
        <v>301</v>
      </c>
      <c r="J362" s="177" t="s">
        <v>652</v>
      </c>
      <c r="K362" s="177" t="s">
        <v>653</v>
      </c>
      <c r="L362" s="177" t="s">
        <v>654</v>
      </c>
      <c r="M362" s="177" t="s">
        <v>655</v>
      </c>
      <c r="N362" s="177" t="s">
        <v>656</v>
      </c>
      <c r="O362" s="177" t="s">
        <v>657</v>
      </c>
      <c r="P362" s="177" t="s">
        <v>658</v>
      </c>
      <c r="Q362" s="177" t="s">
        <v>659</v>
      </c>
      <c r="R362" s="713" t="s">
        <v>660</v>
      </c>
      <c r="S362" s="1600"/>
      <c r="T362" s="1606"/>
      <c r="U362" s="1200" t="s">
        <v>661</v>
      </c>
      <c r="V362" s="995" t="str" cm="1">
        <f t="array" ref="V362">_xlfn.XLOOKUP(U362&amp;Allgemein!$C$45,Fassadenpositionen[[#Headers],[WDVS:]]&amp;Fassadenpositionen[Position Fassade],Fassadenpositionen[WDVS:],"",0,1)</f>
        <v>Nein</v>
      </c>
      <c r="W362" s="995" t="str" cm="1">
        <f t="array" ref="W362">_xlfn.XLOOKUP(U362&amp;Allgemein!$C$61,Fassadenpositionen[[#Headers],[WDVS:]]&amp;Fassadenpositionen[Position Fassade],Fassadenpositionen[WDVS:],"",0,1)</f>
        <v>Nein</v>
      </c>
      <c r="X362" s="996" t="str" cm="1">
        <f t="array" ref="X362">_xlfn.XLOOKUP(U362&amp;Allgemein!$C$77,Fassadenpositionen[[#Headers],[WDVS:]]&amp;Fassadenpositionen[Position Fassade],Fassadenpositionen[WDVS:],"",0,1)</f>
        <v>Nein</v>
      </c>
    </row>
    <row r="363" spans="2:24">
      <c r="B363" s="120" t="s">
        <v>662</v>
      </c>
      <c r="C363" s="364"/>
      <c r="D363" s="1552"/>
      <c r="E363" s="1609"/>
      <c r="F363" s="18"/>
      <c r="G363" s="18"/>
      <c r="H363" s="657"/>
      <c r="I363" s="657"/>
      <c r="J363" s="657"/>
      <c r="K363" s="657"/>
      <c r="L363" s="115">
        <f t="shared" ref="L363:L372" si="237">H363*I363+J363</f>
        <v>0</v>
      </c>
      <c r="M363" s="18">
        <f>SUMIF(Fenster!$D$10:$D$2160,Fassade!F363,Fenster!$J$10:$J$2160)</f>
        <v>0</v>
      </c>
      <c r="N363" s="18">
        <f>SUMIF(Fenster!$D$10:$D$2160,Fassade!F363,Fenster!$M$10:$M$2160)</f>
        <v>0</v>
      </c>
      <c r="O363" s="18">
        <f>SUMIFS(Fenster!$M$10:$M$2160,Fenster!$D$10:$D$2160,Fassade!F363,Fenster!$L$10:$L$2160,"&gt;2,5")</f>
        <v>0</v>
      </c>
      <c r="P363" s="18">
        <f>SUMIF(Fenster!$D$10:$D$2160,Fassade!F363,Fenster!$K$10:$K$2160)</f>
        <v>0</v>
      </c>
      <c r="Q363" s="18">
        <f t="shared" ref="Q363:Q372" si="238">L363-O363</f>
        <v>0</v>
      </c>
      <c r="R363" s="187">
        <f t="shared" ref="R363:R372" si="239">L363-N363</f>
        <v>0</v>
      </c>
      <c r="S363" s="1596"/>
      <c r="T363" s="1606"/>
      <c r="U363" s="1201" t="s">
        <v>663</v>
      </c>
      <c r="V363" s="997">
        <v>0</v>
      </c>
      <c r="W363" s="952">
        <v>0</v>
      </c>
      <c r="X363" s="988">
        <v>0</v>
      </c>
    </row>
    <row r="364" spans="2:24">
      <c r="B364" s="131" t="s">
        <v>701</v>
      </c>
      <c r="C364" s="364"/>
      <c r="D364" s="1552"/>
      <c r="E364" s="1609"/>
      <c r="F364" s="18"/>
      <c r="G364" s="18"/>
      <c r="H364" s="657"/>
      <c r="I364" s="657"/>
      <c r="J364" s="657"/>
      <c r="K364" s="657"/>
      <c r="L364" s="115">
        <f t="shared" si="237"/>
        <v>0</v>
      </c>
      <c r="M364" s="18">
        <f>SUMIF(Fenster!$D$10:$D$2160,Fassade!F364,Fenster!$J$10:$J$2160)</f>
        <v>0</v>
      </c>
      <c r="N364" s="18">
        <f>SUMIF(Fenster!$D$10:$D$2160,Fassade!F364,Fenster!$M$10:$M$2160)</f>
        <v>0</v>
      </c>
      <c r="O364" s="18">
        <f>SUMIFS(Fenster!$M$10:$M$2160,Fenster!$D$10:$D$2160,Fassade!F364,Fenster!$L$10:$L$2160,"&gt;2,5")</f>
        <v>0</v>
      </c>
      <c r="P364" s="18">
        <f>SUMIF(Fenster!$D$10:$D$2160,Fassade!F364,Fenster!$K$10:$K$2160)</f>
        <v>0</v>
      </c>
      <c r="Q364" s="18">
        <f t="shared" si="238"/>
        <v>0</v>
      </c>
      <c r="R364" s="187">
        <f t="shared" si="239"/>
        <v>0</v>
      </c>
      <c r="S364" s="1596"/>
      <c r="T364" s="1606"/>
      <c r="U364" s="1202" t="s">
        <v>665</v>
      </c>
      <c r="V364" s="998">
        <f>IF(V362="Ja",(Q373+V363)*$V$9,0)</f>
        <v>0</v>
      </c>
      <c r="W364" s="958">
        <f>IF(W362="Ja",(Q373+W363)*$V$9,0)</f>
        <v>0</v>
      </c>
      <c r="X364" s="999">
        <f>IF(X362="Ja",(Q373+X363)*$V$9,0)</f>
        <v>0</v>
      </c>
    </row>
    <row r="365" spans="2:24">
      <c r="B365" s="131" t="s">
        <v>702</v>
      </c>
      <c r="C365" s="798"/>
      <c r="D365" s="1552"/>
      <c r="E365" s="1609"/>
      <c r="F365" s="18"/>
      <c r="G365" s="18"/>
      <c r="H365" s="657"/>
      <c r="I365" s="657"/>
      <c r="J365" s="657"/>
      <c r="K365" s="657"/>
      <c r="L365" s="115">
        <f t="shared" si="237"/>
        <v>0</v>
      </c>
      <c r="M365" s="18">
        <f>SUMIF(Fenster!$D$10:$D$2160,Fassade!F365,Fenster!$J$10:$J$2160)</f>
        <v>0</v>
      </c>
      <c r="N365" s="18">
        <f>SUMIF(Fenster!$D$10:$D$2160,Fassade!F365,Fenster!$M$10:$M$2160)</f>
        <v>0</v>
      </c>
      <c r="O365" s="18">
        <f>SUMIFS(Fenster!$M$10:$M$2160,Fenster!$D$10:$D$2160,Fassade!F365,Fenster!$L$10:$L$2160,"&gt;2,5")</f>
        <v>0</v>
      </c>
      <c r="P365" s="18">
        <f>SUMIF(Fenster!$D$10:$D$2160,Fassade!F365,Fenster!$K$10:$K$2160)</f>
        <v>0</v>
      </c>
      <c r="Q365" s="18">
        <f t="shared" si="238"/>
        <v>0</v>
      </c>
      <c r="R365" s="187">
        <f t="shared" si="239"/>
        <v>0</v>
      </c>
      <c r="S365" s="1596"/>
      <c r="T365" s="1606"/>
      <c r="U365" s="1203" t="s">
        <v>667</v>
      </c>
      <c r="V365" s="998">
        <f>IF(V362="Ja",(R373+V363)*$V$9,0)</f>
        <v>0</v>
      </c>
      <c r="W365" s="958">
        <f>IF(W362="Ja",(R373+W363)*$V$9,0)</f>
        <v>0</v>
      </c>
      <c r="X365" s="999">
        <f>IF(X362="Ja",(R373+X363)*$V$9,0)</f>
        <v>0</v>
      </c>
    </row>
    <row r="366" spans="2:24">
      <c r="B366" s="131" t="s">
        <v>703</v>
      </c>
      <c r="C366" s="798"/>
      <c r="D366" s="1552"/>
      <c r="E366" s="1609"/>
      <c r="F366" s="18"/>
      <c r="G366" s="18"/>
      <c r="H366" s="657"/>
      <c r="I366" s="657"/>
      <c r="J366" s="657"/>
      <c r="K366" s="657"/>
      <c r="L366" s="115">
        <f t="shared" si="237"/>
        <v>0</v>
      </c>
      <c r="M366" s="18">
        <f>SUMIF(Fenster!$D$10:$D$2160,Fassade!F366,Fenster!$J$10:$J$2160)</f>
        <v>0</v>
      </c>
      <c r="N366" s="18">
        <f>SUMIF(Fenster!$D$10:$D$2160,Fassade!F366,Fenster!$M$10:$M$2160)</f>
        <v>0</v>
      </c>
      <c r="O366" s="18">
        <f>SUMIFS(Fenster!$M$10:$M$2160,Fenster!$D$10:$D$2160,Fassade!F366,Fenster!$L$10:$L$2160,"&gt;2,5")</f>
        <v>0</v>
      </c>
      <c r="P366" s="18">
        <f>SUMIF(Fenster!$D$10:$D$2160,Fassade!F366,Fenster!$K$10:$K$2160)</f>
        <v>0</v>
      </c>
      <c r="Q366" s="18">
        <f t="shared" si="238"/>
        <v>0</v>
      </c>
      <c r="R366" s="187">
        <f t="shared" si="239"/>
        <v>0</v>
      </c>
      <c r="S366" s="1596"/>
      <c r="T366" s="1606"/>
      <c r="U366" s="1204" t="s">
        <v>669</v>
      </c>
      <c r="V366" s="958" t="str">
        <f>Allgemein!$D$45</f>
        <v>-</v>
      </c>
      <c r="W366" s="958" t="str">
        <f>Allgemein!$D$61</f>
        <v>-</v>
      </c>
      <c r="X366" s="1000" t="str">
        <f>Allgemein!$D$77</f>
        <v>-</v>
      </c>
    </row>
    <row r="367" spans="2:24">
      <c r="B367" s="131" t="s">
        <v>704</v>
      </c>
      <c r="C367" s="798"/>
      <c r="D367" s="1552"/>
      <c r="E367" s="1609"/>
      <c r="F367" s="18"/>
      <c r="G367" s="18"/>
      <c r="H367" s="657"/>
      <c r="I367" s="657"/>
      <c r="J367" s="657"/>
      <c r="K367" s="657"/>
      <c r="L367" s="115">
        <f t="shared" si="237"/>
        <v>0</v>
      </c>
      <c r="M367" s="18">
        <f>SUMIF(Fenster!$D$10:$D$2160,Fassade!F367,Fenster!$J$10:$J$2160)</f>
        <v>0</v>
      </c>
      <c r="N367" s="18">
        <f>SUMIF(Fenster!$D$10:$D$2160,Fassade!F367,Fenster!$M$10:$M$2160)</f>
        <v>0</v>
      </c>
      <c r="O367" s="18">
        <f>SUMIFS(Fenster!$M$10:$M$2160,Fenster!$D$10:$D$2160,Fassade!F367,Fenster!$L$10:$L$2160,"&gt;2,5")</f>
        <v>0</v>
      </c>
      <c r="P367" s="18">
        <f>SUMIF(Fenster!$D$10:$D$2160,Fassade!F367,Fenster!$K$10:$K$2160)</f>
        <v>0</v>
      </c>
      <c r="Q367" s="18">
        <f t="shared" si="238"/>
        <v>0</v>
      </c>
      <c r="R367" s="187">
        <f t="shared" si="239"/>
        <v>0</v>
      </c>
      <c r="S367" s="1596"/>
      <c r="T367" s="1606"/>
      <c r="U367" s="1205" t="s">
        <v>671</v>
      </c>
      <c r="V367" s="1640"/>
      <c r="W367" s="1586"/>
      <c r="X367" s="1589"/>
    </row>
    <row r="368" spans="2:24">
      <c r="B368" s="131" t="s">
        <v>705</v>
      </c>
      <c r="C368" s="798"/>
      <c r="D368" s="1552"/>
      <c r="E368" s="1609"/>
      <c r="F368" s="18"/>
      <c r="G368" s="18"/>
      <c r="H368" s="657"/>
      <c r="I368" s="657"/>
      <c r="J368" s="657"/>
      <c r="K368" s="657"/>
      <c r="L368" s="115">
        <f t="shared" si="237"/>
        <v>0</v>
      </c>
      <c r="M368" s="18">
        <f>SUMIF(Fenster!$D$10:$D$2160,Fassade!F368,Fenster!$J$10:$J$2160)</f>
        <v>0</v>
      </c>
      <c r="N368" s="18">
        <f>SUMIF(Fenster!$D$10:$D$2160,Fassade!F368,Fenster!$M$10:$M$2160)</f>
        <v>0</v>
      </c>
      <c r="O368" s="18">
        <f>SUMIFS(Fenster!$M$10:$M$2160,Fenster!$D$10:$D$2160,Fassade!F368,Fenster!$L$10:$L$2160,"&gt;2,5")</f>
        <v>0</v>
      </c>
      <c r="P368" s="18">
        <f>SUMIF(Fenster!$D$10:$D$2160,Fassade!F368,Fenster!$K$10:$K$2160)</f>
        <v>0</v>
      </c>
      <c r="Q368" s="18">
        <f t="shared" si="238"/>
        <v>0</v>
      </c>
      <c r="R368" s="187">
        <f t="shared" si="239"/>
        <v>0</v>
      </c>
      <c r="S368" s="1596"/>
      <c r="T368" s="1606"/>
      <c r="U368" s="1214"/>
      <c r="V368" s="1645"/>
      <c r="W368" s="1587"/>
      <c r="X368" s="1590"/>
    </row>
    <row r="369" spans="2:24">
      <c r="B369" s="131" t="s">
        <v>706</v>
      </c>
      <c r="C369" s="798"/>
      <c r="D369" s="1552"/>
      <c r="E369" s="1609"/>
      <c r="F369" s="18"/>
      <c r="G369" s="18"/>
      <c r="H369" s="657"/>
      <c r="I369" s="657"/>
      <c r="J369" s="657"/>
      <c r="K369" s="657"/>
      <c r="L369" s="115">
        <f t="shared" si="237"/>
        <v>0</v>
      </c>
      <c r="M369" s="18">
        <f>SUMIF(Fenster!$D$10:$D$2160,Fassade!F369,Fenster!$J$10:$J$2160)</f>
        <v>0</v>
      </c>
      <c r="N369" s="18">
        <f>SUMIF(Fenster!$D$10:$D$2160,Fassade!F369,Fenster!$M$10:$M$2160)</f>
        <v>0</v>
      </c>
      <c r="O369" s="18">
        <f>SUMIFS(Fenster!$M$10:$M$2160,Fenster!$D$10:$D$2160,Fassade!F369,Fenster!$L$10:$L$2160,"&gt;2,5")</f>
        <v>0</v>
      </c>
      <c r="P369" s="18">
        <f>SUMIF(Fenster!$D$10:$D$2160,Fassade!F369,Fenster!$K$10:$K$2160)</f>
        <v>0</v>
      </c>
      <c r="Q369" s="18">
        <f t="shared" si="238"/>
        <v>0</v>
      </c>
      <c r="R369" s="187">
        <f t="shared" si="239"/>
        <v>0</v>
      </c>
      <c r="S369" s="1596"/>
      <c r="T369" s="1606"/>
      <c r="U369" s="1214"/>
      <c r="V369" s="1645"/>
      <c r="W369" s="1587"/>
      <c r="X369" s="1590"/>
    </row>
    <row r="370" spans="2:24">
      <c r="B370" s="131" t="s">
        <v>707</v>
      </c>
      <c r="C370" s="364"/>
      <c r="D370" s="1552"/>
      <c r="E370" s="1609"/>
      <c r="F370" s="18"/>
      <c r="G370" s="18"/>
      <c r="H370" s="657"/>
      <c r="I370" s="657"/>
      <c r="J370" s="657"/>
      <c r="K370" s="657"/>
      <c r="L370" s="115">
        <f t="shared" si="237"/>
        <v>0</v>
      </c>
      <c r="M370" s="18">
        <f>SUMIF(Fenster!$D$10:$D$2160,Fassade!F370,Fenster!$J$10:$J$2160)</f>
        <v>0</v>
      </c>
      <c r="N370" s="18">
        <f>SUMIF(Fenster!$D$10:$D$2160,Fassade!F370,Fenster!$M$10:$M$2160)</f>
        <v>0</v>
      </c>
      <c r="O370" s="18">
        <f>SUMIFS(Fenster!$M$10:$M$2160,Fenster!$D$10:$D$2160,Fassade!F370,Fenster!$L$10:$L$2160,"&gt;2,5")</f>
        <v>0</v>
      </c>
      <c r="P370" s="18">
        <f>SUMIF(Fenster!$D$10:$D$2160,Fassade!F370,Fenster!$K$10:$K$2160)</f>
        <v>0</v>
      </c>
      <c r="Q370" s="18">
        <f t="shared" si="238"/>
        <v>0</v>
      </c>
      <c r="R370" s="187">
        <f t="shared" si="239"/>
        <v>0</v>
      </c>
      <c r="S370" s="1596"/>
      <c r="T370" s="1606"/>
      <c r="U370" s="1215"/>
      <c r="V370" s="1645"/>
      <c r="W370" s="1587"/>
      <c r="X370" s="1590"/>
    </row>
    <row r="371" spans="2:24">
      <c r="B371" s="131" t="s">
        <v>708</v>
      </c>
      <c r="C371" s="798"/>
      <c r="D371" s="1552"/>
      <c r="E371" s="1609"/>
      <c r="F371" s="18"/>
      <c r="G371" s="18"/>
      <c r="H371" s="657"/>
      <c r="I371" s="657"/>
      <c r="J371" s="657"/>
      <c r="K371" s="657"/>
      <c r="L371" s="115">
        <f t="shared" si="237"/>
        <v>0</v>
      </c>
      <c r="M371" s="18">
        <f>SUMIF(Fenster!$D$10:$D$2160,Fassade!F371,Fenster!$J$10:$J$2160)</f>
        <v>0</v>
      </c>
      <c r="N371" s="18">
        <f>SUMIF(Fenster!$D$10:$D$2160,Fassade!F371,Fenster!$M$10:$M$2160)</f>
        <v>0</v>
      </c>
      <c r="O371" s="18">
        <f>SUMIFS(Fenster!$M$10:$M$2160,Fenster!$D$10:$D$2160,Fassade!F371,Fenster!$L$10:$L$2160,"&gt;2,5")</f>
        <v>0</v>
      </c>
      <c r="P371" s="18">
        <f>SUMIF(Fenster!$D$10:$D$2160,Fassade!F371,Fenster!$K$10:$K$2160)</f>
        <v>0</v>
      </c>
      <c r="Q371" s="18">
        <f t="shared" si="238"/>
        <v>0</v>
      </c>
      <c r="R371" s="187">
        <f t="shared" si="239"/>
        <v>0</v>
      </c>
      <c r="S371" s="1596"/>
      <c r="T371" s="1606"/>
      <c r="U371" s="1215"/>
      <c r="V371" s="1645"/>
      <c r="W371" s="1587"/>
      <c r="X371" s="1590"/>
    </row>
    <row r="372" spans="2:24">
      <c r="B372" s="131" t="s">
        <v>668</v>
      </c>
      <c r="C372" s="798"/>
      <c r="D372" s="1552"/>
      <c r="E372" s="1609"/>
      <c r="F372" s="18"/>
      <c r="G372" s="18"/>
      <c r="H372" s="657"/>
      <c r="I372" s="657"/>
      <c r="J372" s="657"/>
      <c r="K372" s="657"/>
      <c r="L372" s="115">
        <f t="shared" si="237"/>
        <v>0</v>
      </c>
      <c r="M372" s="18">
        <f>SUMIF(Fenster!$D$10:$D$2160,Fassade!F372,Fenster!$J$10:$J$2160)</f>
        <v>0</v>
      </c>
      <c r="N372" s="18">
        <f>SUMIF(Fenster!$D$10:$D$2160,Fassade!F372,Fenster!$M$10:$M$2160)</f>
        <v>0</v>
      </c>
      <c r="O372" s="18">
        <f>SUMIFS(Fenster!$M$10:$M$2160,Fenster!$D$10:$D$2160,Fassade!F372,Fenster!$L$10:$L$2160,"&gt;2,5")</f>
        <v>0</v>
      </c>
      <c r="P372" s="18">
        <f>SUMIF(Fenster!$D$10:$D$2160,Fassade!F372,Fenster!$K$10:$K$2160)</f>
        <v>0</v>
      </c>
      <c r="Q372" s="18">
        <f t="shared" si="238"/>
        <v>0</v>
      </c>
      <c r="R372" s="187">
        <f t="shared" si="239"/>
        <v>0</v>
      </c>
      <c r="S372" s="1596"/>
      <c r="T372" s="1606"/>
      <c r="U372" s="1214"/>
      <c r="V372" s="1645"/>
      <c r="W372" s="1587"/>
      <c r="X372" s="1590"/>
    </row>
    <row r="373" spans="2:24">
      <c r="B373" s="234" t="s">
        <v>670</v>
      </c>
      <c r="C373" s="798"/>
      <c r="D373" s="1552"/>
      <c r="E373" s="1609"/>
      <c r="F373" s="1612" t="s">
        <v>187</v>
      </c>
      <c r="G373" s="18"/>
      <c r="H373" s="657"/>
      <c r="I373" s="657"/>
      <c r="J373" s="657"/>
      <c r="K373" s="657"/>
      <c r="L373" s="1614">
        <f t="shared" ref="L373" si="240">SUM(L363:L372)</f>
        <v>0</v>
      </c>
      <c r="M373" s="1477">
        <f t="shared" ref="M373" si="241">SUM(M363:M372)</f>
        <v>0</v>
      </c>
      <c r="N373" s="1477">
        <f t="shared" ref="N373" si="242">SUM(N363:N372)</f>
        <v>0</v>
      </c>
      <c r="O373" s="1477">
        <f t="shared" ref="O373" si="243">SUM(O363:O372)</f>
        <v>0</v>
      </c>
      <c r="P373" s="1477">
        <f t="shared" ref="P373" si="244">SUM(P363:P372)</f>
        <v>0</v>
      </c>
      <c r="Q373" s="1477">
        <f t="shared" ref="Q373" si="245">SUM(Q363:Q372)</f>
        <v>0</v>
      </c>
      <c r="R373" s="1483">
        <f>SUM(R363:R372)</f>
        <v>0</v>
      </c>
      <c r="S373" s="1596"/>
      <c r="T373" s="1606"/>
      <c r="U373" s="1213"/>
      <c r="V373" s="1645"/>
      <c r="W373" s="1587"/>
      <c r="X373" s="1590"/>
    </row>
    <row r="374" spans="2:24" ht="17.399999999999999" thickBot="1">
      <c r="B374" s="234" t="s">
        <v>672</v>
      </c>
      <c r="C374" s="123"/>
      <c r="D374" s="1552"/>
      <c r="E374" s="1609"/>
      <c r="F374" s="1612"/>
      <c r="G374" s="18"/>
      <c r="H374" s="788"/>
      <c r="I374" s="18"/>
      <c r="J374" s="788"/>
      <c r="K374" s="18"/>
      <c r="L374" s="1614"/>
      <c r="M374" s="1477"/>
      <c r="N374" s="1477"/>
      <c r="O374" s="1477"/>
      <c r="P374" s="1477"/>
      <c r="Q374" s="1477"/>
      <c r="R374" s="1483"/>
      <c r="S374" s="1596"/>
      <c r="T374" s="1606"/>
      <c r="U374" s="1206"/>
      <c r="V374" s="1645"/>
      <c r="W374" s="1587"/>
      <c r="X374" s="1590"/>
    </row>
    <row r="375" spans="2:24" ht="57" customHeight="1">
      <c r="B375" s="792" t="s">
        <v>709</v>
      </c>
      <c r="C375" s="797"/>
      <c r="D375" s="1619" t="e" vm="11">
        <v>#VALUE!</v>
      </c>
      <c r="E375" s="1620"/>
      <c r="F375" s="784" t="s">
        <v>296</v>
      </c>
      <c r="G375" s="784" t="s">
        <v>272</v>
      </c>
      <c r="H375" s="229" t="s">
        <v>300</v>
      </c>
      <c r="I375" s="784" t="s">
        <v>301</v>
      </c>
      <c r="J375" s="177" t="s">
        <v>652</v>
      </c>
      <c r="K375" s="785" t="s">
        <v>653</v>
      </c>
      <c r="L375" s="785" t="s">
        <v>654</v>
      </c>
      <c r="M375" s="785" t="s">
        <v>655</v>
      </c>
      <c r="N375" s="785" t="s">
        <v>656</v>
      </c>
      <c r="O375" s="785" t="s">
        <v>657</v>
      </c>
      <c r="P375" s="785" t="s">
        <v>658</v>
      </c>
      <c r="Q375" s="785" t="s">
        <v>659</v>
      </c>
      <c r="R375" s="786" t="s">
        <v>660</v>
      </c>
      <c r="S375" s="1594"/>
      <c r="T375" s="1608"/>
      <c r="U375" s="1224" t="s">
        <v>661</v>
      </c>
      <c r="V375" s="1225" t="str" cm="1">
        <f t="array" ref="V375">_xlfn.XLOOKUP(U375&amp;Allgemein!$C$45,Fassadenpositionen[[#Headers],[WDVS:]]&amp;Fassadenpositionen[Position Fassade],Fassadenpositionen[WDVS:],"",0,1)</f>
        <v>Nein</v>
      </c>
      <c r="W375" s="1225" t="str" cm="1">
        <f t="array" ref="W375">_xlfn.XLOOKUP(U375&amp;Allgemein!$C$61,Fassadenpositionen[[#Headers],[WDVS:]]&amp;Fassadenpositionen[Position Fassade],Fassadenpositionen[WDVS:],"",0,1)</f>
        <v>Nein</v>
      </c>
      <c r="X375" s="1004" t="str" cm="1">
        <f t="array" ref="X375">_xlfn.XLOOKUP(U375&amp;Allgemein!$C$77,Fassadenpositionen[[#Headers],[WDVS:]]&amp;Fassadenpositionen[Position Fassade],Fassadenpositionen[WDVS:],"",0,1)</f>
        <v>Nein</v>
      </c>
    </row>
    <row r="376" spans="2:24">
      <c r="B376" s="120" t="s">
        <v>662</v>
      </c>
      <c r="C376" s="364"/>
      <c r="D376" s="1552"/>
      <c r="E376" s="1609"/>
      <c r="F376" s="18"/>
      <c r="G376" s="18"/>
      <c r="H376" s="657"/>
      <c r="I376" s="657"/>
      <c r="J376" s="657"/>
      <c r="K376" s="657"/>
      <c r="L376" s="115">
        <f t="shared" ref="L376:L385" si="246">H376*I376+J376</f>
        <v>0</v>
      </c>
      <c r="M376" s="18">
        <f>SUMIF(Fenster!$D$10:$D$2160,Fassade!F376,Fenster!$J$10:$J$2160)</f>
        <v>0</v>
      </c>
      <c r="N376" s="18">
        <f>SUMIF(Fenster!$D$10:$D$2160,Fassade!F376,Fenster!$M$10:$M$2160)</f>
        <v>0</v>
      </c>
      <c r="O376" s="18">
        <f>SUMIFS(Fenster!$M$10:$M$2160,Fenster!$D$10:$D$2160,Fassade!F376,Fenster!$L$10:$L$2160,"&gt;2,5")</f>
        <v>0</v>
      </c>
      <c r="P376" s="18">
        <f>SUMIF(Fenster!$D$10:$D$2160,Fassade!F376,Fenster!$K$10:$K$2160)</f>
        <v>0</v>
      </c>
      <c r="Q376" s="18">
        <f t="shared" ref="Q376:Q385" si="247">L376-O376</f>
        <v>0</v>
      </c>
      <c r="R376" s="187">
        <f t="shared" ref="R376:R385" si="248">L376-N376</f>
        <v>0</v>
      </c>
      <c r="S376" s="1596"/>
      <c r="T376" s="1606"/>
      <c r="U376" s="1201" t="s">
        <v>663</v>
      </c>
      <c r="V376" s="997">
        <v>0</v>
      </c>
      <c r="W376" s="952">
        <v>0</v>
      </c>
      <c r="X376" s="988">
        <v>0</v>
      </c>
    </row>
    <row r="377" spans="2:24">
      <c r="B377" s="131" t="s">
        <v>701</v>
      </c>
      <c r="C377" s="364"/>
      <c r="D377" s="1552"/>
      <c r="E377" s="1609"/>
      <c r="F377" s="18"/>
      <c r="G377" s="18"/>
      <c r="H377" s="657"/>
      <c r="I377" s="657"/>
      <c r="J377" s="657"/>
      <c r="K377" s="657"/>
      <c r="L377" s="115">
        <f t="shared" si="246"/>
        <v>0</v>
      </c>
      <c r="M377" s="18">
        <f>SUMIF(Fenster!$D$10:$D$2160,Fassade!F377,Fenster!$J$10:$J$2160)</f>
        <v>0</v>
      </c>
      <c r="N377" s="18">
        <f>SUMIF(Fenster!$D$10:$D$2160,Fassade!F377,Fenster!$M$10:$M$2160)</f>
        <v>0</v>
      </c>
      <c r="O377" s="18">
        <f>SUMIFS(Fenster!$M$10:$M$2160,Fenster!$D$10:$D$2160,Fassade!F377,Fenster!$L$10:$L$2160,"&gt;2,5")</f>
        <v>0</v>
      </c>
      <c r="P377" s="18">
        <f>SUMIF(Fenster!$D$10:$D$2160,Fassade!F377,Fenster!$K$10:$K$2160)</f>
        <v>0</v>
      </c>
      <c r="Q377" s="18">
        <f t="shared" si="247"/>
        <v>0</v>
      </c>
      <c r="R377" s="187">
        <f t="shared" si="248"/>
        <v>0</v>
      </c>
      <c r="S377" s="1596"/>
      <c r="T377" s="1606"/>
      <c r="U377" s="1202" t="s">
        <v>665</v>
      </c>
      <c r="V377" s="998">
        <f>IF(V375="Ja",(Q386+V376)*$V$9,0)</f>
        <v>0</v>
      </c>
      <c r="W377" s="958">
        <f>IF(W375="Ja",(Q386+W376)*$V$9,0)</f>
        <v>0</v>
      </c>
      <c r="X377" s="999">
        <f>IF(X375="Ja",(Q386+X376)*$V$9,0)</f>
        <v>0</v>
      </c>
    </row>
    <row r="378" spans="2:24">
      <c r="B378" s="131" t="s">
        <v>702</v>
      </c>
      <c r="C378" s="798"/>
      <c r="D378" s="1552"/>
      <c r="E378" s="1609"/>
      <c r="F378" s="18"/>
      <c r="G378" s="18"/>
      <c r="H378" s="657"/>
      <c r="I378" s="657"/>
      <c r="J378" s="657"/>
      <c r="K378" s="657"/>
      <c r="L378" s="115">
        <f t="shared" si="246"/>
        <v>0</v>
      </c>
      <c r="M378" s="18">
        <f>SUMIF(Fenster!$D$10:$D$2160,Fassade!F378,Fenster!$J$10:$J$2160)</f>
        <v>0</v>
      </c>
      <c r="N378" s="18">
        <f>SUMIF(Fenster!$D$10:$D$2160,Fassade!F378,Fenster!$M$10:$M$2160)</f>
        <v>0</v>
      </c>
      <c r="O378" s="18">
        <f>SUMIFS(Fenster!$M$10:$M$2160,Fenster!$D$10:$D$2160,Fassade!F378,Fenster!$L$10:$L$2160,"&gt;2,5")</f>
        <v>0</v>
      </c>
      <c r="P378" s="18">
        <f>SUMIF(Fenster!$D$10:$D$2160,Fassade!F378,Fenster!$K$10:$K$2160)</f>
        <v>0</v>
      </c>
      <c r="Q378" s="18">
        <f t="shared" si="247"/>
        <v>0</v>
      </c>
      <c r="R378" s="187">
        <f t="shared" si="248"/>
        <v>0</v>
      </c>
      <c r="S378" s="1596"/>
      <c r="T378" s="1606"/>
      <c r="U378" s="1203" t="s">
        <v>667</v>
      </c>
      <c r="V378" s="998">
        <f>IF(V375="Ja",(R386+V376)*$V$9,0)</f>
        <v>0</v>
      </c>
      <c r="W378" s="958">
        <f>IF(W375="Ja",(R386+W376)*$V$9,0)</f>
        <v>0</v>
      </c>
      <c r="X378" s="999">
        <f>IF(X375="Ja",(R386+X376)*$V$9,0)</f>
        <v>0</v>
      </c>
    </row>
    <row r="379" spans="2:24">
      <c r="B379" s="131" t="s">
        <v>703</v>
      </c>
      <c r="C379" s="798"/>
      <c r="D379" s="1552"/>
      <c r="E379" s="1609"/>
      <c r="F379" s="18"/>
      <c r="G379" s="18"/>
      <c r="H379" s="657"/>
      <c r="I379" s="657"/>
      <c r="J379" s="657"/>
      <c r="K379" s="657"/>
      <c r="L379" s="115">
        <f t="shared" si="246"/>
        <v>0</v>
      </c>
      <c r="M379" s="18">
        <f>SUMIF(Fenster!$D$10:$D$2160,Fassade!F379,Fenster!$J$10:$J$2160)</f>
        <v>0</v>
      </c>
      <c r="N379" s="18">
        <f>SUMIF(Fenster!$D$10:$D$2160,Fassade!F379,Fenster!$M$10:$M$2160)</f>
        <v>0</v>
      </c>
      <c r="O379" s="18">
        <f>SUMIFS(Fenster!$M$10:$M$2160,Fenster!$D$10:$D$2160,Fassade!F379,Fenster!$L$10:$L$2160,"&gt;2,5")</f>
        <v>0</v>
      </c>
      <c r="P379" s="18">
        <f>SUMIF(Fenster!$D$10:$D$2160,Fassade!F379,Fenster!$K$10:$K$2160)</f>
        <v>0</v>
      </c>
      <c r="Q379" s="18">
        <f t="shared" si="247"/>
        <v>0</v>
      </c>
      <c r="R379" s="187">
        <f t="shared" si="248"/>
        <v>0</v>
      </c>
      <c r="S379" s="1596"/>
      <c r="T379" s="1606"/>
      <c r="U379" s="1204" t="s">
        <v>669</v>
      </c>
      <c r="V379" s="958" t="str">
        <f>Allgemein!$D$45</f>
        <v>-</v>
      </c>
      <c r="W379" s="958" t="str">
        <f>Allgemein!$D$61</f>
        <v>-</v>
      </c>
      <c r="X379" s="1000" t="str">
        <f>Allgemein!$D$77</f>
        <v>-</v>
      </c>
    </row>
    <row r="380" spans="2:24">
      <c r="B380" s="131" t="s">
        <v>704</v>
      </c>
      <c r="C380" s="798"/>
      <c r="D380" s="1552"/>
      <c r="E380" s="1609"/>
      <c r="F380" s="18"/>
      <c r="G380" s="18"/>
      <c r="H380" s="657"/>
      <c r="I380" s="657"/>
      <c r="J380" s="657"/>
      <c r="K380" s="657"/>
      <c r="L380" s="115">
        <f t="shared" si="246"/>
        <v>0</v>
      </c>
      <c r="M380" s="18">
        <f>SUMIF(Fenster!$D$10:$D$2160,Fassade!F380,Fenster!$J$10:$J$2160)</f>
        <v>0</v>
      </c>
      <c r="N380" s="18">
        <f>SUMIF(Fenster!$D$10:$D$2160,Fassade!F380,Fenster!$M$10:$M$2160)</f>
        <v>0</v>
      </c>
      <c r="O380" s="18">
        <f>SUMIFS(Fenster!$M$10:$M$2160,Fenster!$D$10:$D$2160,Fassade!F380,Fenster!$L$10:$L$2160,"&gt;2,5")</f>
        <v>0</v>
      </c>
      <c r="P380" s="18">
        <f>SUMIF(Fenster!$D$10:$D$2160,Fassade!F380,Fenster!$K$10:$K$2160)</f>
        <v>0</v>
      </c>
      <c r="Q380" s="18">
        <f t="shared" si="247"/>
        <v>0</v>
      </c>
      <c r="R380" s="187">
        <f t="shared" si="248"/>
        <v>0</v>
      </c>
      <c r="S380" s="1596"/>
      <c r="T380" s="1606"/>
      <c r="U380" s="1205" t="s">
        <v>671</v>
      </c>
      <c r="V380" s="1640"/>
      <c r="W380" s="1586"/>
      <c r="X380" s="1589"/>
    </row>
    <row r="381" spans="2:24">
      <c r="B381" s="131" t="s">
        <v>705</v>
      </c>
      <c r="C381" s="798"/>
      <c r="D381" s="1552"/>
      <c r="E381" s="1609"/>
      <c r="F381" s="18"/>
      <c r="G381" s="18"/>
      <c r="H381" s="657"/>
      <c r="I381" s="657"/>
      <c r="J381" s="657"/>
      <c r="K381" s="657"/>
      <c r="L381" s="115">
        <f t="shared" si="246"/>
        <v>0</v>
      </c>
      <c r="M381" s="18">
        <f>SUMIF(Fenster!$D$10:$D$2160,Fassade!F381,Fenster!$J$10:$J$2160)</f>
        <v>0</v>
      </c>
      <c r="N381" s="18">
        <f>SUMIF(Fenster!$D$10:$D$2160,Fassade!F381,Fenster!$M$10:$M$2160)</f>
        <v>0</v>
      </c>
      <c r="O381" s="18">
        <f>SUMIFS(Fenster!$M$10:$M$2160,Fenster!$D$10:$D$2160,Fassade!F381,Fenster!$L$10:$L$2160,"&gt;2,5")</f>
        <v>0</v>
      </c>
      <c r="P381" s="18">
        <f>SUMIF(Fenster!$D$10:$D$2160,Fassade!F381,Fenster!$K$10:$K$2160)</f>
        <v>0</v>
      </c>
      <c r="Q381" s="18">
        <f t="shared" si="247"/>
        <v>0</v>
      </c>
      <c r="R381" s="187">
        <f t="shared" si="248"/>
        <v>0</v>
      </c>
      <c r="S381" s="1596"/>
      <c r="T381" s="1606"/>
      <c r="U381" s="1214"/>
      <c r="V381" s="1645"/>
      <c r="W381" s="1587"/>
      <c r="X381" s="1590"/>
    </row>
    <row r="382" spans="2:24">
      <c r="B382" s="131" t="s">
        <v>706</v>
      </c>
      <c r="C382" s="798"/>
      <c r="D382" s="1552"/>
      <c r="E382" s="1609"/>
      <c r="F382" s="18"/>
      <c r="G382" s="18"/>
      <c r="H382" s="657"/>
      <c r="I382" s="657"/>
      <c r="J382" s="657"/>
      <c r="K382" s="657"/>
      <c r="L382" s="115">
        <f t="shared" si="246"/>
        <v>0</v>
      </c>
      <c r="M382" s="18">
        <f>SUMIF(Fenster!$D$10:$D$2160,Fassade!F382,Fenster!$J$10:$J$2160)</f>
        <v>0</v>
      </c>
      <c r="N382" s="18">
        <f>SUMIF(Fenster!$D$10:$D$2160,Fassade!F382,Fenster!$M$10:$M$2160)</f>
        <v>0</v>
      </c>
      <c r="O382" s="18">
        <f>SUMIFS(Fenster!$M$10:$M$2160,Fenster!$D$10:$D$2160,Fassade!F382,Fenster!$L$10:$L$2160,"&gt;2,5")</f>
        <v>0</v>
      </c>
      <c r="P382" s="18">
        <f>SUMIF(Fenster!$D$10:$D$2160,Fassade!F382,Fenster!$K$10:$K$2160)</f>
        <v>0</v>
      </c>
      <c r="Q382" s="18">
        <f t="shared" si="247"/>
        <v>0</v>
      </c>
      <c r="R382" s="187">
        <f t="shared" si="248"/>
        <v>0</v>
      </c>
      <c r="S382" s="1596"/>
      <c r="T382" s="1606"/>
      <c r="U382" s="1214"/>
      <c r="V382" s="1645"/>
      <c r="W382" s="1587"/>
      <c r="X382" s="1590"/>
    </row>
    <row r="383" spans="2:24">
      <c r="B383" s="131" t="s">
        <v>707</v>
      </c>
      <c r="C383" s="364"/>
      <c r="D383" s="1552"/>
      <c r="E383" s="1609"/>
      <c r="F383" s="18"/>
      <c r="G383" s="18"/>
      <c r="H383" s="657"/>
      <c r="I383" s="657"/>
      <c r="J383" s="657"/>
      <c r="K383" s="657"/>
      <c r="L383" s="115">
        <f t="shared" si="246"/>
        <v>0</v>
      </c>
      <c r="M383" s="18">
        <f>SUMIF(Fenster!$D$10:$D$2160,Fassade!F383,Fenster!$J$10:$J$2160)</f>
        <v>0</v>
      </c>
      <c r="N383" s="18">
        <f>SUMIF(Fenster!$D$10:$D$2160,Fassade!F383,Fenster!$M$10:$M$2160)</f>
        <v>0</v>
      </c>
      <c r="O383" s="18">
        <f>SUMIFS(Fenster!$M$10:$M$2160,Fenster!$D$10:$D$2160,Fassade!F383,Fenster!$L$10:$L$2160,"&gt;2,5")</f>
        <v>0</v>
      </c>
      <c r="P383" s="18">
        <f>SUMIF(Fenster!$D$10:$D$2160,Fassade!F383,Fenster!$K$10:$K$2160)</f>
        <v>0</v>
      </c>
      <c r="Q383" s="18">
        <f t="shared" si="247"/>
        <v>0</v>
      </c>
      <c r="R383" s="187">
        <f t="shared" si="248"/>
        <v>0</v>
      </c>
      <c r="S383" s="1596"/>
      <c r="T383" s="1606"/>
      <c r="U383" s="1215"/>
      <c r="V383" s="1645"/>
      <c r="W383" s="1587"/>
      <c r="X383" s="1590"/>
    </row>
    <row r="384" spans="2:24">
      <c r="B384" s="131" t="s">
        <v>708</v>
      </c>
      <c r="C384" s="798"/>
      <c r="D384" s="1552"/>
      <c r="E384" s="1609"/>
      <c r="F384" s="18"/>
      <c r="G384" s="18"/>
      <c r="H384" s="657"/>
      <c r="I384" s="657"/>
      <c r="J384" s="657"/>
      <c r="K384" s="657"/>
      <c r="L384" s="115">
        <f t="shared" si="246"/>
        <v>0</v>
      </c>
      <c r="M384" s="18">
        <f>SUMIF(Fenster!$D$10:$D$2160,Fassade!F384,Fenster!$J$10:$J$2160)</f>
        <v>0</v>
      </c>
      <c r="N384" s="18">
        <f>SUMIF(Fenster!$D$10:$D$2160,Fassade!F384,Fenster!$M$10:$M$2160)</f>
        <v>0</v>
      </c>
      <c r="O384" s="18">
        <f>SUMIFS(Fenster!$M$10:$M$2160,Fenster!$D$10:$D$2160,Fassade!F384,Fenster!$L$10:$L$2160,"&gt;2,5")</f>
        <v>0</v>
      </c>
      <c r="P384" s="18">
        <f>SUMIF(Fenster!$D$10:$D$2160,Fassade!F384,Fenster!$K$10:$K$2160)</f>
        <v>0</v>
      </c>
      <c r="Q384" s="18">
        <f t="shared" si="247"/>
        <v>0</v>
      </c>
      <c r="R384" s="187">
        <f t="shared" si="248"/>
        <v>0</v>
      </c>
      <c r="S384" s="1596"/>
      <c r="T384" s="1606"/>
      <c r="U384" s="1215"/>
      <c r="V384" s="1645"/>
      <c r="W384" s="1587"/>
      <c r="X384" s="1590"/>
    </row>
    <row r="385" spans="2:24">
      <c r="B385" s="131" t="s">
        <v>668</v>
      </c>
      <c r="C385" s="798"/>
      <c r="D385" s="1552"/>
      <c r="E385" s="1609"/>
      <c r="F385" s="18"/>
      <c r="G385" s="18"/>
      <c r="H385" s="657"/>
      <c r="I385" s="657"/>
      <c r="J385" s="657"/>
      <c r="K385" s="657"/>
      <c r="L385" s="115">
        <f t="shared" si="246"/>
        <v>0</v>
      </c>
      <c r="M385" s="18">
        <f>SUMIF(Fenster!$D$10:$D$2160,Fassade!F385,Fenster!$J$10:$J$2160)</f>
        <v>0</v>
      </c>
      <c r="N385" s="18">
        <f>SUMIF(Fenster!$D$10:$D$2160,Fassade!F385,Fenster!$M$10:$M$2160)</f>
        <v>0</v>
      </c>
      <c r="O385" s="18">
        <f>SUMIFS(Fenster!$M$10:$M$2160,Fenster!$D$10:$D$2160,Fassade!F385,Fenster!$L$10:$L$2160,"&gt;2,5")</f>
        <v>0</v>
      </c>
      <c r="P385" s="18">
        <f>SUMIF(Fenster!$D$10:$D$2160,Fassade!F385,Fenster!$K$10:$K$2160)</f>
        <v>0</v>
      </c>
      <c r="Q385" s="18">
        <f t="shared" si="247"/>
        <v>0</v>
      </c>
      <c r="R385" s="187">
        <f t="shared" si="248"/>
        <v>0</v>
      </c>
      <c r="S385" s="1596"/>
      <c r="T385" s="1606"/>
      <c r="U385" s="1214"/>
      <c r="V385" s="1645"/>
      <c r="W385" s="1587"/>
      <c r="X385" s="1590"/>
    </row>
    <row r="386" spans="2:24">
      <c r="B386" s="234" t="s">
        <v>670</v>
      </c>
      <c r="C386" s="798"/>
      <c r="D386" s="1552"/>
      <c r="E386" s="1609"/>
      <c r="F386" s="1612" t="s">
        <v>187</v>
      </c>
      <c r="G386" s="18"/>
      <c r="H386" s="657"/>
      <c r="I386" s="657"/>
      <c r="J386" s="657"/>
      <c r="K386" s="657"/>
      <c r="L386" s="1614">
        <f t="shared" ref="L386" si="249">SUM(L376:L385)</f>
        <v>0</v>
      </c>
      <c r="M386" s="1477">
        <f t="shared" ref="M386" si="250">SUM(M376:M385)</f>
        <v>0</v>
      </c>
      <c r="N386" s="1477">
        <f t="shared" ref="N386" si="251">SUM(N376:N385)</f>
        <v>0</v>
      </c>
      <c r="O386" s="1477">
        <f t="shared" ref="O386" si="252">SUM(O376:O385)</f>
        <v>0</v>
      </c>
      <c r="P386" s="1477">
        <f t="shared" ref="P386" si="253">SUM(P376:P385)</f>
        <v>0</v>
      </c>
      <c r="Q386" s="1477">
        <f t="shared" ref="Q386" si="254">SUM(Q376:Q385)</f>
        <v>0</v>
      </c>
      <c r="R386" s="1483">
        <f>SUM(R376:R385)</f>
        <v>0</v>
      </c>
      <c r="S386" s="1596"/>
      <c r="T386" s="1606"/>
      <c r="U386" s="1213"/>
      <c r="V386" s="1645"/>
      <c r="W386" s="1587"/>
      <c r="X386" s="1590"/>
    </row>
    <row r="387" spans="2:24" ht="17.399999999999999" thickBot="1">
      <c r="B387" s="789" t="s">
        <v>672</v>
      </c>
      <c r="C387" s="722"/>
      <c r="D387" s="1610"/>
      <c r="E387" s="1611"/>
      <c r="F387" s="1613"/>
      <c r="G387" s="788"/>
      <c r="H387" s="788"/>
      <c r="I387" s="788"/>
      <c r="J387" s="788"/>
      <c r="K387" s="788"/>
      <c r="L387" s="1615"/>
      <c r="M387" s="1592"/>
      <c r="N387" s="1592"/>
      <c r="O387" s="1592"/>
      <c r="P387" s="1592"/>
      <c r="Q387" s="1592"/>
      <c r="R387" s="1605"/>
      <c r="S387" s="1598"/>
      <c r="T387" s="1607"/>
      <c r="U387" s="1209"/>
      <c r="V387" s="1646"/>
      <c r="W387" s="1588"/>
      <c r="X387" s="1591"/>
    </row>
    <row r="388" spans="2:24" ht="57" customHeight="1">
      <c r="B388" s="135" t="s">
        <v>709</v>
      </c>
      <c r="C388" s="123"/>
      <c r="D388" s="1552" t="e" vm="11">
        <v>#VALUE!</v>
      </c>
      <c r="E388" s="1609"/>
      <c r="F388" s="229" t="s">
        <v>296</v>
      </c>
      <c r="G388" s="229" t="s">
        <v>272</v>
      </c>
      <c r="H388" s="229" t="s">
        <v>300</v>
      </c>
      <c r="I388" s="229" t="s">
        <v>301</v>
      </c>
      <c r="J388" s="177" t="s">
        <v>652</v>
      </c>
      <c r="K388" s="177" t="s">
        <v>653</v>
      </c>
      <c r="L388" s="177" t="s">
        <v>654</v>
      </c>
      <c r="M388" s="177" t="s">
        <v>655</v>
      </c>
      <c r="N388" s="177" t="s">
        <v>656</v>
      </c>
      <c r="O388" s="177" t="s">
        <v>657</v>
      </c>
      <c r="P388" s="177" t="s">
        <v>658</v>
      </c>
      <c r="Q388" s="177" t="s">
        <v>659</v>
      </c>
      <c r="R388" s="713" t="s">
        <v>660</v>
      </c>
      <c r="S388" s="1600"/>
      <c r="T388" s="1606"/>
      <c r="U388" s="1200" t="s">
        <v>661</v>
      </c>
      <c r="V388" s="995" t="str" cm="1">
        <f t="array" ref="V388">_xlfn.XLOOKUP(U388&amp;Allgemein!$C$45,Fassadenpositionen[[#Headers],[WDVS:]]&amp;Fassadenpositionen[Position Fassade],Fassadenpositionen[WDVS:],"",0,1)</f>
        <v>Nein</v>
      </c>
      <c r="W388" s="995" t="str" cm="1">
        <f t="array" ref="W388">_xlfn.XLOOKUP(U388&amp;Allgemein!$C$61,Fassadenpositionen[[#Headers],[WDVS:]]&amp;Fassadenpositionen[Position Fassade],Fassadenpositionen[WDVS:],"",0,1)</f>
        <v>Nein</v>
      </c>
      <c r="X388" s="996" t="str" cm="1">
        <f t="array" ref="X388">_xlfn.XLOOKUP(U388&amp;Allgemein!$C$77,Fassadenpositionen[[#Headers],[WDVS:]]&amp;Fassadenpositionen[Position Fassade],Fassadenpositionen[WDVS:],"",0,1)</f>
        <v>Nein</v>
      </c>
    </row>
    <row r="389" spans="2:24">
      <c r="B389" s="120" t="s">
        <v>662</v>
      </c>
      <c r="C389" s="364"/>
      <c r="D389" s="1552"/>
      <c r="E389" s="1609"/>
      <c r="F389" s="18"/>
      <c r="G389" s="18"/>
      <c r="H389" s="657"/>
      <c r="I389" s="657"/>
      <c r="J389" s="657"/>
      <c r="K389" s="657"/>
      <c r="L389" s="115">
        <f t="shared" ref="L389:L398" si="255">H389*I389+J389</f>
        <v>0</v>
      </c>
      <c r="M389" s="18">
        <f>SUMIF(Fenster!$D$10:$D$2160,Fassade!F389,Fenster!$J$10:$J$2160)</f>
        <v>0</v>
      </c>
      <c r="N389" s="18">
        <f>SUMIF(Fenster!$D$10:$D$2160,Fassade!F389,Fenster!$M$10:$M$2160)</f>
        <v>0</v>
      </c>
      <c r="O389" s="18">
        <f>SUMIFS(Fenster!$M$10:$M$2160,Fenster!$D$10:$D$2160,Fassade!F389,Fenster!$L$10:$L$2160,"&gt;2,5")</f>
        <v>0</v>
      </c>
      <c r="P389" s="18">
        <f>SUMIF(Fenster!$D$10:$D$2160,Fassade!F389,Fenster!$K$10:$K$2160)</f>
        <v>0</v>
      </c>
      <c r="Q389" s="18">
        <f t="shared" ref="Q389:Q398" si="256">L389-O389</f>
        <v>0</v>
      </c>
      <c r="R389" s="187">
        <f t="shared" ref="R389:R398" si="257">L389-N389</f>
        <v>0</v>
      </c>
      <c r="S389" s="1596"/>
      <c r="T389" s="1606"/>
      <c r="U389" s="1201" t="s">
        <v>663</v>
      </c>
      <c r="V389" s="997">
        <v>0</v>
      </c>
      <c r="W389" s="952">
        <v>0</v>
      </c>
      <c r="X389" s="988">
        <v>0</v>
      </c>
    </row>
    <row r="390" spans="2:24">
      <c r="B390" s="131" t="s">
        <v>701</v>
      </c>
      <c r="C390" s="364"/>
      <c r="D390" s="1552"/>
      <c r="E390" s="1609"/>
      <c r="F390" s="18"/>
      <c r="G390" s="18"/>
      <c r="H390" s="657"/>
      <c r="I390" s="657"/>
      <c r="J390" s="657"/>
      <c r="K390" s="657"/>
      <c r="L390" s="115">
        <f t="shared" si="255"/>
        <v>0</v>
      </c>
      <c r="M390" s="18">
        <f>SUMIF(Fenster!$D$10:$D$2160,Fassade!F390,Fenster!$J$10:$J$2160)</f>
        <v>0</v>
      </c>
      <c r="N390" s="18">
        <f>SUMIF(Fenster!$D$10:$D$2160,Fassade!F390,Fenster!$M$10:$M$2160)</f>
        <v>0</v>
      </c>
      <c r="O390" s="18">
        <f>SUMIFS(Fenster!$M$10:$M$2160,Fenster!$D$10:$D$2160,Fassade!F390,Fenster!$L$10:$L$2160,"&gt;2,5")</f>
        <v>0</v>
      </c>
      <c r="P390" s="18">
        <f>SUMIF(Fenster!$D$10:$D$2160,Fassade!F390,Fenster!$K$10:$K$2160)</f>
        <v>0</v>
      </c>
      <c r="Q390" s="18">
        <f t="shared" si="256"/>
        <v>0</v>
      </c>
      <c r="R390" s="187">
        <f t="shared" si="257"/>
        <v>0</v>
      </c>
      <c r="S390" s="1596"/>
      <c r="T390" s="1606"/>
      <c r="U390" s="1202" t="s">
        <v>665</v>
      </c>
      <c r="V390" s="998">
        <f>IF(V388="Ja",(Q399+V389)*$V$9,0)</f>
        <v>0</v>
      </c>
      <c r="W390" s="958">
        <f>IF(W388="Ja",(Q399+W389)*$V$9,0)</f>
        <v>0</v>
      </c>
      <c r="X390" s="999">
        <f>IF(X388="Ja",(Q399+X389)*$V$9,0)</f>
        <v>0</v>
      </c>
    </row>
    <row r="391" spans="2:24">
      <c r="B391" s="131" t="s">
        <v>702</v>
      </c>
      <c r="C391" s="798"/>
      <c r="D391" s="1552"/>
      <c r="E391" s="1609"/>
      <c r="F391" s="18"/>
      <c r="G391" s="18"/>
      <c r="H391" s="657"/>
      <c r="I391" s="657"/>
      <c r="J391" s="657"/>
      <c r="K391" s="657"/>
      <c r="L391" s="115">
        <f t="shared" si="255"/>
        <v>0</v>
      </c>
      <c r="M391" s="18">
        <f>SUMIF(Fenster!$D$10:$D$2160,Fassade!F391,Fenster!$J$10:$J$2160)</f>
        <v>0</v>
      </c>
      <c r="N391" s="18">
        <f>SUMIF(Fenster!$D$10:$D$2160,Fassade!F391,Fenster!$M$10:$M$2160)</f>
        <v>0</v>
      </c>
      <c r="O391" s="18">
        <f>SUMIFS(Fenster!$M$10:$M$2160,Fenster!$D$10:$D$2160,Fassade!F391,Fenster!$L$10:$L$2160,"&gt;2,5")</f>
        <v>0</v>
      </c>
      <c r="P391" s="18">
        <f>SUMIF(Fenster!$D$10:$D$2160,Fassade!F391,Fenster!$K$10:$K$2160)</f>
        <v>0</v>
      </c>
      <c r="Q391" s="18">
        <f t="shared" si="256"/>
        <v>0</v>
      </c>
      <c r="R391" s="187">
        <f t="shared" si="257"/>
        <v>0</v>
      </c>
      <c r="S391" s="1596"/>
      <c r="T391" s="1606"/>
      <c r="U391" s="1203" t="s">
        <v>667</v>
      </c>
      <c r="V391" s="998">
        <f>IF(V388="Ja",(R399+V389)*$V$9,0)</f>
        <v>0</v>
      </c>
      <c r="W391" s="958">
        <f>IF(W388="Ja",(R399+W389)*$V$9,0)</f>
        <v>0</v>
      </c>
      <c r="X391" s="999">
        <f>IF(X388="Ja",(R399+X389)*$V$9,0)</f>
        <v>0</v>
      </c>
    </row>
    <row r="392" spans="2:24">
      <c r="B392" s="131" t="s">
        <v>703</v>
      </c>
      <c r="C392" s="798"/>
      <c r="D392" s="1552"/>
      <c r="E392" s="1609"/>
      <c r="F392" s="18"/>
      <c r="G392" s="18"/>
      <c r="H392" s="657"/>
      <c r="I392" s="657"/>
      <c r="J392" s="657"/>
      <c r="K392" s="657"/>
      <c r="L392" s="115">
        <f t="shared" si="255"/>
        <v>0</v>
      </c>
      <c r="M392" s="18">
        <f>SUMIF(Fenster!$D$10:$D$2160,Fassade!F392,Fenster!$J$10:$J$2160)</f>
        <v>0</v>
      </c>
      <c r="N392" s="18">
        <f>SUMIF(Fenster!$D$10:$D$2160,Fassade!F392,Fenster!$M$10:$M$2160)</f>
        <v>0</v>
      </c>
      <c r="O392" s="18">
        <f>SUMIFS(Fenster!$M$10:$M$2160,Fenster!$D$10:$D$2160,Fassade!F392,Fenster!$L$10:$L$2160,"&gt;2,5")</f>
        <v>0</v>
      </c>
      <c r="P392" s="18">
        <f>SUMIF(Fenster!$D$10:$D$2160,Fassade!F392,Fenster!$K$10:$K$2160)</f>
        <v>0</v>
      </c>
      <c r="Q392" s="18">
        <f t="shared" si="256"/>
        <v>0</v>
      </c>
      <c r="R392" s="187">
        <f t="shared" si="257"/>
        <v>0</v>
      </c>
      <c r="S392" s="1596"/>
      <c r="T392" s="1606"/>
      <c r="U392" s="1204" t="s">
        <v>669</v>
      </c>
      <c r="V392" s="958" t="str">
        <f>Allgemein!$D$45</f>
        <v>-</v>
      </c>
      <c r="W392" s="958" t="str">
        <f>Allgemein!$D$61</f>
        <v>-</v>
      </c>
      <c r="X392" s="1000" t="str">
        <f>Allgemein!$D$77</f>
        <v>-</v>
      </c>
    </row>
    <row r="393" spans="2:24">
      <c r="B393" s="131" t="s">
        <v>704</v>
      </c>
      <c r="C393" s="798"/>
      <c r="D393" s="1552"/>
      <c r="E393" s="1609"/>
      <c r="F393" s="18"/>
      <c r="G393" s="18"/>
      <c r="H393" s="657"/>
      <c r="I393" s="657"/>
      <c r="J393" s="657"/>
      <c r="K393" s="657"/>
      <c r="L393" s="115">
        <f t="shared" si="255"/>
        <v>0</v>
      </c>
      <c r="M393" s="18">
        <f>SUMIF(Fenster!$D$10:$D$2160,Fassade!F393,Fenster!$J$10:$J$2160)</f>
        <v>0</v>
      </c>
      <c r="N393" s="18">
        <f>SUMIF(Fenster!$D$10:$D$2160,Fassade!F393,Fenster!$M$10:$M$2160)</f>
        <v>0</v>
      </c>
      <c r="O393" s="18">
        <f>SUMIFS(Fenster!$M$10:$M$2160,Fenster!$D$10:$D$2160,Fassade!F393,Fenster!$L$10:$L$2160,"&gt;2,5")</f>
        <v>0</v>
      </c>
      <c r="P393" s="18">
        <f>SUMIF(Fenster!$D$10:$D$2160,Fassade!F393,Fenster!$K$10:$K$2160)</f>
        <v>0</v>
      </c>
      <c r="Q393" s="18">
        <f t="shared" si="256"/>
        <v>0</v>
      </c>
      <c r="R393" s="187">
        <f t="shared" si="257"/>
        <v>0</v>
      </c>
      <c r="S393" s="1596"/>
      <c r="T393" s="1606"/>
      <c r="U393" s="1205" t="s">
        <v>671</v>
      </c>
      <c r="V393" s="1640"/>
      <c r="W393" s="1586"/>
      <c r="X393" s="1589"/>
    </row>
    <row r="394" spans="2:24">
      <c r="B394" s="131" t="s">
        <v>705</v>
      </c>
      <c r="C394" s="798"/>
      <c r="D394" s="1552"/>
      <c r="E394" s="1609"/>
      <c r="F394" s="18"/>
      <c r="G394" s="18"/>
      <c r="H394" s="657"/>
      <c r="I394" s="657"/>
      <c r="J394" s="657"/>
      <c r="K394" s="657"/>
      <c r="L394" s="115">
        <f t="shared" si="255"/>
        <v>0</v>
      </c>
      <c r="M394" s="18">
        <f>SUMIF(Fenster!$D$10:$D$2160,Fassade!F394,Fenster!$J$10:$J$2160)</f>
        <v>0</v>
      </c>
      <c r="N394" s="18">
        <f>SUMIF(Fenster!$D$10:$D$2160,Fassade!F394,Fenster!$M$10:$M$2160)</f>
        <v>0</v>
      </c>
      <c r="O394" s="18">
        <f>SUMIFS(Fenster!$M$10:$M$2160,Fenster!$D$10:$D$2160,Fassade!F394,Fenster!$L$10:$L$2160,"&gt;2,5")</f>
        <v>0</v>
      </c>
      <c r="P394" s="18">
        <f>SUMIF(Fenster!$D$10:$D$2160,Fassade!F394,Fenster!$K$10:$K$2160)</f>
        <v>0</v>
      </c>
      <c r="Q394" s="18">
        <f t="shared" si="256"/>
        <v>0</v>
      </c>
      <c r="R394" s="187">
        <f t="shared" si="257"/>
        <v>0</v>
      </c>
      <c r="S394" s="1596"/>
      <c r="T394" s="1606"/>
      <c r="U394" s="1214"/>
      <c r="V394" s="1645"/>
      <c r="W394" s="1587"/>
      <c r="X394" s="1590"/>
    </row>
    <row r="395" spans="2:24">
      <c r="B395" s="131" t="s">
        <v>706</v>
      </c>
      <c r="C395" s="798"/>
      <c r="D395" s="1552"/>
      <c r="E395" s="1609"/>
      <c r="F395" s="18"/>
      <c r="G395" s="18"/>
      <c r="H395" s="657"/>
      <c r="I395" s="657"/>
      <c r="J395" s="657"/>
      <c r="K395" s="657"/>
      <c r="L395" s="115">
        <f t="shared" si="255"/>
        <v>0</v>
      </c>
      <c r="M395" s="18">
        <f>SUMIF(Fenster!$D$10:$D$2160,Fassade!F395,Fenster!$J$10:$J$2160)</f>
        <v>0</v>
      </c>
      <c r="N395" s="18">
        <f>SUMIF(Fenster!$D$10:$D$2160,Fassade!F395,Fenster!$M$10:$M$2160)</f>
        <v>0</v>
      </c>
      <c r="O395" s="18">
        <f>SUMIFS(Fenster!$M$10:$M$2160,Fenster!$D$10:$D$2160,Fassade!F395,Fenster!$L$10:$L$2160,"&gt;2,5")</f>
        <v>0</v>
      </c>
      <c r="P395" s="18">
        <f>SUMIF(Fenster!$D$10:$D$2160,Fassade!F395,Fenster!$K$10:$K$2160)</f>
        <v>0</v>
      </c>
      <c r="Q395" s="18">
        <f t="shared" si="256"/>
        <v>0</v>
      </c>
      <c r="R395" s="187">
        <f t="shared" si="257"/>
        <v>0</v>
      </c>
      <c r="S395" s="1596"/>
      <c r="T395" s="1606"/>
      <c r="U395" s="1214"/>
      <c r="V395" s="1645"/>
      <c r="W395" s="1587"/>
      <c r="X395" s="1590"/>
    </row>
    <row r="396" spans="2:24">
      <c r="B396" s="131" t="s">
        <v>707</v>
      </c>
      <c r="C396" s="364"/>
      <c r="D396" s="1552"/>
      <c r="E396" s="1609"/>
      <c r="F396" s="18"/>
      <c r="G396" s="18"/>
      <c r="H396" s="657"/>
      <c r="I396" s="657"/>
      <c r="J396" s="657"/>
      <c r="K396" s="657"/>
      <c r="L396" s="115">
        <f t="shared" si="255"/>
        <v>0</v>
      </c>
      <c r="M396" s="18">
        <f>SUMIF(Fenster!$D$10:$D$2160,Fassade!F396,Fenster!$J$10:$J$2160)</f>
        <v>0</v>
      </c>
      <c r="N396" s="18">
        <f>SUMIF(Fenster!$D$10:$D$2160,Fassade!F396,Fenster!$M$10:$M$2160)</f>
        <v>0</v>
      </c>
      <c r="O396" s="18">
        <f>SUMIFS(Fenster!$M$10:$M$2160,Fenster!$D$10:$D$2160,Fassade!F396,Fenster!$L$10:$L$2160,"&gt;2,5")</f>
        <v>0</v>
      </c>
      <c r="P396" s="18">
        <f>SUMIF(Fenster!$D$10:$D$2160,Fassade!F396,Fenster!$K$10:$K$2160)</f>
        <v>0</v>
      </c>
      <c r="Q396" s="18">
        <f t="shared" si="256"/>
        <v>0</v>
      </c>
      <c r="R396" s="187">
        <f t="shared" si="257"/>
        <v>0</v>
      </c>
      <c r="S396" s="1596"/>
      <c r="T396" s="1606"/>
      <c r="U396" s="1215"/>
      <c r="V396" s="1645"/>
      <c r="W396" s="1587"/>
      <c r="X396" s="1590"/>
    </row>
    <row r="397" spans="2:24">
      <c r="B397" s="131" t="s">
        <v>708</v>
      </c>
      <c r="C397" s="798"/>
      <c r="D397" s="1552"/>
      <c r="E397" s="1609"/>
      <c r="F397" s="18"/>
      <c r="G397" s="18"/>
      <c r="H397" s="657"/>
      <c r="I397" s="657"/>
      <c r="J397" s="657"/>
      <c r="K397" s="657"/>
      <c r="L397" s="115">
        <f t="shared" si="255"/>
        <v>0</v>
      </c>
      <c r="M397" s="18">
        <f>SUMIF(Fenster!$D$10:$D$2160,Fassade!F397,Fenster!$J$10:$J$2160)</f>
        <v>0</v>
      </c>
      <c r="N397" s="18">
        <f>SUMIF(Fenster!$D$10:$D$2160,Fassade!F397,Fenster!$M$10:$M$2160)</f>
        <v>0</v>
      </c>
      <c r="O397" s="18">
        <f>SUMIFS(Fenster!$M$10:$M$2160,Fenster!$D$10:$D$2160,Fassade!F397,Fenster!$L$10:$L$2160,"&gt;2,5")</f>
        <v>0</v>
      </c>
      <c r="P397" s="18">
        <f>SUMIF(Fenster!$D$10:$D$2160,Fassade!F397,Fenster!$K$10:$K$2160)</f>
        <v>0</v>
      </c>
      <c r="Q397" s="18">
        <f t="shared" si="256"/>
        <v>0</v>
      </c>
      <c r="R397" s="187">
        <f t="shared" si="257"/>
        <v>0</v>
      </c>
      <c r="S397" s="1596"/>
      <c r="T397" s="1606"/>
      <c r="U397" s="1215"/>
      <c r="V397" s="1645"/>
      <c r="W397" s="1587"/>
      <c r="X397" s="1590"/>
    </row>
    <row r="398" spans="2:24">
      <c r="B398" s="131" t="s">
        <v>668</v>
      </c>
      <c r="C398" s="798"/>
      <c r="D398" s="1552"/>
      <c r="E398" s="1609"/>
      <c r="F398" s="18"/>
      <c r="G398" s="18"/>
      <c r="H398" s="657"/>
      <c r="I398" s="657"/>
      <c r="J398" s="657"/>
      <c r="K398" s="657"/>
      <c r="L398" s="115">
        <f t="shared" si="255"/>
        <v>0</v>
      </c>
      <c r="M398" s="18">
        <f>SUMIF(Fenster!$D$10:$D$2160,Fassade!F398,Fenster!$J$10:$J$2160)</f>
        <v>0</v>
      </c>
      <c r="N398" s="18">
        <f>SUMIF(Fenster!$D$10:$D$2160,Fassade!F398,Fenster!$M$10:$M$2160)</f>
        <v>0</v>
      </c>
      <c r="O398" s="18">
        <f>SUMIFS(Fenster!$M$10:$M$2160,Fenster!$D$10:$D$2160,Fassade!F398,Fenster!$L$10:$L$2160,"&gt;2,5")</f>
        <v>0</v>
      </c>
      <c r="P398" s="18">
        <f>SUMIF(Fenster!$D$10:$D$2160,Fassade!F398,Fenster!$K$10:$K$2160)</f>
        <v>0</v>
      </c>
      <c r="Q398" s="18">
        <f t="shared" si="256"/>
        <v>0</v>
      </c>
      <c r="R398" s="187">
        <f t="shared" si="257"/>
        <v>0</v>
      </c>
      <c r="S398" s="1596"/>
      <c r="T398" s="1606"/>
      <c r="U398" s="1214"/>
      <c r="V398" s="1645"/>
      <c r="W398" s="1587"/>
      <c r="X398" s="1590"/>
    </row>
    <row r="399" spans="2:24">
      <c r="B399" s="234" t="s">
        <v>670</v>
      </c>
      <c r="C399" s="798"/>
      <c r="D399" s="1552"/>
      <c r="E399" s="1609"/>
      <c r="F399" s="1612" t="s">
        <v>187</v>
      </c>
      <c r="G399" s="18"/>
      <c r="H399" s="657"/>
      <c r="I399" s="657"/>
      <c r="J399" s="657"/>
      <c r="K399" s="657"/>
      <c r="L399" s="1614">
        <f t="shared" ref="L399" si="258">SUM(L389:L398)</f>
        <v>0</v>
      </c>
      <c r="M399" s="1477">
        <f t="shared" ref="M399" si="259">SUM(M389:M398)</f>
        <v>0</v>
      </c>
      <c r="N399" s="1477">
        <f t="shared" ref="N399" si="260">SUM(N389:N398)</f>
        <v>0</v>
      </c>
      <c r="O399" s="1477">
        <f t="shared" ref="O399" si="261">SUM(O389:O398)</f>
        <v>0</v>
      </c>
      <c r="P399" s="1477">
        <f t="shared" ref="P399" si="262">SUM(P389:P398)</f>
        <v>0</v>
      </c>
      <c r="Q399" s="1477">
        <f t="shared" ref="Q399" si="263">SUM(Q389:Q398)</f>
        <v>0</v>
      </c>
      <c r="R399" s="1483">
        <f>SUM(R389:R398)</f>
        <v>0</v>
      </c>
      <c r="S399" s="1596"/>
      <c r="T399" s="1606"/>
      <c r="U399" s="1213"/>
      <c r="V399" s="1645"/>
      <c r="W399" s="1587"/>
      <c r="X399" s="1590"/>
    </row>
    <row r="400" spans="2:24" ht="17.399999999999999" thickBot="1">
      <c r="B400" s="789" t="s">
        <v>672</v>
      </c>
      <c r="C400" s="722"/>
      <c r="D400" s="1610"/>
      <c r="E400" s="1611"/>
      <c r="F400" s="1613"/>
      <c r="G400" s="788"/>
      <c r="H400" s="788"/>
      <c r="I400" s="788"/>
      <c r="J400" s="788"/>
      <c r="K400" s="788"/>
      <c r="L400" s="1615"/>
      <c r="M400" s="1592"/>
      <c r="N400" s="1592"/>
      <c r="O400" s="1592"/>
      <c r="P400" s="1592"/>
      <c r="Q400" s="1592"/>
      <c r="R400" s="1605"/>
      <c r="S400" s="1598"/>
      <c r="T400" s="1607"/>
      <c r="U400" s="1209"/>
      <c r="V400" s="1646"/>
      <c r="W400" s="1588"/>
      <c r="X400" s="1591"/>
    </row>
    <row r="401" spans="2:24" ht="57" customHeight="1">
      <c r="B401" s="135" t="s">
        <v>710</v>
      </c>
      <c r="C401" s="123"/>
      <c r="D401" s="1552" t="e" vm="12">
        <v>#VALUE!</v>
      </c>
      <c r="E401" s="1609"/>
      <c r="F401" s="229" t="s">
        <v>296</v>
      </c>
      <c r="G401" s="229" t="s">
        <v>272</v>
      </c>
      <c r="H401" s="229" t="s">
        <v>300</v>
      </c>
      <c r="I401" s="229" t="s">
        <v>301</v>
      </c>
      <c r="J401" s="177" t="s">
        <v>652</v>
      </c>
      <c r="K401" s="177" t="s">
        <v>653</v>
      </c>
      <c r="L401" s="177" t="s">
        <v>654</v>
      </c>
      <c r="M401" s="177" t="s">
        <v>655</v>
      </c>
      <c r="N401" s="177" t="s">
        <v>656</v>
      </c>
      <c r="O401" s="177" t="s">
        <v>657</v>
      </c>
      <c r="P401" s="177" t="s">
        <v>658</v>
      </c>
      <c r="Q401" s="177" t="s">
        <v>659</v>
      </c>
      <c r="R401" s="713" t="s">
        <v>660</v>
      </c>
      <c r="S401" s="1600"/>
      <c r="T401" s="1606"/>
      <c r="U401" s="1200" t="s">
        <v>661</v>
      </c>
      <c r="V401" s="995" t="str" cm="1">
        <f t="array" ref="V401">_xlfn.XLOOKUP(U401&amp;Allgemein!$C$45,Fassadenpositionen[[#Headers],[WDVS:]]&amp;Fassadenpositionen[Position Fassade],Fassadenpositionen[WDVS:],"",0,1)</f>
        <v>Nein</v>
      </c>
      <c r="W401" s="995" t="str" cm="1">
        <f t="array" ref="W401">_xlfn.XLOOKUP(U401&amp;Allgemein!$C$61,Fassadenpositionen[[#Headers],[WDVS:]]&amp;Fassadenpositionen[Position Fassade],Fassadenpositionen[WDVS:],"",0,1)</f>
        <v>Nein</v>
      </c>
      <c r="X401" s="996" t="str" cm="1">
        <f t="array" ref="X401">_xlfn.XLOOKUP(U401&amp;Allgemein!$C$77,Fassadenpositionen[[#Headers],[WDVS:]]&amp;Fassadenpositionen[Position Fassade],Fassadenpositionen[WDVS:],"",0,1)</f>
        <v>Nein</v>
      </c>
    </row>
    <row r="402" spans="2:24">
      <c r="B402" s="120" t="s">
        <v>662</v>
      </c>
      <c r="C402" s="364"/>
      <c r="D402" s="1552"/>
      <c r="E402" s="1609"/>
      <c r="F402" s="18"/>
      <c r="G402" s="18"/>
      <c r="H402" s="657"/>
      <c r="I402" s="657"/>
      <c r="J402" s="657"/>
      <c r="K402" s="657"/>
      <c r="L402" s="115">
        <f t="shared" ref="L402:L411" si="264">H402*I402+J402</f>
        <v>0</v>
      </c>
      <c r="M402" s="18">
        <f>SUMIF(Fenster!$D$10:$D$2160,Fassade!F402,Fenster!$J$10:$J$2160)</f>
        <v>0</v>
      </c>
      <c r="N402" s="18">
        <f>SUMIF(Fenster!$D$10:$D$2160,Fassade!F402,Fenster!$M$10:$M$2160)</f>
        <v>0</v>
      </c>
      <c r="O402" s="18">
        <f>SUMIFS(Fenster!$M$10:$M$2160,Fenster!$D$10:$D$2160,Fassade!F402,Fenster!$L$10:$L$2160,"&gt;2,5")</f>
        <v>0</v>
      </c>
      <c r="P402" s="18">
        <f>SUMIF(Fenster!$D$10:$D$2160,Fassade!F402,Fenster!$K$10:$K$2160)</f>
        <v>0</v>
      </c>
      <c r="Q402" s="18">
        <f t="shared" ref="Q402:Q411" si="265">L402-O402</f>
        <v>0</v>
      </c>
      <c r="R402" s="187">
        <f t="shared" ref="R402:R411" si="266">L402-N402</f>
        <v>0</v>
      </c>
      <c r="S402" s="1596"/>
      <c r="T402" s="1606"/>
      <c r="U402" s="1201" t="s">
        <v>663</v>
      </c>
      <c r="V402" s="997">
        <v>0</v>
      </c>
      <c r="W402" s="952">
        <v>0</v>
      </c>
      <c r="X402" s="988">
        <v>0</v>
      </c>
    </row>
    <row r="403" spans="2:24">
      <c r="B403" s="131" t="s">
        <v>674</v>
      </c>
      <c r="C403" s="364"/>
      <c r="D403" s="1552"/>
      <c r="E403" s="1609"/>
      <c r="F403" s="18"/>
      <c r="G403" s="18"/>
      <c r="H403" s="657"/>
      <c r="I403" s="657"/>
      <c r="J403" s="657"/>
      <c r="K403" s="657"/>
      <c r="L403" s="115">
        <f t="shared" si="264"/>
        <v>0</v>
      </c>
      <c r="M403" s="18">
        <f>SUMIF(Fenster!$D$10:$D$2160,Fassade!F403,Fenster!$J$10:$J$2160)</f>
        <v>0</v>
      </c>
      <c r="N403" s="18">
        <f>SUMIF(Fenster!$D$10:$D$2160,Fassade!F403,Fenster!$M$10:$M$2160)</f>
        <v>0</v>
      </c>
      <c r="O403" s="18">
        <f>SUMIFS(Fenster!$M$10:$M$2160,Fenster!$D$10:$D$2160,Fassade!F403,Fenster!$L$10:$L$2160,"&gt;2,5")</f>
        <v>0</v>
      </c>
      <c r="P403" s="18">
        <f>SUMIF(Fenster!$D$10:$D$2160,Fassade!F403,Fenster!$K$10:$K$2160)</f>
        <v>0</v>
      </c>
      <c r="Q403" s="18">
        <f t="shared" si="265"/>
        <v>0</v>
      </c>
      <c r="R403" s="187">
        <f t="shared" si="266"/>
        <v>0</v>
      </c>
      <c r="S403" s="1596"/>
      <c r="T403" s="1606"/>
      <c r="U403" s="1202" t="s">
        <v>665</v>
      </c>
      <c r="V403" s="998">
        <f>IF(V401="Ja",(Q412+V402)*$V$9,0)</f>
        <v>0</v>
      </c>
      <c r="W403" s="958">
        <f>IF(W401="Ja",(Q412+W402)*$V$9,0)</f>
        <v>0</v>
      </c>
      <c r="X403" s="999">
        <f>IF(X401="Ja",(Q412+X402)*$V$9,0)</f>
        <v>0</v>
      </c>
    </row>
    <row r="404" spans="2:24">
      <c r="B404" s="131" t="s">
        <v>675</v>
      </c>
      <c r="C404" s="798"/>
      <c r="D404" s="1552"/>
      <c r="E404" s="1609"/>
      <c r="F404" s="18"/>
      <c r="G404" s="18"/>
      <c r="H404" s="657"/>
      <c r="I404" s="657"/>
      <c r="J404" s="657"/>
      <c r="K404" s="657"/>
      <c r="L404" s="115">
        <f t="shared" si="264"/>
        <v>0</v>
      </c>
      <c r="M404" s="18">
        <f>SUMIF(Fenster!$D$10:$D$2160,Fassade!F404,Fenster!$J$10:$J$2160)</f>
        <v>0</v>
      </c>
      <c r="N404" s="18">
        <f>SUMIF(Fenster!$D$10:$D$2160,Fassade!F404,Fenster!$M$10:$M$2160)</f>
        <v>0</v>
      </c>
      <c r="O404" s="18">
        <f>SUMIFS(Fenster!$M$10:$M$2160,Fenster!$D$10:$D$2160,Fassade!F404,Fenster!$L$10:$L$2160,"&gt;2,5")</f>
        <v>0</v>
      </c>
      <c r="P404" s="18">
        <f>SUMIF(Fenster!$D$10:$D$2160,Fassade!F404,Fenster!$K$10:$K$2160)</f>
        <v>0</v>
      </c>
      <c r="Q404" s="18">
        <f t="shared" si="265"/>
        <v>0</v>
      </c>
      <c r="R404" s="187">
        <f t="shared" si="266"/>
        <v>0</v>
      </c>
      <c r="S404" s="1596"/>
      <c r="T404" s="1606"/>
      <c r="U404" s="1203" t="s">
        <v>667</v>
      </c>
      <c r="V404" s="998">
        <f>IF(V401="Ja",(R412+V402)*$V$9,0)</f>
        <v>0</v>
      </c>
      <c r="W404" s="958">
        <f>IF(W401="Ja",(R412+W402)*$V$9,0)</f>
        <v>0</v>
      </c>
      <c r="X404" s="999">
        <f>IF(X401="Ja",(R412+X402)*$V$9,0)</f>
        <v>0</v>
      </c>
    </row>
    <row r="405" spans="2:24">
      <c r="B405" s="131" t="s">
        <v>711</v>
      </c>
      <c r="C405" s="798"/>
      <c r="D405" s="1552"/>
      <c r="E405" s="1609"/>
      <c r="F405" s="18"/>
      <c r="G405" s="18"/>
      <c r="H405" s="657"/>
      <c r="I405" s="657"/>
      <c r="J405" s="657"/>
      <c r="K405" s="657"/>
      <c r="L405" s="115">
        <f t="shared" si="264"/>
        <v>0</v>
      </c>
      <c r="M405" s="18">
        <f>SUMIF(Fenster!$D$10:$D$2160,Fassade!F405,Fenster!$J$10:$J$2160)</f>
        <v>0</v>
      </c>
      <c r="N405" s="18">
        <f>SUMIF(Fenster!$D$10:$D$2160,Fassade!F405,Fenster!$M$10:$M$2160)</f>
        <v>0</v>
      </c>
      <c r="O405" s="18">
        <f>SUMIFS(Fenster!$M$10:$M$2160,Fenster!$D$10:$D$2160,Fassade!F405,Fenster!$L$10:$L$2160,"&gt;2,5")</f>
        <v>0</v>
      </c>
      <c r="P405" s="18">
        <f>SUMIF(Fenster!$D$10:$D$2160,Fassade!F405,Fenster!$K$10:$K$2160)</f>
        <v>0</v>
      </c>
      <c r="Q405" s="18">
        <f t="shared" si="265"/>
        <v>0</v>
      </c>
      <c r="R405" s="187">
        <f t="shared" si="266"/>
        <v>0</v>
      </c>
      <c r="S405" s="1596"/>
      <c r="T405" s="1606"/>
      <c r="U405" s="1204" t="s">
        <v>669</v>
      </c>
      <c r="V405" s="958" t="str">
        <f>Allgemein!$D$45</f>
        <v>-</v>
      </c>
      <c r="W405" s="958" t="str">
        <f>Allgemein!$D$61</f>
        <v>-</v>
      </c>
      <c r="X405" s="1000" t="str">
        <f>Allgemein!$D$77</f>
        <v>-</v>
      </c>
    </row>
    <row r="406" spans="2:24" ht="18.600000000000001">
      <c r="B406" s="131" t="s">
        <v>686</v>
      </c>
      <c r="C406" s="798"/>
      <c r="D406" s="1552"/>
      <c r="E406" s="1609"/>
      <c r="F406" s="18"/>
      <c r="G406" s="18"/>
      <c r="H406" s="657"/>
      <c r="I406" s="657"/>
      <c r="J406" s="657"/>
      <c r="K406" s="657"/>
      <c r="L406" s="115">
        <f t="shared" si="264"/>
        <v>0</v>
      </c>
      <c r="M406" s="18">
        <f>SUMIF(Fenster!$D$10:$D$2160,Fassade!F406,Fenster!$J$10:$J$2160)</f>
        <v>0</v>
      </c>
      <c r="N406" s="18">
        <f>SUMIF(Fenster!$D$10:$D$2160,Fassade!F406,Fenster!$M$10:$M$2160)</f>
        <v>0</v>
      </c>
      <c r="O406" s="18">
        <f>SUMIFS(Fenster!$M$10:$M$2160,Fenster!$D$10:$D$2160,Fassade!F406,Fenster!$L$10:$L$2160,"&gt;2,5")</f>
        <v>0</v>
      </c>
      <c r="P406" s="18">
        <f>SUMIF(Fenster!$D$10:$D$2160,Fassade!F406,Fenster!$K$10:$K$2160)</f>
        <v>0</v>
      </c>
      <c r="Q406" s="18">
        <f t="shared" si="265"/>
        <v>0</v>
      </c>
      <c r="R406" s="187">
        <f t="shared" si="266"/>
        <v>0</v>
      </c>
      <c r="S406" s="1596"/>
      <c r="T406" s="1606"/>
      <c r="U406" s="1210" t="s">
        <v>685</v>
      </c>
      <c r="V406" s="1005" t="str" cm="1">
        <f t="array" ref="V406">_xlfn.XLOOKUP(U406&amp;Allgemein!$C$45,Fassadenpositionen[[#Headers],[Einblasdämmung:]]&amp;Fassadenpositionen[Position Fassade],Fassadenpositionen[Einblasdämmung:],"",0,1)</f>
        <v>Nein</v>
      </c>
      <c r="W406" s="1006" t="str" cm="1">
        <f t="array" ref="W406">_xlfn.XLOOKUP(U406&amp;Allgemein!$C$61,Fassadenpositionen[[#Headers],[Einblasdämmung:]]&amp;Fassadenpositionen[Position Fassade],Fassadenpositionen[Einblasdämmung:],"",0,1)</f>
        <v>Nein</v>
      </c>
      <c r="X406" s="996" t="str" cm="1">
        <f t="array" ref="X406">_xlfn.XLOOKUP(U406&amp;Allgemein!$C$77,Fassadenpositionen[[#Headers],[Einblasdämmung:]]&amp;Fassadenpositionen[Position Fassade],Fassadenpositionen[Einblasdämmung:],"",0,1)</f>
        <v>Nein</v>
      </c>
    </row>
    <row r="407" spans="2:24">
      <c r="B407" s="131" t="s">
        <v>668</v>
      </c>
      <c r="C407" s="798"/>
      <c r="D407" s="1552"/>
      <c r="E407" s="1609"/>
      <c r="F407" s="18"/>
      <c r="G407" s="18"/>
      <c r="H407" s="657"/>
      <c r="I407" s="657"/>
      <c r="J407" s="657"/>
      <c r="K407" s="657"/>
      <c r="L407" s="115">
        <f t="shared" si="264"/>
        <v>0</v>
      </c>
      <c r="M407" s="18">
        <f>SUMIF(Fenster!$D$10:$D$2160,Fassade!F407,Fenster!$J$10:$J$2160)</f>
        <v>0</v>
      </c>
      <c r="N407" s="18">
        <f>SUMIF(Fenster!$D$10:$D$2160,Fassade!F407,Fenster!$M$10:$M$2160)</f>
        <v>0</v>
      </c>
      <c r="O407" s="18">
        <f>SUMIFS(Fenster!$M$10:$M$2160,Fenster!$D$10:$D$2160,Fassade!F407,Fenster!$L$10:$L$2160,"&gt;2,5")</f>
        <v>0</v>
      </c>
      <c r="P407" s="18">
        <f>SUMIF(Fenster!$D$10:$D$2160,Fassade!F407,Fenster!$K$10:$K$2160)</f>
        <v>0</v>
      </c>
      <c r="Q407" s="18">
        <f t="shared" si="265"/>
        <v>0</v>
      </c>
      <c r="R407" s="187">
        <f t="shared" si="266"/>
        <v>0</v>
      </c>
      <c r="S407" s="1596"/>
      <c r="T407" s="1606"/>
      <c r="U407" s="1211" t="s">
        <v>663</v>
      </c>
      <c r="V407" s="1001">
        <v>0</v>
      </c>
      <c r="W407" s="1007">
        <v>0</v>
      </c>
      <c r="X407" s="1003">
        <v>0</v>
      </c>
    </row>
    <row r="408" spans="2:24">
      <c r="B408" s="234" t="s">
        <v>670</v>
      </c>
      <c r="C408" s="798"/>
      <c r="D408" s="1552"/>
      <c r="E408" s="1609"/>
      <c r="F408" s="18"/>
      <c r="G408" s="18"/>
      <c r="H408" s="657"/>
      <c r="I408" s="657"/>
      <c r="J408" s="657"/>
      <c r="K408" s="657"/>
      <c r="L408" s="115">
        <f t="shared" si="264"/>
        <v>0</v>
      </c>
      <c r="M408" s="18">
        <f>SUMIF(Fenster!$D$10:$D$2160,Fassade!F408,Fenster!$J$10:$J$2160)</f>
        <v>0</v>
      </c>
      <c r="N408" s="18">
        <f>SUMIF(Fenster!$D$10:$D$2160,Fassade!F408,Fenster!$M$10:$M$2160)</f>
        <v>0</v>
      </c>
      <c r="O408" s="18">
        <f>SUMIFS(Fenster!$M$10:$M$2160,Fenster!$D$10:$D$2160,Fassade!F408,Fenster!$L$10:$L$2160,"&gt;2,5")</f>
        <v>0</v>
      </c>
      <c r="P408" s="18">
        <f>SUMIF(Fenster!$D$10:$D$2160,Fassade!F408,Fenster!$K$10:$K$2160)</f>
        <v>0</v>
      </c>
      <c r="Q408" s="18">
        <f t="shared" si="265"/>
        <v>0</v>
      </c>
      <c r="R408" s="187">
        <f t="shared" si="266"/>
        <v>0</v>
      </c>
      <c r="S408" s="1596"/>
      <c r="T408" s="1606"/>
      <c r="U408" s="1202" t="s">
        <v>665</v>
      </c>
      <c r="V408" s="1008">
        <f>IF(V406="Ja",(Q412+V407)*$V$9,0)</f>
        <v>0</v>
      </c>
      <c r="W408" s="1008">
        <f>IF(W406="Ja",(Q412+W407)*$V$9,0)</f>
        <v>0</v>
      </c>
      <c r="X408" s="1003">
        <f>IF(X406="Ja",(Q412+X407)*$V$9,0)</f>
        <v>0</v>
      </c>
    </row>
    <row r="409" spans="2:24">
      <c r="B409" s="234" t="s">
        <v>672</v>
      </c>
      <c r="C409" s="123"/>
      <c r="D409" s="1552"/>
      <c r="E409" s="1609"/>
      <c r="F409" s="18"/>
      <c r="G409" s="18"/>
      <c r="H409" s="657"/>
      <c r="I409" s="657"/>
      <c r="J409" s="657"/>
      <c r="K409" s="657"/>
      <c r="L409" s="115">
        <f t="shared" si="264"/>
        <v>0</v>
      </c>
      <c r="M409" s="18">
        <f>SUMIF(Fenster!$D$10:$D$2160,Fassade!F409,Fenster!$J$10:$J$2160)</f>
        <v>0</v>
      </c>
      <c r="N409" s="18">
        <f>SUMIF(Fenster!$D$10:$D$2160,Fassade!F409,Fenster!$M$10:$M$2160)</f>
        <v>0</v>
      </c>
      <c r="O409" s="18">
        <f>SUMIFS(Fenster!$M$10:$M$2160,Fenster!$D$10:$D$2160,Fassade!F409,Fenster!$L$10:$L$2160,"&gt;2,5")</f>
        <v>0</v>
      </c>
      <c r="P409" s="18">
        <f>SUMIF(Fenster!$D$10:$D$2160,Fassade!F409,Fenster!$K$10:$K$2160)</f>
        <v>0</v>
      </c>
      <c r="Q409" s="18">
        <f t="shared" si="265"/>
        <v>0</v>
      </c>
      <c r="R409" s="187">
        <f t="shared" si="266"/>
        <v>0</v>
      </c>
      <c r="S409" s="1596"/>
      <c r="T409" s="1606"/>
      <c r="U409" s="1203" t="s">
        <v>667</v>
      </c>
      <c r="V409" s="1008">
        <f>IF(V406="Ja",(R412+V407)*$V$9,0)</f>
        <v>0</v>
      </c>
      <c r="W409" s="1008">
        <f>IF(W406="Ja",(R412+W407)*$V$9,0)</f>
        <v>0</v>
      </c>
      <c r="X409" s="1003">
        <f>IF(X406="Ja",(R412+X407)*$V$9,0)</f>
        <v>0</v>
      </c>
    </row>
    <row r="410" spans="2:24">
      <c r="B410" s="131"/>
      <c r="C410" s="377"/>
      <c r="D410" s="1552"/>
      <c r="E410" s="1609"/>
      <c r="F410" s="18"/>
      <c r="G410" s="18"/>
      <c r="H410" s="657"/>
      <c r="I410" s="657"/>
      <c r="J410" s="657"/>
      <c r="K410" s="657"/>
      <c r="L410" s="115">
        <f t="shared" si="264"/>
        <v>0</v>
      </c>
      <c r="M410" s="18">
        <f>SUMIF(Fenster!$D$10:$D$2160,Fassade!F410,Fenster!$J$10:$J$2160)</f>
        <v>0</v>
      </c>
      <c r="N410" s="18">
        <f>SUMIF(Fenster!$D$10:$D$2160,Fassade!F410,Fenster!$M$10:$M$2160)</f>
        <v>0</v>
      </c>
      <c r="O410" s="18">
        <f>SUMIFS(Fenster!$M$10:$M$2160,Fenster!$D$10:$D$2160,Fassade!F410,Fenster!$L$10:$L$2160,"&gt;2,5")</f>
        <v>0</v>
      </c>
      <c r="P410" s="18">
        <f>SUMIF(Fenster!$D$10:$D$2160,Fassade!F410,Fenster!$K$10:$K$2160)</f>
        <v>0</v>
      </c>
      <c r="Q410" s="18">
        <f t="shared" si="265"/>
        <v>0</v>
      </c>
      <c r="R410" s="187">
        <f t="shared" si="266"/>
        <v>0</v>
      </c>
      <c r="S410" s="1596"/>
      <c r="T410" s="1606"/>
      <c r="U410" s="1204" t="s">
        <v>689</v>
      </c>
      <c r="V410" s="1002"/>
      <c r="W410" s="1009"/>
      <c r="X410" s="1010"/>
    </row>
    <row r="411" spans="2:24">
      <c r="B411" s="131"/>
      <c r="C411" s="377"/>
      <c r="D411" s="1552"/>
      <c r="E411" s="1609"/>
      <c r="F411" s="18"/>
      <c r="G411" s="18"/>
      <c r="H411" s="657"/>
      <c r="I411" s="657"/>
      <c r="J411" s="657"/>
      <c r="K411" s="657"/>
      <c r="L411" s="115">
        <f t="shared" si="264"/>
        <v>0</v>
      </c>
      <c r="M411" s="18">
        <f>SUMIF(Fenster!$D$10:$D$2160,Fassade!F411,Fenster!$J$10:$J$2160)</f>
        <v>0</v>
      </c>
      <c r="N411" s="18">
        <f>SUMIF(Fenster!$D$10:$D$2160,Fassade!F411,Fenster!$M$10:$M$2160)</f>
        <v>0</v>
      </c>
      <c r="O411" s="18">
        <f>SUMIFS(Fenster!$M$10:$M$2160,Fenster!$D$10:$D$2160,Fassade!F411,Fenster!$L$10:$L$2160,"&gt;2,5")</f>
        <v>0</v>
      </c>
      <c r="P411" s="18">
        <f>SUMIF(Fenster!$D$10:$D$2160,Fassade!F411,Fenster!$K$10:$K$2160)</f>
        <v>0</v>
      </c>
      <c r="Q411" s="18">
        <f t="shared" si="265"/>
        <v>0</v>
      </c>
      <c r="R411" s="187">
        <f t="shared" si="266"/>
        <v>0</v>
      </c>
      <c r="S411" s="1596"/>
      <c r="T411" s="1606"/>
      <c r="U411" s="1212" t="s">
        <v>671</v>
      </c>
      <c r="V411" s="1586"/>
      <c r="W411" s="1586"/>
      <c r="X411" s="1589"/>
    </row>
    <row r="412" spans="2:24">
      <c r="B412" s="131"/>
      <c r="C412" s="377"/>
      <c r="D412" s="1552"/>
      <c r="E412" s="1609"/>
      <c r="F412" s="1612" t="s">
        <v>187</v>
      </c>
      <c r="G412" s="18"/>
      <c r="H412" s="657"/>
      <c r="I412" s="657"/>
      <c r="J412" s="657"/>
      <c r="K412" s="657"/>
      <c r="L412" s="1614">
        <f t="shared" ref="L412" si="267">SUM(L402:L411)</f>
        <v>0</v>
      </c>
      <c r="M412" s="1477">
        <f t="shared" ref="M412" si="268">SUM(M402:M411)</f>
        <v>0</v>
      </c>
      <c r="N412" s="1477">
        <f t="shared" ref="N412" si="269">SUM(N402:N411)</f>
        <v>0</v>
      </c>
      <c r="O412" s="1477">
        <f t="shared" ref="O412" si="270">SUM(O402:O411)</f>
        <v>0</v>
      </c>
      <c r="P412" s="1477">
        <f t="shared" ref="P412" si="271">SUM(P402:P411)</f>
        <v>0</v>
      </c>
      <c r="Q412" s="1477">
        <f t="shared" ref="Q412" si="272">SUM(Q402:Q411)</f>
        <v>0</v>
      </c>
      <c r="R412" s="1483">
        <f>SUM(R402:R411)</f>
        <v>0</v>
      </c>
      <c r="S412" s="1596"/>
      <c r="T412" s="1606"/>
      <c r="U412" s="1213"/>
      <c r="V412" s="1587"/>
      <c r="W412" s="1587"/>
      <c r="X412" s="1590"/>
    </row>
    <row r="413" spans="2:24" ht="17.399999999999999" thickBot="1">
      <c r="B413" s="796"/>
      <c r="C413" s="722"/>
      <c r="D413" s="1610"/>
      <c r="E413" s="1611"/>
      <c r="F413" s="1613"/>
      <c r="G413" s="788"/>
      <c r="H413" s="788"/>
      <c r="I413" s="788"/>
      <c r="J413" s="788"/>
      <c r="K413" s="788"/>
      <c r="L413" s="1615"/>
      <c r="M413" s="1592"/>
      <c r="N413" s="1592"/>
      <c r="O413" s="1592"/>
      <c r="P413" s="1592"/>
      <c r="Q413" s="1592"/>
      <c r="R413" s="1605"/>
      <c r="S413" s="1598"/>
      <c r="T413" s="1607"/>
      <c r="U413" s="1209"/>
      <c r="V413" s="1588"/>
      <c r="W413" s="1588"/>
      <c r="X413" s="1591"/>
    </row>
    <row r="414" spans="2:24" ht="57" customHeight="1">
      <c r="B414" s="792" t="s">
        <v>710</v>
      </c>
      <c r="C414" s="797"/>
      <c r="D414" s="1619" t="e" vm="12">
        <v>#VALUE!</v>
      </c>
      <c r="E414" s="1620"/>
      <c r="F414" s="784" t="s">
        <v>296</v>
      </c>
      <c r="G414" s="229" t="s">
        <v>272</v>
      </c>
      <c r="H414" s="229" t="s">
        <v>300</v>
      </c>
      <c r="I414" s="229" t="s">
        <v>301</v>
      </c>
      <c r="J414" s="177" t="s">
        <v>652</v>
      </c>
      <c r="K414" s="177" t="s">
        <v>653</v>
      </c>
      <c r="L414" s="785" t="s">
        <v>654</v>
      </c>
      <c r="M414" s="785" t="s">
        <v>655</v>
      </c>
      <c r="N414" s="785" t="s">
        <v>656</v>
      </c>
      <c r="O414" s="785" t="s">
        <v>657</v>
      </c>
      <c r="P414" s="785" t="s">
        <v>658</v>
      </c>
      <c r="Q414" s="785" t="s">
        <v>659</v>
      </c>
      <c r="R414" s="786" t="s">
        <v>660</v>
      </c>
      <c r="S414" s="1594"/>
      <c r="T414" s="1608"/>
      <c r="U414" s="1200" t="s">
        <v>661</v>
      </c>
      <c r="V414" s="995" t="str" cm="1">
        <f t="array" ref="V414">_xlfn.XLOOKUP(U414&amp;Allgemein!$C$45,Fassadenpositionen[[#Headers],[WDVS:]]&amp;Fassadenpositionen[Position Fassade],Fassadenpositionen[WDVS:],"",0,1)</f>
        <v>Nein</v>
      </c>
      <c r="W414" s="995" t="str" cm="1">
        <f t="array" ref="W414">_xlfn.XLOOKUP(U414&amp;Allgemein!$C$61,Fassadenpositionen[[#Headers],[WDVS:]]&amp;Fassadenpositionen[Position Fassade],Fassadenpositionen[WDVS:],"",0,1)</f>
        <v>Nein</v>
      </c>
      <c r="X414" s="996" t="str" cm="1">
        <f t="array" ref="X414">_xlfn.XLOOKUP(U414&amp;Allgemein!$C$77,Fassadenpositionen[[#Headers],[WDVS:]]&amp;Fassadenpositionen[Position Fassade],Fassadenpositionen[WDVS:],"",0,1)</f>
        <v>Nein</v>
      </c>
    </row>
    <row r="415" spans="2:24">
      <c r="B415" s="120" t="s">
        <v>662</v>
      </c>
      <c r="C415" s="364"/>
      <c r="D415" s="1552"/>
      <c r="E415" s="1609"/>
      <c r="F415" s="18"/>
      <c r="G415" s="18"/>
      <c r="H415" s="657"/>
      <c r="I415" s="657"/>
      <c r="J415" s="657"/>
      <c r="K415" s="657"/>
      <c r="L415" s="115">
        <f t="shared" ref="L415:L424" si="273">H415*I415+J415</f>
        <v>0</v>
      </c>
      <c r="M415" s="18">
        <f>SUMIF(Fenster!$D$10:$D$2160,Fassade!F415,Fenster!$J$10:$J$2160)</f>
        <v>0</v>
      </c>
      <c r="N415" s="18">
        <f>SUMIF(Fenster!$D$10:$D$2160,Fassade!F415,Fenster!$M$10:$M$2160)</f>
        <v>0</v>
      </c>
      <c r="O415" s="18">
        <f>SUMIFS(Fenster!$M$10:$M$2160,Fenster!$D$10:$D$2160,Fassade!F415,Fenster!$L$10:$L$2160,"&gt;2,5")</f>
        <v>0</v>
      </c>
      <c r="P415" s="18">
        <f>SUMIF(Fenster!$D$10:$D$2160,Fassade!F415,Fenster!$K$10:$K$2160)</f>
        <v>0</v>
      </c>
      <c r="Q415" s="18">
        <f t="shared" ref="Q415:Q424" si="274">L415-O415</f>
        <v>0</v>
      </c>
      <c r="R415" s="187">
        <f t="shared" ref="R415:R424" si="275">L415-N415</f>
        <v>0</v>
      </c>
      <c r="S415" s="1596"/>
      <c r="T415" s="1606"/>
      <c r="U415" s="1201" t="s">
        <v>663</v>
      </c>
      <c r="V415" s="997">
        <v>0</v>
      </c>
      <c r="W415" s="952">
        <v>0</v>
      </c>
      <c r="X415" s="988">
        <v>0</v>
      </c>
    </row>
    <row r="416" spans="2:24">
      <c r="B416" s="131" t="s">
        <v>674</v>
      </c>
      <c r="C416" s="364"/>
      <c r="D416" s="1552"/>
      <c r="E416" s="1609"/>
      <c r="F416" s="18"/>
      <c r="G416" s="18"/>
      <c r="H416" s="657"/>
      <c r="I416" s="657"/>
      <c r="J416" s="657"/>
      <c r="K416" s="657"/>
      <c r="L416" s="115">
        <f t="shared" si="273"/>
        <v>0</v>
      </c>
      <c r="M416" s="18">
        <f>SUMIF(Fenster!$D$10:$D$2160,Fassade!F416,Fenster!$J$10:$J$2160)</f>
        <v>0</v>
      </c>
      <c r="N416" s="18">
        <f>SUMIF(Fenster!$D$10:$D$2160,Fassade!F416,Fenster!$M$10:$M$2160)</f>
        <v>0</v>
      </c>
      <c r="O416" s="18">
        <f>SUMIFS(Fenster!$M$10:$M$2160,Fenster!$D$10:$D$2160,Fassade!F416,Fenster!$L$10:$L$2160,"&gt;2,5")</f>
        <v>0</v>
      </c>
      <c r="P416" s="18">
        <f>SUMIF(Fenster!$D$10:$D$2160,Fassade!F416,Fenster!$K$10:$K$2160)</f>
        <v>0</v>
      </c>
      <c r="Q416" s="18">
        <f t="shared" si="274"/>
        <v>0</v>
      </c>
      <c r="R416" s="187">
        <f t="shared" si="275"/>
        <v>0</v>
      </c>
      <c r="S416" s="1596"/>
      <c r="T416" s="1606"/>
      <c r="U416" s="1202" t="s">
        <v>665</v>
      </c>
      <c r="V416" s="998">
        <f>IF(V414="Ja",(Q425+V415)*$V$9,0)</f>
        <v>0</v>
      </c>
      <c r="W416" s="958">
        <f>IF(W414="Ja",(Q425+W415)*$V$9,0)</f>
        <v>0</v>
      </c>
      <c r="X416" s="999">
        <f>IF(X414="Ja",(Q425+X415)*$V$9,0)</f>
        <v>0</v>
      </c>
    </row>
    <row r="417" spans="2:24">
      <c r="B417" s="131" t="s">
        <v>675</v>
      </c>
      <c r="C417" s="798"/>
      <c r="D417" s="1552"/>
      <c r="E417" s="1609"/>
      <c r="F417" s="18"/>
      <c r="G417" s="18"/>
      <c r="H417" s="657"/>
      <c r="I417" s="657"/>
      <c r="J417" s="657"/>
      <c r="K417" s="657"/>
      <c r="L417" s="115">
        <f t="shared" si="273"/>
        <v>0</v>
      </c>
      <c r="M417" s="18">
        <f>SUMIF(Fenster!$D$10:$D$2160,Fassade!F417,Fenster!$J$10:$J$2160)</f>
        <v>0</v>
      </c>
      <c r="N417" s="18">
        <f>SUMIF(Fenster!$D$10:$D$2160,Fassade!F417,Fenster!$M$10:$M$2160)</f>
        <v>0</v>
      </c>
      <c r="O417" s="18">
        <f>SUMIFS(Fenster!$M$10:$M$2160,Fenster!$D$10:$D$2160,Fassade!F417,Fenster!$L$10:$L$2160,"&gt;2,5")</f>
        <v>0</v>
      </c>
      <c r="P417" s="18">
        <f>SUMIF(Fenster!$D$10:$D$2160,Fassade!F417,Fenster!$K$10:$K$2160)</f>
        <v>0</v>
      </c>
      <c r="Q417" s="18">
        <f t="shared" si="274"/>
        <v>0</v>
      </c>
      <c r="R417" s="187">
        <f t="shared" si="275"/>
        <v>0</v>
      </c>
      <c r="S417" s="1596"/>
      <c r="T417" s="1606"/>
      <c r="U417" s="1203" t="s">
        <v>667</v>
      </c>
      <c r="V417" s="998">
        <f>IF(V414="Ja",(R425+V415)*$V$9,0)</f>
        <v>0</v>
      </c>
      <c r="W417" s="958">
        <f>IF(W414="Ja",(R425+W415)*$V$9,0)</f>
        <v>0</v>
      </c>
      <c r="X417" s="999">
        <f>IF(X414="Ja",(R425+X415)*$V$9,0)</f>
        <v>0</v>
      </c>
    </row>
    <row r="418" spans="2:24">
      <c r="B418" s="131" t="s">
        <v>711</v>
      </c>
      <c r="C418" s="798"/>
      <c r="D418" s="1552"/>
      <c r="E418" s="1609"/>
      <c r="F418" s="18"/>
      <c r="G418" s="18"/>
      <c r="H418" s="657"/>
      <c r="I418" s="657"/>
      <c r="J418" s="657"/>
      <c r="K418" s="657"/>
      <c r="L418" s="115">
        <f t="shared" si="273"/>
        <v>0</v>
      </c>
      <c r="M418" s="18">
        <f>SUMIF(Fenster!$D$10:$D$2160,Fassade!F418,Fenster!$J$10:$J$2160)</f>
        <v>0</v>
      </c>
      <c r="N418" s="18">
        <f>SUMIF(Fenster!$D$10:$D$2160,Fassade!F418,Fenster!$M$10:$M$2160)</f>
        <v>0</v>
      </c>
      <c r="O418" s="18">
        <f>SUMIFS(Fenster!$M$10:$M$2160,Fenster!$D$10:$D$2160,Fassade!F418,Fenster!$L$10:$L$2160,"&gt;2,5")</f>
        <v>0</v>
      </c>
      <c r="P418" s="18">
        <f>SUMIF(Fenster!$D$10:$D$2160,Fassade!F418,Fenster!$K$10:$K$2160)</f>
        <v>0</v>
      </c>
      <c r="Q418" s="18">
        <f t="shared" si="274"/>
        <v>0</v>
      </c>
      <c r="R418" s="187">
        <f t="shared" si="275"/>
        <v>0</v>
      </c>
      <c r="S418" s="1596"/>
      <c r="T418" s="1606"/>
      <c r="U418" s="1204" t="s">
        <v>669</v>
      </c>
      <c r="V418" s="958" t="str">
        <f>Allgemein!$D$45</f>
        <v>-</v>
      </c>
      <c r="W418" s="958" t="str">
        <f>Allgemein!$D$61</f>
        <v>-</v>
      </c>
      <c r="X418" s="1000" t="str">
        <f>Allgemein!$D$77</f>
        <v>-</v>
      </c>
    </row>
    <row r="419" spans="2:24" ht="18.600000000000001">
      <c r="B419" s="131" t="s">
        <v>686</v>
      </c>
      <c r="C419" s="798"/>
      <c r="D419" s="1552"/>
      <c r="E419" s="1609"/>
      <c r="F419" s="18"/>
      <c r="G419" s="18"/>
      <c r="H419" s="657"/>
      <c r="I419" s="657"/>
      <c r="J419" s="657"/>
      <c r="K419" s="657"/>
      <c r="L419" s="115">
        <f t="shared" si="273"/>
        <v>0</v>
      </c>
      <c r="M419" s="18">
        <f>SUMIF(Fenster!$D$10:$D$2160,Fassade!F419,Fenster!$J$10:$J$2160)</f>
        <v>0</v>
      </c>
      <c r="N419" s="18">
        <f>SUMIF(Fenster!$D$10:$D$2160,Fassade!F419,Fenster!$M$10:$M$2160)</f>
        <v>0</v>
      </c>
      <c r="O419" s="18">
        <f>SUMIFS(Fenster!$M$10:$M$2160,Fenster!$D$10:$D$2160,Fassade!F419,Fenster!$L$10:$L$2160,"&gt;2,5")</f>
        <v>0</v>
      </c>
      <c r="P419" s="18">
        <f>SUMIF(Fenster!$D$10:$D$2160,Fassade!F419,Fenster!$K$10:$K$2160)</f>
        <v>0</v>
      </c>
      <c r="Q419" s="18">
        <f t="shared" si="274"/>
        <v>0</v>
      </c>
      <c r="R419" s="187">
        <f t="shared" si="275"/>
        <v>0</v>
      </c>
      <c r="S419" s="1596"/>
      <c r="T419" s="1606"/>
      <c r="U419" s="1210" t="s">
        <v>685</v>
      </c>
      <c r="V419" s="1005" t="str" cm="1">
        <f t="array" ref="V419">_xlfn.XLOOKUP(U419&amp;Allgemein!$C$45,Fassadenpositionen[[#Headers],[Einblasdämmung:]]&amp;Fassadenpositionen[Position Fassade],Fassadenpositionen[Einblasdämmung:],"",0,1)</f>
        <v>Nein</v>
      </c>
      <c r="W419" s="1006" t="str" cm="1">
        <f t="array" ref="W419">_xlfn.XLOOKUP(U419&amp;Allgemein!$C$61,Fassadenpositionen[[#Headers],[Einblasdämmung:]]&amp;Fassadenpositionen[Position Fassade],Fassadenpositionen[Einblasdämmung:],"",0,1)</f>
        <v>Nein</v>
      </c>
      <c r="X419" s="996" t="str" cm="1">
        <f t="array" ref="X419">_xlfn.XLOOKUP(U419&amp;Allgemein!$C$77,Fassadenpositionen[[#Headers],[Einblasdämmung:]]&amp;Fassadenpositionen[Position Fassade],Fassadenpositionen[Einblasdämmung:],"",0,1)</f>
        <v>Nein</v>
      </c>
    </row>
    <row r="420" spans="2:24">
      <c r="B420" s="131" t="s">
        <v>668</v>
      </c>
      <c r="C420" s="798"/>
      <c r="D420" s="1552"/>
      <c r="E420" s="1609"/>
      <c r="F420" s="18"/>
      <c r="G420" s="18"/>
      <c r="H420" s="657"/>
      <c r="I420" s="657"/>
      <c r="J420" s="657"/>
      <c r="K420" s="657"/>
      <c r="L420" s="115">
        <f t="shared" si="273"/>
        <v>0</v>
      </c>
      <c r="M420" s="18">
        <f>SUMIF(Fenster!$D$10:$D$2160,Fassade!F420,Fenster!$J$10:$J$2160)</f>
        <v>0</v>
      </c>
      <c r="N420" s="18">
        <f>SUMIF(Fenster!$D$10:$D$2160,Fassade!F420,Fenster!$M$10:$M$2160)</f>
        <v>0</v>
      </c>
      <c r="O420" s="18">
        <f>SUMIFS(Fenster!$M$10:$M$2160,Fenster!$D$10:$D$2160,Fassade!F420,Fenster!$L$10:$L$2160,"&gt;2,5")</f>
        <v>0</v>
      </c>
      <c r="P420" s="18">
        <f>SUMIF(Fenster!$D$10:$D$2160,Fassade!F420,Fenster!$K$10:$K$2160)</f>
        <v>0</v>
      </c>
      <c r="Q420" s="18">
        <f t="shared" si="274"/>
        <v>0</v>
      </c>
      <c r="R420" s="187">
        <f t="shared" si="275"/>
        <v>0</v>
      </c>
      <c r="S420" s="1596"/>
      <c r="T420" s="1606"/>
      <c r="U420" s="1211" t="s">
        <v>663</v>
      </c>
      <c r="V420" s="1001">
        <v>0</v>
      </c>
      <c r="W420" s="1007">
        <v>0</v>
      </c>
      <c r="X420" s="1003">
        <v>0</v>
      </c>
    </row>
    <row r="421" spans="2:24">
      <c r="B421" s="234" t="s">
        <v>670</v>
      </c>
      <c r="C421" s="798"/>
      <c r="D421" s="1552"/>
      <c r="E421" s="1609"/>
      <c r="F421" s="18"/>
      <c r="G421" s="18"/>
      <c r="H421" s="657"/>
      <c r="I421" s="657"/>
      <c r="J421" s="657"/>
      <c r="K421" s="657"/>
      <c r="L421" s="115">
        <f t="shared" si="273"/>
        <v>0</v>
      </c>
      <c r="M421" s="18">
        <f>SUMIF(Fenster!$D$10:$D$2160,Fassade!F421,Fenster!$J$10:$J$2160)</f>
        <v>0</v>
      </c>
      <c r="N421" s="18">
        <f>SUMIF(Fenster!$D$10:$D$2160,Fassade!F421,Fenster!$M$10:$M$2160)</f>
        <v>0</v>
      </c>
      <c r="O421" s="18">
        <f>SUMIFS(Fenster!$M$10:$M$2160,Fenster!$D$10:$D$2160,Fassade!F421,Fenster!$L$10:$L$2160,"&gt;2,5")</f>
        <v>0</v>
      </c>
      <c r="P421" s="18">
        <f>SUMIF(Fenster!$D$10:$D$2160,Fassade!F421,Fenster!$K$10:$K$2160)</f>
        <v>0</v>
      </c>
      <c r="Q421" s="18">
        <f t="shared" si="274"/>
        <v>0</v>
      </c>
      <c r="R421" s="187">
        <f t="shared" si="275"/>
        <v>0</v>
      </c>
      <c r="S421" s="1596"/>
      <c r="T421" s="1606"/>
      <c r="U421" s="1202" t="s">
        <v>665</v>
      </c>
      <c r="V421" s="1008">
        <f>IF(V419="Ja",(Q425+V420)*$V$9,0)</f>
        <v>0</v>
      </c>
      <c r="W421" s="1008">
        <f>IF(W419="Ja",(Q425+W420)*$V$9,0)</f>
        <v>0</v>
      </c>
      <c r="X421" s="1003">
        <f>IF(X419="Ja",(Q425+X420)*$V$9,0)</f>
        <v>0</v>
      </c>
    </row>
    <row r="422" spans="2:24">
      <c r="B422" s="234" t="s">
        <v>672</v>
      </c>
      <c r="C422" s="123"/>
      <c r="D422" s="1552"/>
      <c r="E422" s="1609"/>
      <c r="F422" s="18"/>
      <c r="G422" s="18"/>
      <c r="H422" s="657"/>
      <c r="I422" s="657"/>
      <c r="J422" s="657"/>
      <c r="K422" s="657"/>
      <c r="L422" s="115">
        <f t="shared" si="273"/>
        <v>0</v>
      </c>
      <c r="M422" s="18">
        <f>SUMIF(Fenster!$D$10:$D$2160,Fassade!F422,Fenster!$J$10:$J$2160)</f>
        <v>0</v>
      </c>
      <c r="N422" s="18">
        <f>SUMIF(Fenster!$D$10:$D$2160,Fassade!F422,Fenster!$M$10:$M$2160)</f>
        <v>0</v>
      </c>
      <c r="O422" s="18">
        <f>SUMIFS(Fenster!$M$10:$M$2160,Fenster!$D$10:$D$2160,Fassade!F422,Fenster!$L$10:$L$2160,"&gt;2,5")</f>
        <v>0</v>
      </c>
      <c r="P422" s="18">
        <f>SUMIF(Fenster!$D$10:$D$2160,Fassade!F422,Fenster!$K$10:$K$2160)</f>
        <v>0</v>
      </c>
      <c r="Q422" s="18">
        <f t="shared" si="274"/>
        <v>0</v>
      </c>
      <c r="R422" s="187">
        <f t="shared" si="275"/>
        <v>0</v>
      </c>
      <c r="S422" s="1596"/>
      <c r="T422" s="1606"/>
      <c r="U422" s="1203" t="s">
        <v>667</v>
      </c>
      <c r="V422" s="1008">
        <f>IF(V419="Ja",(R425+V420)*$V$9,0)</f>
        <v>0</v>
      </c>
      <c r="W422" s="1008">
        <f>IF(W419="Ja",(R425+W420)*$V$9,0)</f>
        <v>0</v>
      </c>
      <c r="X422" s="1003">
        <f>IF(X419="Ja",(R425+X420)*$V$9,0)</f>
        <v>0</v>
      </c>
    </row>
    <row r="423" spans="2:24">
      <c r="B423" s="131"/>
      <c r="C423" s="377"/>
      <c r="D423" s="1552"/>
      <c r="E423" s="1609"/>
      <c r="F423" s="18"/>
      <c r="G423" s="18"/>
      <c r="H423" s="657"/>
      <c r="I423" s="657"/>
      <c r="J423" s="657"/>
      <c r="K423" s="657"/>
      <c r="L423" s="115">
        <f t="shared" si="273"/>
        <v>0</v>
      </c>
      <c r="M423" s="18">
        <f>SUMIF(Fenster!$D$10:$D$2160,Fassade!F423,Fenster!$J$10:$J$2160)</f>
        <v>0</v>
      </c>
      <c r="N423" s="18">
        <f>SUMIF(Fenster!$D$10:$D$2160,Fassade!F423,Fenster!$M$10:$M$2160)</f>
        <v>0</v>
      </c>
      <c r="O423" s="18">
        <f>SUMIFS(Fenster!$M$10:$M$2160,Fenster!$D$10:$D$2160,Fassade!F423,Fenster!$L$10:$L$2160,"&gt;2,5")</f>
        <v>0</v>
      </c>
      <c r="P423" s="18">
        <f>SUMIF(Fenster!$D$10:$D$2160,Fassade!F423,Fenster!$K$10:$K$2160)</f>
        <v>0</v>
      </c>
      <c r="Q423" s="18">
        <f t="shared" si="274"/>
        <v>0</v>
      </c>
      <c r="R423" s="187">
        <f t="shared" si="275"/>
        <v>0</v>
      </c>
      <c r="S423" s="1596"/>
      <c r="T423" s="1606"/>
      <c r="U423" s="1204" t="s">
        <v>689</v>
      </c>
      <c r="V423" s="1002"/>
      <c r="W423" s="1009"/>
      <c r="X423" s="1010"/>
    </row>
    <row r="424" spans="2:24">
      <c r="B424" s="131"/>
      <c r="C424" s="377"/>
      <c r="D424" s="1552"/>
      <c r="E424" s="1609"/>
      <c r="F424" s="18"/>
      <c r="G424" s="18"/>
      <c r="H424" s="657"/>
      <c r="I424" s="657"/>
      <c r="J424" s="657"/>
      <c r="K424" s="657"/>
      <c r="L424" s="115">
        <f t="shared" si="273"/>
        <v>0</v>
      </c>
      <c r="M424" s="18">
        <f>SUMIF(Fenster!$D$10:$D$2160,Fassade!F424,Fenster!$J$10:$J$2160)</f>
        <v>0</v>
      </c>
      <c r="N424" s="18">
        <f>SUMIF(Fenster!$D$10:$D$2160,Fassade!F424,Fenster!$M$10:$M$2160)</f>
        <v>0</v>
      </c>
      <c r="O424" s="18">
        <f>SUMIFS(Fenster!$M$10:$M$2160,Fenster!$D$10:$D$2160,Fassade!F424,Fenster!$L$10:$L$2160,"&gt;2,5")</f>
        <v>0</v>
      </c>
      <c r="P424" s="18">
        <f>SUMIF(Fenster!$D$10:$D$2160,Fassade!F424,Fenster!$K$10:$K$2160)</f>
        <v>0</v>
      </c>
      <c r="Q424" s="18">
        <f t="shared" si="274"/>
        <v>0</v>
      </c>
      <c r="R424" s="187">
        <f t="shared" si="275"/>
        <v>0</v>
      </c>
      <c r="S424" s="1596"/>
      <c r="T424" s="1606"/>
      <c r="U424" s="1212" t="s">
        <v>671</v>
      </c>
      <c r="V424" s="1586"/>
      <c r="W424" s="1586"/>
      <c r="X424" s="1589"/>
    </row>
    <row r="425" spans="2:24">
      <c r="B425" s="131"/>
      <c r="C425" s="377"/>
      <c r="D425" s="1552"/>
      <c r="E425" s="1609"/>
      <c r="F425" s="1612" t="s">
        <v>187</v>
      </c>
      <c r="G425" s="18"/>
      <c r="H425" s="657"/>
      <c r="I425" s="657"/>
      <c r="J425" s="657"/>
      <c r="K425" s="657"/>
      <c r="L425" s="1614">
        <f t="shared" ref="L425" si="276">SUM(L415:L424)</f>
        <v>0</v>
      </c>
      <c r="M425" s="1477">
        <f t="shared" ref="M425" si="277">SUM(M415:M424)</f>
        <v>0</v>
      </c>
      <c r="N425" s="1477">
        <f t="shared" ref="N425" si="278">SUM(N415:N424)</f>
        <v>0</v>
      </c>
      <c r="O425" s="1477">
        <f t="shared" ref="O425" si="279">SUM(O415:O424)</f>
        <v>0</v>
      </c>
      <c r="P425" s="1477">
        <f t="shared" ref="P425" si="280">SUM(P415:P424)</f>
        <v>0</v>
      </c>
      <c r="Q425" s="1477">
        <f t="shared" ref="Q425" si="281">SUM(Q415:Q424)</f>
        <v>0</v>
      </c>
      <c r="R425" s="1483">
        <f>SUM(R415:R424)</f>
        <v>0</v>
      </c>
      <c r="S425" s="1596"/>
      <c r="T425" s="1606"/>
      <c r="U425" s="1213"/>
      <c r="V425" s="1587"/>
      <c r="W425" s="1587"/>
      <c r="X425" s="1590"/>
    </row>
    <row r="426" spans="2:24" ht="17.399999999999999" thickBot="1">
      <c r="B426" s="796"/>
      <c r="C426" s="722"/>
      <c r="D426" s="1610"/>
      <c r="E426" s="1611"/>
      <c r="F426" s="1613"/>
      <c r="G426" s="788"/>
      <c r="H426" s="788"/>
      <c r="I426" s="788"/>
      <c r="J426" s="788"/>
      <c r="K426" s="788"/>
      <c r="L426" s="1615"/>
      <c r="M426" s="1592"/>
      <c r="N426" s="1592"/>
      <c r="O426" s="1592"/>
      <c r="P426" s="1592"/>
      <c r="Q426" s="1592"/>
      <c r="R426" s="1605"/>
      <c r="S426" s="1598"/>
      <c r="T426" s="1607"/>
      <c r="U426" s="1209"/>
      <c r="V426" s="1588"/>
      <c r="W426" s="1588"/>
      <c r="X426" s="1591"/>
    </row>
    <row r="427" spans="2:24" ht="57" customHeight="1">
      <c r="B427" s="135" t="s">
        <v>710</v>
      </c>
      <c r="C427" s="123"/>
      <c r="D427" s="1552" t="e" vm="12">
        <v>#VALUE!</v>
      </c>
      <c r="E427" s="1609"/>
      <c r="F427" s="229" t="s">
        <v>296</v>
      </c>
      <c r="G427" s="229" t="s">
        <v>272</v>
      </c>
      <c r="H427" s="229" t="s">
        <v>300</v>
      </c>
      <c r="I427" s="229" t="s">
        <v>301</v>
      </c>
      <c r="J427" s="177" t="s">
        <v>652</v>
      </c>
      <c r="K427" s="177" t="s">
        <v>653</v>
      </c>
      <c r="L427" s="177" t="s">
        <v>654</v>
      </c>
      <c r="M427" s="177" t="s">
        <v>655</v>
      </c>
      <c r="N427" s="177" t="s">
        <v>656</v>
      </c>
      <c r="O427" s="177" t="s">
        <v>657</v>
      </c>
      <c r="P427" s="177" t="s">
        <v>658</v>
      </c>
      <c r="Q427" s="177" t="s">
        <v>659</v>
      </c>
      <c r="R427" s="713" t="s">
        <v>660</v>
      </c>
      <c r="S427" s="1600"/>
      <c r="T427" s="1606"/>
      <c r="U427" s="1200" t="s">
        <v>661</v>
      </c>
      <c r="V427" s="995" t="str" cm="1">
        <f t="array" ref="V427">_xlfn.XLOOKUP(U427&amp;Allgemein!$C$45,Fassadenpositionen[[#Headers],[WDVS:]]&amp;Fassadenpositionen[Position Fassade],Fassadenpositionen[WDVS:],"",0,1)</f>
        <v>Nein</v>
      </c>
      <c r="W427" s="995" t="str" cm="1">
        <f t="array" ref="W427">_xlfn.XLOOKUP(U427&amp;Allgemein!$C$61,Fassadenpositionen[[#Headers],[WDVS:]]&amp;Fassadenpositionen[Position Fassade],Fassadenpositionen[WDVS:],"",0,1)</f>
        <v>Nein</v>
      </c>
      <c r="X427" s="996" t="str" cm="1">
        <f t="array" ref="X427">_xlfn.XLOOKUP(U427&amp;Allgemein!$C$77,Fassadenpositionen[[#Headers],[WDVS:]]&amp;Fassadenpositionen[Position Fassade],Fassadenpositionen[WDVS:],"",0,1)</f>
        <v>Nein</v>
      </c>
    </row>
    <row r="428" spans="2:24">
      <c r="B428" s="120" t="s">
        <v>662</v>
      </c>
      <c r="C428" s="364"/>
      <c r="D428" s="1552"/>
      <c r="E428" s="1609"/>
      <c r="F428" s="18"/>
      <c r="G428" s="18"/>
      <c r="H428" s="657"/>
      <c r="I428" s="657"/>
      <c r="J428" s="657"/>
      <c r="K428" s="657"/>
      <c r="L428" s="115">
        <f t="shared" ref="L428:L437" si="282">H428*I428+J428</f>
        <v>0</v>
      </c>
      <c r="M428" s="18">
        <f>SUMIF(Fenster!$D$10:$D$2160,Fassade!F428,Fenster!$J$10:$J$2160)</f>
        <v>0</v>
      </c>
      <c r="N428" s="18">
        <f>SUMIF(Fenster!$D$10:$D$2160,Fassade!F428,Fenster!$M$10:$M$2160)</f>
        <v>0</v>
      </c>
      <c r="O428" s="18">
        <f>SUMIFS(Fenster!$M$10:$M$2160,Fenster!$D$10:$D$2160,Fassade!F428,Fenster!$L$10:$L$2160,"&gt;2,5")</f>
        <v>0</v>
      </c>
      <c r="P428" s="18">
        <f>SUMIF(Fenster!$D$10:$D$2160,Fassade!F428,Fenster!$K$10:$K$2160)</f>
        <v>0</v>
      </c>
      <c r="Q428" s="18">
        <f t="shared" ref="Q428:Q437" si="283">L428-O428</f>
        <v>0</v>
      </c>
      <c r="R428" s="187">
        <f t="shared" ref="R428:R437" si="284">L428-N428</f>
        <v>0</v>
      </c>
      <c r="S428" s="1596"/>
      <c r="T428" s="1606"/>
      <c r="U428" s="1201" t="s">
        <v>663</v>
      </c>
      <c r="V428" s="997">
        <v>0</v>
      </c>
      <c r="W428" s="952">
        <v>0</v>
      </c>
      <c r="X428" s="988">
        <v>0</v>
      </c>
    </row>
    <row r="429" spans="2:24">
      <c r="B429" s="131" t="s">
        <v>674</v>
      </c>
      <c r="C429" s="364"/>
      <c r="D429" s="1552"/>
      <c r="E429" s="1609"/>
      <c r="F429" s="18"/>
      <c r="G429" s="18"/>
      <c r="H429" s="657"/>
      <c r="I429" s="657"/>
      <c r="J429" s="657"/>
      <c r="K429" s="657"/>
      <c r="L429" s="115">
        <f t="shared" si="282"/>
        <v>0</v>
      </c>
      <c r="M429" s="18">
        <f>SUMIF(Fenster!$D$10:$D$2160,Fassade!F429,Fenster!$J$10:$J$2160)</f>
        <v>0</v>
      </c>
      <c r="N429" s="18">
        <f>SUMIF(Fenster!$D$10:$D$2160,Fassade!F429,Fenster!$M$10:$M$2160)</f>
        <v>0</v>
      </c>
      <c r="O429" s="18">
        <f>SUMIFS(Fenster!$M$10:$M$2160,Fenster!$D$10:$D$2160,Fassade!F429,Fenster!$L$10:$L$2160,"&gt;2,5")</f>
        <v>0</v>
      </c>
      <c r="P429" s="18">
        <f>SUMIF(Fenster!$D$10:$D$2160,Fassade!F429,Fenster!$K$10:$K$2160)</f>
        <v>0</v>
      </c>
      <c r="Q429" s="18">
        <f t="shared" si="283"/>
        <v>0</v>
      </c>
      <c r="R429" s="187">
        <f t="shared" si="284"/>
        <v>0</v>
      </c>
      <c r="S429" s="1596"/>
      <c r="T429" s="1606"/>
      <c r="U429" s="1202" t="s">
        <v>665</v>
      </c>
      <c r="V429" s="998">
        <f>IF(V427="Ja",(Q438+V428)*$V$9,0)</f>
        <v>0</v>
      </c>
      <c r="W429" s="958">
        <f>IF(W427="Ja",(Q438+W428)*$V$9,0)</f>
        <v>0</v>
      </c>
      <c r="X429" s="999">
        <f>IF(X427="Ja",(Q438+X428)*$V$9,0)</f>
        <v>0</v>
      </c>
    </row>
    <row r="430" spans="2:24">
      <c r="B430" s="131" t="s">
        <v>675</v>
      </c>
      <c r="C430" s="798"/>
      <c r="D430" s="1552"/>
      <c r="E430" s="1609"/>
      <c r="F430" s="18"/>
      <c r="G430" s="18"/>
      <c r="H430" s="657"/>
      <c r="I430" s="657"/>
      <c r="J430" s="657"/>
      <c r="K430" s="657"/>
      <c r="L430" s="115">
        <f t="shared" si="282"/>
        <v>0</v>
      </c>
      <c r="M430" s="18">
        <f>SUMIF(Fenster!$D$10:$D$2160,Fassade!F430,Fenster!$J$10:$J$2160)</f>
        <v>0</v>
      </c>
      <c r="N430" s="18">
        <f>SUMIF(Fenster!$D$10:$D$2160,Fassade!F430,Fenster!$M$10:$M$2160)</f>
        <v>0</v>
      </c>
      <c r="O430" s="18">
        <f>SUMIFS(Fenster!$M$10:$M$2160,Fenster!$D$10:$D$2160,Fassade!F430,Fenster!$L$10:$L$2160,"&gt;2,5")</f>
        <v>0</v>
      </c>
      <c r="P430" s="18">
        <f>SUMIF(Fenster!$D$10:$D$2160,Fassade!F430,Fenster!$K$10:$K$2160)</f>
        <v>0</v>
      </c>
      <c r="Q430" s="18">
        <f t="shared" si="283"/>
        <v>0</v>
      </c>
      <c r="R430" s="187">
        <f t="shared" si="284"/>
        <v>0</v>
      </c>
      <c r="S430" s="1596"/>
      <c r="T430" s="1606"/>
      <c r="U430" s="1203" t="s">
        <v>667</v>
      </c>
      <c r="V430" s="998">
        <f>IF(V427="Ja",(R438+V428)*$V$9,0)</f>
        <v>0</v>
      </c>
      <c r="W430" s="958">
        <f>IF(W427="Ja",(R438+W428)*$V$9,0)</f>
        <v>0</v>
      </c>
      <c r="X430" s="999">
        <f>IF(X427="Ja",(R438+X428)*$V$9,0)</f>
        <v>0</v>
      </c>
    </row>
    <row r="431" spans="2:24">
      <c r="B431" s="131" t="s">
        <v>711</v>
      </c>
      <c r="C431" s="798"/>
      <c r="D431" s="1552"/>
      <c r="E431" s="1609"/>
      <c r="F431" s="18"/>
      <c r="G431" s="18"/>
      <c r="H431" s="657"/>
      <c r="I431" s="657"/>
      <c r="J431" s="657"/>
      <c r="K431" s="657"/>
      <c r="L431" s="115">
        <f t="shared" si="282"/>
        <v>0</v>
      </c>
      <c r="M431" s="18">
        <f>SUMIF(Fenster!$D$10:$D$2160,Fassade!F431,Fenster!$J$10:$J$2160)</f>
        <v>0</v>
      </c>
      <c r="N431" s="18">
        <f>SUMIF(Fenster!$D$10:$D$2160,Fassade!F431,Fenster!$M$10:$M$2160)</f>
        <v>0</v>
      </c>
      <c r="O431" s="18">
        <f>SUMIFS(Fenster!$M$10:$M$2160,Fenster!$D$10:$D$2160,Fassade!F431,Fenster!$L$10:$L$2160,"&gt;2,5")</f>
        <v>0</v>
      </c>
      <c r="P431" s="18">
        <f>SUMIF(Fenster!$D$10:$D$2160,Fassade!F431,Fenster!$K$10:$K$2160)</f>
        <v>0</v>
      </c>
      <c r="Q431" s="18">
        <f t="shared" si="283"/>
        <v>0</v>
      </c>
      <c r="R431" s="187">
        <f t="shared" si="284"/>
        <v>0</v>
      </c>
      <c r="S431" s="1596"/>
      <c r="T431" s="1606"/>
      <c r="U431" s="1204" t="s">
        <v>669</v>
      </c>
      <c r="V431" s="958" t="str">
        <f>Allgemein!$D$45</f>
        <v>-</v>
      </c>
      <c r="W431" s="958" t="str">
        <f>Allgemein!$D$61</f>
        <v>-</v>
      </c>
      <c r="X431" s="1000" t="str">
        <f>Allgemein!$D$77</f>
        <v>-</v>
      </c>
    </row>
    <row r="432" spans="2:24" ht="18.600000000000001">
      <c r="B432" s="131" t="s">
        <v>686</v>
      </c>
      <c r="C432" s="798"/>
      <c r="D432" s="1552"/>
      <c r="E432" s="1609"/>
      <c r="F432" s="18"/>
      <c r="G432" s="18"/>
      <c r="H432" s="657"/>
      <c r="I432" s="657"/>
      <c r="J432" s="657"/>
      <c r="K432" s="657"/>
      <c r="L432" s="115">
        <f t="shared" si="282"/>
        <v>0</v>
      </c>
      <c r="M432" s="18">
        <f>SUMIF(Fenster!$D$10:$D$2160,Fassade!F432,Fenster!$J$10:$J$2160)</f>
        <v>0</v>
      </c>
      <c r="N432" s="18">
        <f>SUMIF(Fenster!$D$10:$D$2160,Fassade!F432,Fenster!$M$10:$M$2160)</f>
        <v>0</v>
      </c>
      <c r="O432" s="18">
        <f>SUMIFS(Fenster!$M$10:$M$2160,Fenster!$D$10:$D$2160,Fassade!F432,Fenster!$L$10:$L$2160,"&gt;2,5")</f>
        <v>0</v>
      </c>
      <c r="P432" s="18">
        <f>SUMIF(Fenster!$D$10:$D$2160,Fassade!F432,Fenster!$K$10:$K$2160)</f>
        <v>0</v>
      </c>
      <c r="Q432" s="18">
        <f t="shared" si="283"/>
        <v>0</v>
      </c>
      <c r="R432" s="187">
        <f t="shared" si="284"/>
        <v>0</v>
      </c>
      <c r="S432" s="1596"/>
      <c r="T432" s="1606"/>
      <c r="U432" s="1210" t="s">
        <v>685</v>
      </c>
      <c r="V432" s="1005" t="str" cm="1">
        <f t="array" ref="V432">_xlfn.XLOOKUP(U432&amp;Allgemein!$C$45,Fassadenpositionen[[#Headers],[Einblasdämmung:]]&amp;Fassadenpositionen[Position Fassade],Fassadenpositionen[Einblasdämmung:],"",0,1)</f>
        <v>Nein</v>
      </c>
      <c r="W432" s="1006" t="str" cm="1">
        <f t="array" ref="W432">_xlfn.XLOOKUP(U432&amp;Allgemein!$C$61,Fassadenpositionen[[#Headers],[Einblasdämmung:]]&amp;Fassadenpositionen[Position Fassade],Fassadenpositionen[Einblasdämmung:],"",0,1)</f>
        <v>Nein</v>
      </c>
      <c r="X432" s="996" t="str" cm="1">
        <f t="array" ref="X432">_xlfn.XLOOKUP(U432&amp;Allgemein!$C$77,Fassadenpositionen[[#Headers],[Einblasdämmung:]]&amp;Fassadenpositionen[Position Fassade],Fassadenpositionen[Einblasdämmung:],"",0,1)</f>
        <v>Nein</v>
      </c>
    </row>
    <row r="433" spans="2:24">
      <c r="B433" s="131" t="s">
        <v>668</v>
      </c>
      <c r="C433" s="798"/>
      <c r="D433" s="1552"/>
      <c r="E433" s="1609"/>
      <c r="F433" s="18"/>
      <c r="G433" s="18"/>
      <c r="H433" s="657"/>
      <c r="I433" s="657"/>
      <c r="J433" s="657"/>
      <c r="K433" s="657"/>
      <c r="L433" s="115">
        <f t="shared" si="282"/>
        <v>0</v>
      </c>
      <c r="M433" s="18">
        <f>SUMIF(Fenster!$D$10:$D$2160,Fassade!F433,Fenster!$J$10:$J$2160)</f>
        <v>0</v>
      </c>
      <c r="N433" s="18">
        <f>SUMIF(Fenster!$D$10:$D$2160,Fassade!F433,Fenster!$M$10:$M$2160)</f>
        <v>0</v>
      </c>
      <c r="O433" s="18">
        <f>SUMIFS(Fenster!$M$10:$M$2160,Fenster!$D$10:$D$2160,Fassade!F433,Fenster!$L$10:$L$2160,"&gt;2,5")</f>
        <v>0</v>
      </c>
      <c r="P433" s="18">
        <f>SUMIF(Fenster!$D$10:$D$2160,Fassade!F433,Fenster!$K$10:$K$2160)</f>
        <v>0</v>
      </c>
      <c r="Q433" s="18">
        <f t="shared" si="283"/>
        <v>0</v>
      </c>
      <c r="R433" s="187">
        <f t="shared" si="284"/>
        <v>0</v>
      </c>
      <c r="S433" s="1596"/>
      <c r="T433" s="1606"/>
      <c r="U433" s="1211" t="s">
        <v>663</v>
      </c>
      <c r="V433" s="1001">
        <v>0</v>
      </c>
      <c r="W433" s="1007">
        <v>0</v>
      </c>
      <c r="X433" s="1003">
        <v>0</v>
      </c>
    </row>
    <row r="434" spans="2:24">
      <c r="B434" s="234" t="s">
        <v>670</v>
      </c>
      <c r="C434" s="798"/>
      <c r="D434" s="1552"/>
      <c r="E434" s="1609"/>
      <c r="F434" s="18"/>
      <c r="G434" s="18"/>
      <c r="H434" s="657"/>
      <c r="I434" s="657"/>
      <c r="J434" s="657"/>
      <c r="K434" s="657"/>
      <c r="L434" s="115">
        <f t="shared" si="282"/>
        <v>0</v>
      </c>
      <c r="M434" s="18">
        <f>SUMIF(Fenster!$D$10:$D$2160,Fassade!F434,Fenster!$J$10:$J$2160)</f>
        <v>0</v>
      </c>
      <c r="N434" s="18">
        <f>SUMIF(Fenster!$D$10:$D$2160,Fassade!F434,Fenster!$M$10:$M$2160)</f>
        <v>0</v>
      </c>
      <c r="O434" s="18">
        <f>SUMIFS(Fenster!$M$10:$M$2160,Fenster!$D$10:$D$2160,Fassade!F434,Fenster!$L$10:$L$2160,"&gt;2,5")</f>
        <v>0</v>
      </c>
      <c r="P434" s="18">
        <f>SUMIF(Fenster!$D$10:$D$2160,Fassade!F434,Fenster!$K$10:$K$2160)</f>
        <v>0</v>
      </c>
      <c r="Q434" s="18">
        <f t="shared" si="283"/>
        <v>0</v>
      </c>
      <c r="R434" s="187">
        <f t="shared" si="284"/>
        <v>0</v>
      </c>
      <c r="S434" s="1596"/>
      <c r="T434" s="1606"/>
      <c r="U434" s="1202" t="s">
        <v>665</v>
      </c>
      <c r="V434" s="1008">
        <f>IF(V432="Ja",(Q438+V433)*$V$9,0)</f>
        <v>0</v>
      </c>
      <c r="W434" s="1008">
        <f>IF(W432="Ja",(Q438+W433)*$V$9,0)</f>
        <v>0</v>
      </c>
      <c r="X434" s="1003">
        <f>IF(X432="Ja",(Q438+X433)*$V$9,0)</f>
        <v>0</v>
      </c>
    </row>
    <row r="435" spans="2:24">
      <c r="B435" s="234" t="s">
        <v>672</v>
      </c>
      <c r="C435" s="123"/>
      <c r="D435" s="1552"/>
      <c r="E435" s="1609"/>
      <c r="F435" s="18"/>
      <c r="G435" s="18"/>
      <c r="H435" s="657"/>
      <c r="I435" s="657"/>
      <c r="J435" s="657"/>
      <c r="K435" s="657"/>
      <c r="L435" s="115">
        <f t="shared" si="282"/>
        <v>0</v>
      </c>
      <c r="M435" s="18">
        <f>SUMIF(Fenster!$D$10:$D$2160,Fassade!F435,Fenster!$J$10:$J$2160)</f>
        <v>0</v>
      </c>
      <c r="N435" s="18">
        <f>SUMIF(Fenster!$D$10:$D$2160,Fassade!F435,Fenster!$M$10:$M$2160)</f>
        <v>0</v>
      </c>
      <c r="O435" s="18">
        <f>SUMIFS(Fenster!$M$10:$M$2160,Fenster!$D$10:$D$2160,Fassade!F435,Fenster!$L$10:$L$2160,"&gt;2,5")</f>
        <v>0</v>
      </c>
      <c r="P435" s="18">
        <f>SUMIF(Fenster!$D$10:$D$2160,Fassade!F435,Fenster!$K$10:$K$2160)</f>
        <v>0</v>
      </c>
      <c r="Q435" s="18">
        <f t="shared" si="283"/>
        <v>0</v>
      </c>
      <c r="R435" s="187">
        <f t="shared" si="284"/>
        <v>0</v>
      </c>
      <c r="S435" s="1596"/>
      <c r="T435" s="1606"/>
      <c r="U435" s="1203" t="s">
        <v>667</v>
      </c>
      <c r="V435" s="1008">
        <f>IF(V432="Ja",(R438+V433)*$V$9,0)</f>
        <v>0</v>
      </c>
      <c r="W435" s="1008">
        <f>IF(W432="Ja",(R438+W433)*$V$9,0)</f>
        <v>0</v>
      </c>
      <c r="X435" s="1003">
        <f>IF(X432="Ja",(R438+X433)*$V$9,0)</f>
        <v>0</v>
      </c>
    </row>
    <row r="436" spans="2:24">
      <c r="B436" s="131"/>
      <c r="C436" s="377"/>
      <c r="D436" s="1552"/>
      <c r="E436" s="1609"/>
      <c r="F436" s="18"/>
      <c r="G436" s="18"/>
      <c r="H436" s="657"/>
      <c r="I436" s="657"/>
      <c r="J436" s="657"/>
      <c r="K436" s="657"/>
      <c r="L436" s="115">
        <f t="shared" si="282"/>
        <v>0</v>
      </c>
      <c r="M436" s="18">
        <f>SUMIF(Fenster!$D$10:$D$2160,Fassade!F436,Fenster!$J$10:$J$2160)</f>
        <v>0</v>
      </c>
      <c r="N436" s="18">
        <f>SUMIF(Fenster!$D$10:$D$2160,Fassade!F436,Fenster!$M$10:$M$2160)</f>
        <v>0</v>
      </c>
      <c r="O436" s="18">
        <f>SUMIFS(Fenster!$M$10:$M$2160,Fenster!$D$10:$D$2160,Fassade!F436,Fenster!$L$10:$L$2160,"&gt;2,5")</f>
        <v>0</v>
      </c>
      <c r="P436" s="18">
        <f>SUMIF(Fenster!$D$10:$D$2160,Fassade!F436,Fenster!$K$10:$K$2160)</f>
        <v>0</v>
      </c>
      <c r="Q436" s="18">
        <f t="shared" si="283"/>
        <v>0</v>
      </c>
      <c r="R436" s="187">
        <f t="shared" si="284"/>
        <v>0</v>
      </c>
      <c r="S436" s="1596"/>
      <c r="T436" s="1606"/>
      <c r="U436" s="1204" t="s">
        <v>689</v>
      </c>
      <c r="V436" s="1002"/>
      <c r="W436" s="1009"/>
      <c r="X436" s="1010"/>
    </row>
    <row r="437" spans="2:24">
      <c r="B437" s="131"/>
      <c r="C437" s="377"/>
      <c r="D437" s="1552"/>
      <c r="E437" s="1609"/>
      <c r="F437" s="18"/>
      <c r="G437" s="18"/>
      <c r="H437" s="657"/>
      <c r="I437" s="657"/>
      <c r="J437" s="657"/>
      <c r="K437" s="657"/>
      <c r="L437" s="115">
        <f t="shared" si="282"/>
        <v>0</v>
      </c>
      <c r="M437" s="18">
        <f>SUMIF(Fenster!$D$10:$D$2160,Fassade!F437,Fenster!$J$10:$J$2160)</f>
        <v>0</v>
      </c>
      <c r="N437" s="18">
        <f>SUMIF(Fenster!$D$10:$D$2160,Fassade!F437,Fenster!$M$10:$M$2160)</f>
        <v>0</v>
      </c>
      <c r="O437" s="18">
        <f>SUMIFS(Fenster!$M$10:$M$2160,Fenster!$D$10:$D$2160,Fassade!F437,Fenster!$L$10:$L$2160,"&gt;2,5")</f>
        <v>0</v>
      </c>
      <c r="P437" s="18">
        <f>SUMIF(Fenster!$D$10:$D$2160,Fassade!F437,Fenster!$K$10:$K$2160)</f>
        <v>0</v>
      </c>
      <c r="Q437" s="18">
        <f t="shared" si="283"/>
        <v>0</v>
      </c>
      <c r="R437" s="187">
        <f t="shared" si="284"/>
        <v>0</v>
      </c>
      <c r="S437" s="1596"/>
      <c r="T437" s="1606"/>
      <c r="U437" s="1212" t="s">
        <v>671</v>
      </c>
      <c r="V437" s="1586"/>
      <c r="W437" s="1586"/>
      <c r="X437" s="1589"/>
    </row>
    <row r="438" spans="2:24">
      <c r="B438" s="131"/>
      <c r="C438" s="377"/>
      <c r="D438" s="1552"/>
      <c r="E438" s="1609"/>
      <c r="F438" s="1612" t="s">
        <v>187</v>
      </c>
      <c r="G438" s="18"/>
      <c r="H438" s="657"/>
      <c r="I438" s="657"/>
      <c r="J438" s="657"/>
      <c r="K438" s="657"/>
      <c r="L438" s="1614">
        <f t="shared" ref="L438" si="285">SUM(L428:L437)</f>
        <v>0</v>
      </c>
      <c r="M438" s="1477">
        <f t="shared" ref="M438" si="286">SUM(M428:M437)</f>
        <v>0</v>
      </c>
      <c r="N438" s="1477">
        <f t="shared" ref="N438" si="287">SUM(N428:N437)</f>
        <v>0</v>
      </c>
      <c r="O438" s="1477">
        <f t="shared" ref="O438" si="288">SUM(O428:O437)</f>
        <v>0</v>
      </c>
      <c r="P438" s="1477">
        <f t="shared" ref="P438" si="289">SUM(P428:P437)</f>
        <v>0</v>
      </c>
      <c r="Q438" s="1477">
        <f t="shared" ref="Q438" si="290">SUM(Q428:Q437)</f>
        <v>0</v>
      </c>
      <c r="R438" s="1483">
        <f>SUM(R428:R437)</f>
        <v>0</v>
      </c>
      <c r="S438" s="1596"/>
      <c r="T438" s="1606"/>
      <c r="U438" s="1213"/>
      <c r="V438" s="1587"/>
      <c r="W438" s="1587"/>
      <c r="X438" s="1590"/>
    </row>
    <row r="439" spans="2:24" ht="17.399999999999999" thickBot="1">
      <c r="B439" s="796"/>
      <c r="C439" s="722"/>
      <c r="D439" s="1610"/>
      <c r="E439" s="1611"/>
      <c r="F439" s="1613"/>
      <c r="G439" s="788"/>
      <c r="H439" s="788"/>
      <c r="I439" s="788"/>
      <c r="J439" s="788"/>
      <c r="K439" s="788"/>
      <c r="L439" s="1615"/>
      <c r="M439" s="1592"/>
      <c r="N439" s="1592"/>
      <c r="O439" s="1592"/>
      <c r="P439" s="1592"/>
      <c r="Q439" s="1592"/>
      <c r="R439" s="1605"/>
      <c r="S439" s="1598"/>
      <c r="T439" s="1607"/>
      <c r="U439" s="1209"/>
      <c r="V439" s="1588"/>
      <c r="W439" s="1588"/>
      <c r="X439" s="1591"/>
    </row>
    <row r="440" spans="2:24" ht="57" customHeight="1">
      <c r="B440" s="135" t="s">
        <v>712</v>
      </c>
      <c r="C440" s="123"/>
      <c r="D440" s="1552" t="e" vm="13">
        <v>#VALUE!</v>
      </c>
      <c r="E440" s="1609"/>
      <c r="F440" s="229" t="s">
        <v>296</v>
      </c>
      <c r="G440" s="229" t="s">
        <v>272</v>
      </c>
      <c r="H440" s="229" t="s">
        <v>300</v>
      </c>
      <c r="I440" s="229" t="s">
        <v>301</v>
      </c>
      <c r="J440" s="177" t="s">
        <v>652</v>
      </c>
      <c r="K440" s="177" t="s">
        <v>653</v>
      </c>
      <c r="L440" s="177" t="s">
        <v>654</v>
      </c>
      <c r="M440" s="177" t="s">
        <v>655</v>
      </c>
      <c r="N440" s="177" t="s">
        <v>656</v>
      </c>
      <c r="O440" s="177" t="s">
        <v>657</v>
      </c>
      <c r="P440" s="177" t="s">
        <v>658</v>
      </c>
      <c r="Q440" s="177" t="s">
        <v>659</v>
      </c>
      <c r="R440" s="713" t="s">
        <v>660</v>
      </c>
      <c r="S440" s="1600"/>
      <c r="T440" s="1606"/>
      <c r="U440" s="1200" t="s">
        <v>661</v>
      </c>
      <c r="V440" s="995" t="str" cm="1">
        <f t="array" ref="V440">_xlfn.XLOOKUP(U440&amp;Allgemein!$C$45,Fassadenpositionen[[#Headers],[WDVS:]]&amp;Fassadenpositionen[Position Fassade],Fassadenpositionen[WDVS:],"",0,1)</f>
        <v>Nein</v>
      </c>
      <c r="W440" s="995" t="str" cm="1">
        <f t="array" ref="W440">_xlfn.XLOOKUP(U440&amp;Allgemein!$C$61,Fassadenpositionen[[#Headers],[WDVS:]]&amp;Fassadenpositionen[Position Fassade],Fassadenpositionen[WDVS:],"",0,1)</f>
        <v>Nein</v>
      </c>
      <c r="X440" s="996" t="str" cm="1">
        <f t="array" ref="X440">_xlfn.XLOOKUP(U440&amp;Allgemein!$C$77,Fassadenpositionen[[#Headers],[WDVS:]]&amp;Fassadenpositionen[Position Fassade],Fassadenpositionen[WDVS:],"",0,1)</f>
        <v>Nein</v>
      </c>
    </row>
    <row r="441" spans="2:24">
      <c r="B441" s="120" t="s">
        <v>662</v>
      </c>
      <c r="C441" s="364"/>
      <c r="D441" s="1552"/>
      <c r="E441" s="1609"/>
      <c r="F441" s="18"/>
      <c r="G441" s="18"/>
      <c r="H441" s="657"/>
      <c r="I441" s="657"/>
      <c r="J441" s="657"/>
      <c r="K441" s="657"/>
      <c r="L441" s="115">
        <f t="shared" ref="L441:L450" si="291">H441*I441+J441</f>
        <v>0</v>
      </c>
      <c r="M441" s="18">
        <f>SUMIF(Fenster!$D$10:$D$2160,Fassade!F441,Fenster!$J$10:$J$2160)</f>
        <v>0</v>
      </c>
      <c r="N441" s="18">
        <f>SUMIF(Fenster!$D$10:$D$2160,Fassade!F441,Fenster!$M$10:$M$2160)</f>
        <v>0</v>
      </c>
      <c r="O441" s="18">
        <f>SUMIFS(Fenster!$M$10:$M$2160,Fenster!$D$10:$D$2160,Fassade!F441,Fenster!$L$10:$L$2160,"&gt;2,5")</f>
        <v>0</v>
      </c>
      <c r="P441" s="18">
        <f>SUMIF(Fenster!$D$10:$D$2160,Fassade!F441,Fenster!$K$10:$K$2160)</f>
        <v>0</v>
      </c>
      <c r="Q441" s="18">
        <f t="shared" ref="Q441:Q450" si="292">L441-O441</f>
        <v>0</v>
      </c>
      <c r="R441" s="187">
        <f t="shared" ref="R441:R450" si="293">L441-N441</f>
        <v>0</v>
      </c>
      <c r="S441" s="1596"/>
      <c r="T441" s="1606"/>
      <c r="U441" s="1201" t="s">
        <v>663</v>
      </c>
      <c r="V441" s="997">
        <v>0</v>
      </c>
      <c r="W441" s="952">
        <v>0</v>
      </c>
      <c r="X441" s="988">
        <v>0</v>
      </c>
    </row>
    <row r="442" spans="2:24">
      <c r="B442" s="131" t="s">
        <v>713</v>
      </c>
      <c r="C442" s="364"/>
      <c r="D442" s="1552"/>
      <c r="E442" s="1609"/>
      <c r="F442" s="18"/>
      <c r="G442" s="18"/>
      <c r="H442" s="657"/>
      <c r="I442" s="657"/>
      <c r="J442" s="657"/>
      <c r="K442" s="657"/>
      <c r="L442" s="115">
        <f t="shared" si="291"/>
        <v>0</v>
      </c>
      <c r="M442" s="18">
        <f>SUMIF(Fenster!$D$10:$D$2160,Fassade!F442,Fenster!$J$10:$J$2160)</f>
        <v>0</v>
      </c>
      <c r="N442" s="18">
        <f>SUMIF(Fenster!$D$10:$D$2160,Fassade!F442,Fenster!$M$10:$M$2160)</f>
        <v>0</v>
      </c>
      <c r="O442" s="18">
        <f>SUMIFS(Fenster!$M$10:$M$2160,Fenster!$D$10:$D$2160,Fassade!F442,Fenster!$L$10:$L$2160,"&gt;2,5")</f>
        <v>0</v>
      </c>
      <c r="P442" s="18">
        <f>SUMIF(Fenster!$D$10:$D$2160,Fassade!F442,Fenster!$K$10:$K$2160)</f>
        <v>0</v>
      </c>
      <c r="Q442" s="18">
        <f t="shared" si="292"/>
        <v>0</v>
      </c>
      <c r="R442" s="187">
        <f t="shared" si="293"/>
        <v>0</v>
      </c>
      <c r="S442" s="1596"/>
      <c r="T442" s="1606"/>
      <c r="U442" s="1202" t="s">
        <v>665</v>
      </c>
      <c r="V442" s="998">
        <f>IF(V440="Ja",(Q451+V441)*$V$9,0)</f>
        <v>0</v>
      </c>
      <c r="W442" s="958">
        <f>IF(W440="Ja",(Q451+W441)*$V$9,0)</f>
        <v>0</v>
      </c>
      <c r="X442" s="999">
        <f>IF(X440="Ja",(Q451+X441)*$V$9,0)</f>
        <v>0</v>
      </c>
    </row>
    <row r="443" spans="2:24">
      <c r="B443" s="131" t="s">
        <v>674</v>
      </c>
      <c r="C443" s="798"/>
      <c r="D443" s="1552"/>
      <c r="E443" s="1609"/>
      <c r="F443" s="18"/>
      <c r="G443" s="18"/>
      <c r="H443" s="657"/>
      <c r="I443" s="657"/>
      <c r="J443" s="657"/>
      <c r="K443" s="657"/>
      <c r="L443" s="115">
        <f t="shared" si="291"/>
        <v>0</v>
      </c>
      <c r="M443" s="18">
        <f>SUMIF(Fenster!$D$10:$D$2160,Fassade!F443,Fenster!$J$10:$J$2160)</f>
        <v>0</v>
      </c>
      <c r="N443" s="18">
        <f>SUMIF(Fenster!$D$10:$D$2160,Fassade!F443,Fenster!$M$10:$M$2160)</f>
        <v>0</v>
      </c>
      <c r="O443" s="18">
        <f>SUMIFS(Fenster!$M$10:$M$2160,Fenster!$D$10:$D$2160,Fassade!F443,Fenster!$L$10:$L$2160,"&gt;2,5")</f>
        <v>0</v>
      </c>
      <c r="P443" s="18">
        <f>SUMIF(Fenster!$D$10:$D$2160,Fassade!F443,Fenster!$K$10:$K$2160)</f>
        <v>0</v>
      </c>
      <c r="Q443" s="18">
        <f t="shared" si="292"/>
        <v>0</v>
      </c>
      <c r="R443" s="187">
        <f t="shared" si="293"/>
        <v>0</v>
      </c>
      <c r="S443" s="1596"/>
      <c r="T443" s="1606"/>
      <c r="U443" s="1203" t="s">
        <v>667</v>
      </c>
      <c r="V443" s="998">
        <f>IF(V440="Ja",(R451+V441)*$V$9,0)</f>
        <v>0</v>
      </c>
      <c r="W443" s="958">
        <f>IF(W440="Ja",(R451+W441)*$V$9,0)</f>
        <v>0</v>
      </c>
      <c r="X443" s="999">
        <f>IF(X440="Ja",(R451+X441)*$V$9,0)</f>
        <v>0</v>
      </c>
    </row>
    <row r="444" spans="2:24">
      <c r="B444" s="131" t="s">
        <v>675</v>
      </c>
      <c r="C444" s="798"/>
      <c r="D444" s="1552"/>
      <c r="E444" s="1609"/>
      <c r="F444" s="18"/>
      <c r="G444" s="18"/>
      <c r="H444" s="657"/>
      <c r="I444" s="657"/>
      <c r="J444" s="657"/>
      <c r="K444" s="657"/>
      <c r="L444" s="115">
        <f t="shared" si="291"/>
        <v>0</v>
      </c>
      <c r="M444" s="18">
        <f>SUMIF(Fenster!$D$10:$D$2160,Fassade!F444,Fenster!$J$10:$J$2160)</f>
        <v>0</v>
      </c>
      <c r="N444" s="18">
        <f>SUMIF(Fenster!$D$10:$D$2160,Fassade!F444,Fenster!$M$10:$M$2160)</f>
        <v>0</v>
      </c>
      <c r="O444" s="18">
        <f>SUMIFS(Fenster!$M$10:$M$2160,Fenster!$D$10:$D$2160,Fassade!F444,Fenster!$L$10:$L$2160,"&gt;2,5")</f>
        <v>0</v>
      </c>
      <c r="P444" s="18">
        <f>SUMIF(Fenster!$D$10:$D$2160,Fassade!F444,Fenster!$K$10:$K$2160)</f>
        <v>0</v>
      </c>
      <c r="Q444" s="18">
        <f t="shared" si="292"/>
        <v>0</v>
      </c>
      <c r="R444" s="187">
        <f t="shared" si="293"/>
        <v>0</v>
      </c>
      <c r="S444" s="1596"/>
      <c r="T444" s="1606"/>
      <c r="U444" s="1204" t="s">
        <v>669</v>
      </c>
      <c r="V444" s="958" t="str">
        <f>Allgemein!$D$45</f>
        <v>-</v>
      </c>
      <c r="W444" s="958" t="str">
        <f>Allgemein!$D$61</f>
        <v>-</v>
      </c>
      <c r="X444" s="1000" t="str">
        <f>Allgemein!$D$77</f>
        <v>-</v>
      </c>
    </row>
    <row r="445" spans="2:24" ht="18.600000000000001">
      <c r="B445" s="131" t="s">
        <v>711</v>
      </c>
      <c r="C445" s="798"/>
      <c r="D445" s="1552"/>
      <c r="E445" s="1609"/>
      <c r="F445" s="18"/>
      <c r="G445" s="18"/>
      <c r="H445" s="657"/>
      <c r="I445" s="657"/>
      <c r="J445" s="657"/>
      <c r="K445" s="657"/>
      <c r="L445" s="115">
        <f t="shared" si="291"/>
        <v>0</v>
      </c>
      <c r="M445" s="18">
        <f>SUMIF(Fenster!$D$10:$D$2160,Fassade!F445,Fenster!$J$10:$J$2160)</f>
        <v>0</v>
      </c>
      <c r="N445" s="18">
        <f>SUMIF(Fenster!$D$10:$D$2160,Fassade!F445,Fenster!$M$10:$M$2160)</f>
        <v>0</v>
      </c>
      <c r="O445" s="18">
        <f>SUMIFS(Fenster!$M$10:$M$2160,Fenster!$D$10:$D$2160,Fassade!F445,Fenster!$L$10:$L$2160,"&gt;2,5")</f>
        <v>0</v>
      </c>
      <c r="P445" s="18">
        <f>SUMIF(Fenster!$D$10:$D$2160,Fassade!F445,Fenster!$K$10:$K$2160)</f>
        <v>0</v>
      </c>
      <c r="Q445" s="18">
        <f t="shared" si="292"/>
        <v>0</v>
      </c>
      <c r="R445" s="187">
        <f t="shared" si="293"/>
        <v>0</v>
      </c>
      <c r="S445" s="1596"/>
      <c r="T445" s="1606"/>
      <c r="U445" s="1210" t="s">
        <v>685</v>
      </c>
      <c r="V445" s="1005" t="str" cm="1">
        <f t="array" ref="V445">_xlfn.XLOOKUP(U445&amp;Allgemein!$C$45,Fassadenpositionen[[#Headers],[Einblasdämmung:]]&amp;Fassadenpositionen[Position Fassade],Fassadenpositionen[Einblasdämmung:],"",0,1)</f>
        <v>Nein</v>
      </c>
      <c r="W445" s="1006" t="str" cm="1">
        <f t="array" ref="W445">_xlfn.XLOOKUP(U445&amp;Allgemein!$C$61,Fassadenpositionen[[#Headers],[Einblasdämmung:]]&amp;Fassadenpositionen[Position Fassade],Fassadenpositionen[Einblasdämmung:],"",0,1)</f>
        <v>Nein</v>
      </c>
      <c r="X445" s="996" t="str" cm="1">
        <f t="array" ref="X445">_xlfn.XLOOKUP(U445&amp;Allgemein!$C$77,Fassadenpositionen[[#Headers],[Einblasdämmung:]]&amp;Fassadenpositionen[Position Fassade],Fassadenpositionen[Einblasdämmung:],"",0,1)</f>
        <v>Nein</v>
      </c>
    </row>
    <row r="446" spans="2:24">
      <c r="B446" s="131" t="s">
        <v>668</v>
      </c>
      <c r="C446" s="798"/>
      <c r="D446" s="1552"/>
      <c r="E446" s="1609"/>
      <c r="F446" s="18"/>
      <c r="G446" s="18"/>
      <c r="H446" s="657"/>
      <c r="I446" s="657"/>
      <c r="J446" s="657"/>
      <c r="K446" s="657"/>
      <c r="L446" s="115">
        <f t="shared" si="291"/>
        <v>0</v>
      </c>
      <c r="M446" s="18">
        <f>SUMIF(Fenster!$D$10:$D$2160,Fassade!F446,Fenster!$J$10:$J$2160)</f>
        <v>0</v>
      </c>
      <c r="N446" s="18">
        <f>SUMIF(Fenster!$D$10:$D$2160,Fassade!F446,Fenster!$M$10:$M$2160)</f>
        <v>0</v>
      </c>
      <c r="O446" s="18">
        <f>SUMIFS(Fenster!$M$10:$M$2160,Fenster!$D$10:$D$2160,Fassade!F446,Fenster!$L$10:$L$2160,"&gt;2,5")</f>
        <v>0</v>
      </c>
      <c r="P446" s="18">
        <f>SUMIF(Fenster!$D$10:$D$2160,Fassade!F446,Fenster!$K$10:$K$2160)</f>
        <v>0</v>
      </c>
      <c r="Q446" s="18">
        <f t="shared" si="292"/>
        <v>0</v>
      </c>
      <c r="R446" s="187">
        <f t="shared" si="293"/>
        <v>0</v>
      </c>
      <c r="S446" s="1596"/>
      <c r="T446" s="1606"/>
      <c r="U446" s="1211" t="s">
        <v>663</v>
      </c>
      <c r="V446" s="1001">
        <v>0</v>
      </c>
      <c r="W446" s="1007">
        <v>0</v>
      </c>
      <c r="X446" s="1003">
        <v>0</v>
      </c>
    </row>
    <row r="447" spans="2:24">
      <c r="B447" s="234" t="s">
        <v>670</v>
      </c>
      <c r="C447" s="798"/>
      <c r="D447" s="1552"/>
      <c r="E447" s="1609"/>
      <c r="F447" s="18"/>
      <c r="G447" s="18"/>
      <c r="H447" s="657"/>
      <c r="I447" s="657"/>
      <c r="J447" s="657"/>
      <c r="K447" s="657"/>
      <c r="L447" s="115">
        <f t="shared" si="291"/>
        <v>0</v>
      </c>
      <c r="M447" s="18">
        <f>SUMIF(Fenster!$D$10:$D$2160,Fassade!F447,Fenster!$J$10:$J$2160)</f>
        <v>0</v>
      </c>
      <c r="N447" s="18">
        <f>SUMIF(Fenster!$D$10:$D$2160,Fassade!F447,Fenster!$M$10:$M$2160)</f>
        <v>0</v>
      </c>
      <c r="O447" s="18">
        <f>SUMIFS(Fenster!$M$10:$M$2160,Fenster!$D$10:$D$2160,Fassade!F447,Fenster!$L$10:$L$2160,"&gt;2,5")</f>
        <v>0</v>
      </c>
      <c r="P447" s="18">
        <f>SUMIF(Fenster!$D$10:$D$2160,Fassade!F447,Fenster!$K$10:$K$2160)</f>
        <v>0</v>
      </c>
      <c r="Q447" s="18">
        <f t="shared" si="292"/>
        <v>0</v>
      </c>
      <c r="R447" s="187">
        <f t="shared" si="293"/>
        <v>0</v>
      </c>
      <c r="S447" s="1596"/>
      <c r="T447" s="1606"/>
      <c r="U447" s="1202" t="s">
        <v>665</v>
      </c>
      <c r="V447" s="1008">
        <f>IF(V445="Ja",(Q451+V446)*$V$9,0)</f>
        <v>0</v>
      </c>
      <c r="W447" s="1008">
        <f>IF(W445="Ja",(Q451+W446)*$V$9,0)</f>
        <v>0</v>
      </c>
      <c r="X447" s="1003">
        <f>IF(X445="Ja",(Q451+X446)*$V$9,0)</f>
        <v>0</v>
      </c>
    </row>
    <row r="448" spans="2:24">
      <c r="B448" s="234" t="s">
        <v>672</v>
      </c>
      <c r="C448" s="123"/>
      <c r="D448" s="1552"/>
      <c r="E448" s="1609"/>
      <c r="F448" s="18"/>
      <c r="G448" s="18"/>
      <c r="H448" s="657"/>
      <c r="I448" s="657"/>
      <c r="J448" s="657"/>
      <c r="K448" s="657"/>
      <c r="L448" s="115">
        <f t="shared" si="291"/>
        <v>0</v>
      </c>
      <c r="M448" s="18">
        <f>SUMIF(Fenster!$D$10:$D$2160,Fassade!F448,Fenster!$J$10:$J$2160)</f>
        <v>0</v>
      </c>
      <c r="N448" s="18">
        <f>SUMIF(Fenster!$D$10:$D$2160,Fassade!F448,Fenster!$M$10:$M$2160)</f>
        <v>0</v>
      </c>
      <c r="O448" s="18">
        <f>SUMIFS(Fenster!$M$10:$M$2160,Fenster!$D$10:$D$2160,Fassade!F448,Fenster!$L$10:$L$2160,"&gt;2,5")</f>
        <v>0</v>
      </c>
      <c r="P448" s="18">
        <f>SUMIF(Fenster!$D$10:$D$2160,Fassade!F448,Fenster!$K$10:$K$2160)</f>
        <v>0</v>
      </c>
      <c r="Q448" s="18">
        <f t="shared" si="292"/>
        <v>0</v>
      </c>
      <c r="R448" s="187">
        <f t="shared" si="293"/>
        <v>0</v>
      </c>
      <c r="S448" s="1596"/>
      <c r="T448" s="1606"/>
      <c r="U448" s="1203" t="s">
        <v>667</v>
      </c>
      <c r="V448" s="1008">
        <f>IF(V445="Ja",(R451+V446)*$V$9,0)</f>
        <v>0</v>
      </c>
      <c r="W448" s="1008">
        <f>IF(W445="Ja",(R451+W446)*$V$9,0)</f>
        <v>0</v>
      </c>
      <c r="X448" s="1003">
        <f>IF(X445="Ja",(R451+X446)*$V$9,0)</f>
        <v>0</v>
      </c>
    </row>
    <row r="449" spans="2:24">
      <c r="B449" s="131"/>
      <c r="C449" s="377"/>
      <c r="D449" s="1552"/>
      <c r="E449" s="1609"/>
      <c r="F449" s="18"/>
      <c r="G449" s="18"/>
      <c r="H449" s="657"/>
      <c r="I449" s="657"/>
      <c r="J449" s="657"/>
      <c r="K449" s="657"/>
      <c r="L449" s="115">
        <f t="shared" si="291"/>
        <v>0</v>
      </c>
      <c r="M449" s="18">
        <f>SUMIF(Fenster!$D$10:$D$2160,Fassade!F449,Fenster!$J$10:$J$2160)</f>
        <v>0</v>
      </c>
      <c r="N449" s="18">
        <f>SUMIF(Fenster!$D$10:$D$2160,Fassade!F449,Fenster!$M$10:$M$2160)</f>
        <v>0</v>
      </c>
      <c r="O449" s="18">
        <f>SUMIFS(Fenster!$M$10:$M$2160,Fenster!$D$10:$D$2160,Fassade!F449,Fenster!$L$10:$L$2160,"&gt;2,5")</f>
        <v>0</v>
      </c>
      <c r="P449" s="18">
        <f>SUMIF(Fenster!$D$10:$D$2160,Fassade!F449,Fenster!$K$10:$K$2160)</f>
        <v>0</v>
      </c>
      <c r="Q449" s="18">
        <f t="shared" si="292"/>
        <v>0</v>
      </c>
      <c r="R449" s="187">
        <f t="shared" si="293"/>
        <v>0</v>
      </c>
      <c r="S449" s="1596"/>
      <c r="T449" s="1606"/>
      <c r="U449" s="1204" t="s">
        <v>689</v>
      </c>
      <c r="V449" s="1002"/>
      <c r="W449" s="1009"/>
      <c r="X449" s="1010"/>
    </row>
    <row r="450" spans="2:24">
      <c r="B450" s="131"/>
      <c r="C450" s="377"/>
      <c r="D450" s="1552"/>
      <c r="E450" s="1609"/>
      <c r="F450" s="18"/>
      <c r="G450" s="18"/>
      <c r="H450" s="657"/>
      <c r="I450" s="657"/>
      <c r="J450" s="657"/>
      <c r="K450" s="657"/>
      <c r="L450" s="115">
        <f t="shared" si="291"/>
        <v>0</v>
      </c>
      <c r="M450" s="18">
        <f>SUMIF(Fenster!$D$10:$D$2160,Fassade!F450,Fenster!$J$10:$J$2160)</f>
        <v>0</v>
      </c>
      <c r="N450" s="18">
        <f>SUMIF(Fenster!$D$10:$D$2160,Fassade!F450,Fenster!$M$10:$M$2160)</f>
        <v>0</v>
      </c>
      <c r="O450" s="18">
        <f>SUMIFS(Fenster!$M$10:$M$2160,Fenster!$D$10:$D$2160,Fassade!F450,Fenster!$L$10:$L$2160,"&gt;2,5")</f>
        <v>0</v>
      </c>
      <c r="P450" s="18">
        <f>SUMIF(Fenster!$D$10:$D$2160,Fassade!F450,Fenster!$K$10:$K$2160)</f>
        <v>0</v>
      </c>
      <c r="Q450" s="18">
        <f t="shared" si="292"/>
        <v>0</v>
      </c>
      <c r="R450" s="187">
        <f t="shared" si="293"/>
        <v>0</v>
      </c>
      <c r="S450" s="1596"/>
      <c r="T450" s="1606"/>
      <c r="U450" s="1212" t="s">
        <v>671</v>
      </c>
      <c r="V450" s="1586"/>
      <c r="W450" s="1586"/>
      <c r="X450" s="1589"/>
    </row>
    <row r="451" spans="2:24">
      <c r="B451" s="131"/>
      <c r="C451" s="377"/>
      <c r="D451" s="1552"/>
      <c r="E451" s="1609"/>
      <c r="F451" s="1612" t="s">
        <v>187</v>
      </c>
      <c r="G451" s="18"/>
      <c r="H451" s="657"/>
      <c r="I451" s="657"/>
      <c r="J451" s="657"/>
      <c r="K451" s="657"/>
      <c r="L451" s="1614">
        <f t="shared" ref="L451" si="294">SUM(L441:L450)</f>
        <v>0</v>
      </c>
      <c r="M451" s="1477">
        <f t="shared" ref="M451" si="295">SUM(M441:M450)</f>
        <v>0</v>
      </c>
      <c r="N451" s="1477">
        <f t="shared" ref="N451" si="296">SUM(N441:N450)</f>
        <v>0</v>
      </c>
      <c r="O451" s="1477">
        <f t="shared" ref="O451" si="297">SUM(O441:O450)</f>
        <v>0</v>
      </c>
      <c r="P451" s="1477">
        <f t="shared" ref="P451" si="298">SUM(P441:P450)</f>
        <v>0</v>
      </c>
      <c r="Q451" s="1477">
        <f t="shared" ref="Q451" si="299">SUM(Q441:Q450)</f>
        <v>0</v>
      </c>
      <c r="R451" s="1483">
        <f>SUM(R441:R450)</f>
        <v>0</v>
      </c>
      <c r="S451" s="1596"/>
      <c r="T451" s="1606"/>
      <c r="U451" s="1213"/>
      <c r="V451" s="1587"/>
      <c r="W451" s="1587"/>
      <c r="X451" s="1590"/>
    </row>
    <row r="452" spans="2:24" ht="17.399999999999999" thickBot="1">
      <c r="B452" s="796"/>
      <c r="C452" s="722"/>
      <c r="D452" s="1610"/>
      <c r="E452" s="1611"/>
      <c r="F452" s="1613"/>
      <c r="G452" s="788"/>
      <c r="H452" s="788"/>
      <c r="I452" s="788"/>
      <c r="J452" s="788"/>
      <c r="K452" s="788"/>
      <c r="L452" s="1615"/>
      <c r="M452" s="1592"/>
      <c r="N452" s="1592"/>
      <c r="O452" s="1592"/>
      <c r="P452" s="1592"/>
      <c r="Q452" s="1592"/>
      <c r="R452" s="1605"/>
      <c r="S452" s="1598"/>
      <c r="T452" s="1607"/>
      <c r="U452" s="1209"/>
      <c r="V452" s="1588"/>
      <c r="W452" s="1588"/>
      <c r="X452" s="1591"/>
    </row>
    <row r="453" spans="2:24" ht="57" customHeight="1">
      <c r="B453" s="135" t="s">
        <v>712</v>
      </c>
      <c r="C453" s="123"/>
      <c r="D453" s="1552" t="e" vm="13">
        <v>#VALUE!</v>
      </c>
      <c r="E453" s="1609"/>
      <c r="F453" s="229" t="s">
        <v>296</v>
      </c>
      <c r="G453" s="229" t="s">
        <v>272</v>
      </c>
      <c r="H453" s="229" t="s">
        <v>300</v>
      </c>
      <c r="I453" s="229" t="s">
        <v>301</v>
      </c>
      <c r="J453" s="177" t="s">
        <v>652</v>
      </c>
      <c r="K453" s="177" t="s">
        <v>653</v>
      </c>
      <c r="L453" s="177" t="s">
        <v>654</v>
      </c>
      <c r="M453" s="177" t="s">
        <v>655</v>
      </c>
      <c r="N453" s="177" t="s">
        <v>656</v>
      </c>
      <c r="O453" s="177" t="s">
        <v>657</v>
      </c>
      <c r="P453" s="177" t="s">
        <v>658</v>
      </c>
      <c r="Q453" s="177" t="s">
        <v>659</v>
      </c>
      <c r="R453" s="713" t="s">
        <v>660</v>
      </c>
      <c r="S453" s="1600"/>
      <c r="T453" s="1606"/>
      <c r="U453" s="1200" t="s">
        <v>661</v>
      </c>
      <c r="V453" s="995" t="str" cm="1">
        <f t="array" ref="V453">_xlfn.XLOOKUP(U453&amp;Allgemein!$C$45,Fassadenpositionen[[#Headers],[WDVS:]]&amp;Fassadenpositionen[Position Fassade],Fassadenpositionen[WDVS:],"",0,1)</f>
        <v>Nein</v>
      </c>
      <c r="W453" s="995" t="str" cm="1">
        <f t="array" ref="W453">_xlfn.XLOOKUP(U453&amp;Allgemein!$C$61,Fassadenpositionen[[#Headers],[WDVS:]]&amp;Fassadenpositionen[Position Fassade],Fassadenpositionen[WDVS:],"",0,1)</f>
        <v>Nein</v>
      </c>
      <c r="X453" s="996" t="str" cm="1">
        <f t="array" ref="X453">_xlfn.XLOOKUP(U453&amp;Allgemein!$C$77,Fassadenpositionen[[#Headers],[WDVS:]]&amp;Fassadenpositionen[Position Fassade],Fassadenpositionen[WDVS:],"",0,1)</f>
        <v>Nein</v>
      </c>
    </row>
    <row r="454" spans="2:24">
      <c r="B454" s="120" t="s">
        <v>662</v>
      </c>
      <c r="C454" s="364"/>
      <c r="D454" s="1552"/>
      <c r="E454" s="1609"/>
      <c r="F454" s="18"/>
      <c r="G454" s="18"/>
      <c r="H454" s="657"/>
      <c r="I454" s="657"/>
      <c r="J454" s="657"/>
      <c r="K454" s="657"/>
      <c r="L454" s="115">
        <f t="shared" ref="L454:L463" si="300">H454*I454+J454</f>
        <v>0</v>
      </c>
      <c r="M454" s="18">
        <f>SUMIF(Fenster!$D$10:$D$2160,Fassade!F454,Fenster!$J$10:$J$2160)</f>
        <v>0</v>
      </c>
      <c r="N454" s="18">
        <f>SUMIF(Fenster!$D$10:$D$2160,Fassade!F454,Fenster!$M$10:$M$2160)</f>
        <v>0</v>
      </c>
      <c r="O454" s="18">
        <f>SUMIFS(Fenster!$M$10:$M$2160,Fenster!$D$10:$D$2160,Fassade!F454,Fenster!$L$10:$L$2160,"&gt;2,5")</f>
        <v>0</v>
      </c>
      <c r="P454" s="18">
        <f>SUMIF(Fenster!$D$10:$D$2160,Fassade!F454,Fenster!$K$10:$K$2160)</f>
        <v>0</v>
      </c>
      <c r="Q454" s="18">
        <f t="shared" ref="Q454:Q463" si="301">L454-O454</f>
        <v>0</v>
      </c>
      <c r="R454" s="187">
        <f t="shared" ref="R454:R463" si="302">L454-N454</f>
        <v>0</v>
      </c>
      <c r="S454" s="1596"/>
      <c r="T454" s="1606"/>
      <c r="U454" s="1201" t="s">
        <v>663</v>
      </c>
      <c r="V454" s="997">
        <v>0</v>
      </c>
      <c r="W454" s="952">
        <v>0</v>
      </c>
      <c r="X454" s="988">
        <v>0</v>
      </c>
    </row>
    <row r="455" spans="2:24">
      <c r="B455" s="131" t="s">
        <v>713</v>
      </c>
      <c r="C455" s="364"/>
      <c r="D455" s="1552"/>
      <c r="E455" s="1609"/>
      <c r="F455" s="18"/>
      <c r="G455" s="18"/>
      <c r="H455" s="657"/>
      <c r="I455" s="657"/>
      <c r="J455" s="657"/>
      <c r="K455" s="657"/>
      <c r="L455" s="115">
        <f t="shared" si="300"/>
        <v>0</v>
      </c>
      <c r="M455" s="18">
        <f>SUMIF(Fenster!$D$10:$D$2160,Fassade!F455,Fenster!$J$10:$J$2160)</f>
        <v>0</v>
      </c>
      <c r="N455" s="18">
        <f>SUMIF(Fenster!$D$10:$D$2160,Fassade!F455,Fenster!$M$10:$M$2160)</f>
        <v>0</v>
      </c>
      <c r="O455" s="18">
        <f>SUMIFS(Fenster!$M$10:$M$2160,Fenster!$D$10:$D$2160,Fassade!F455,Fenster!$L$10:$L$2160,"&gt;2,5")</f>
        <v>0</v>
      </c>
      <c r="P455" s="18">
        <f>SUMIF(Fenster!$D$10:$D$2160,Fassade!F455,Fenster!$K$10:$K$2160)</f>
        <v>0</v>
      </c>
      <c r="Q455" s="18">
        <f t="shared" si="301"/>
        <v>0</v>
      </c>
      <c r="R455" s="187">
        <f t="shared" si="302"/>
        <v>0</v>
      </c>
      <c r="S455" s="1596"/>
      <c r="T455" s="1606"/>
      <c r="U455" s="1202" t="s">
        <v>665</v>
      </c>
      <c r="V455" s="998">
        <f>IF(V453="Ja",(Q464+V454)*$V$9,0)</f>
        <v>0</v>
      </c>
      <c r="W455" s="958">
        <f>IF(W453="Ja",(Q464+W454)*$V$9,0)</f>
        <v>0</v>
      </c>
      <c r="X455" s="999">
        <f>IF(X453="Ja",(Q464+X454)*$V$9,0)</f>
        <v>0</v>
      </c>
    </row>
    <row r="456" spans="2:24">
      <c r="B456" s="131" t="s">
        <v>674</v>
      </c>
      <c r="C456" s="798"/>
      <c r="D456" s="1552"/>
      <c r="E456" s="1609"/>
      <c r="F456" s="18"/>
      <c r="G456" s="18"/>
      <c r="H456" s="657"/>
      <c r="I456" s="657"/>
      <c r="J456" s="657"/>
      <c r="K456" s="657"/>
      <c r="L456" s="115">
        <f t="shared" si="300"/>
        <v>0</v>
      </c>
      <c r="M456" s="18">
        <f>SUMIF(Fenster!$D$10:$D$2160,Fassade!F456,Fenster!$J$10:$J$2160)</f>
        <v>0</v>
      </c>
      <c r="N456" s="18">
        <f>SUMIF(Fenster!$D$10:$D$2160,Fassade!F456,Fenster!$M$10:$M$2160)</f>
        <v>0</v>
      </c>
      <c r="O456" s="18">
        <f>SUMIFS(Fenster!$M$10:$M$2160,Fenster!$D$10:$D$2160,Fassade!F456,Fenster!$L$10:$L$2160,"&gt;2,5")</f>
        <v>0</v>
      </c>
      <c r="P456" s="18">
        <f>SUMIF(Fenster!$D$10:$D$2160,Fassade!F456,Fenster!$K$10:$K$2160)</f>
        <v>0</v>
      </c>
      <c r="Q456" s="18">
        <f t="shared" si="301"/>
        <v>0</v>
      </c>
      <c r="R456" s="187">
        <f t="shared" si="302"/>
        <v>0</v>
      </c>
      <c r="S456" s="1596"/>
      <c r="T456" s="1606"/>
      <c r="U456" s="1203" t="s">
        <v>667</v>
      </c>
      <c r="V456" s="998">
        <f>IF(V453="Ja",(R464+V454)*$V$9,0)</f>
        <v>0</v>
      </c>
      <c r="W456" s="958">
        <f>IF(W453="Ja",(R464+W454)*$V$9,0)</f>
        <v>0</v>
      </c>
      <c r="X456" s="999">
        <f>IF(X453="Ja",(R464+X454)*$V$9,0)</f>
        <v>0</v>
      </c>
    </row>
    <row r="457" spans="2:24">
      <c r="B457" s="131" t="s">
        <v>675</v>
      </c>
      <c r="C457" s="798"/>
      <c r="D457" s="1552"/>
      <c r="E457" s="1609"/>
      <c r="F457" s="18"/>
      <c r="G457" s="18"/>
      <c r="H457" s="657"/>
      <c r="I457" s="657"/>
      <c r="J457" s="657"/>
      <c r="K457" s="657"/>
      <c r="L457" s="115">
        <f t="shared" si="300"/>
        <v>0</v>
      </c>
      <c r="M457" s="18">
        <f>SUMIF(Fenster!$D$10:$D$2160,Fassade!F457,Fenster!$J$10:$J$2160)</f>
        <v>0</v>
      </c>
      <c r="N457" s="18">
        <f>SUMIF(Fenster!$D$10:$D$2160,Fassade!F457,Fenster!$M$10:$M$2160)</f>
        <v>0</v>
      </c>
      <c r="O457" s="18">
        <f>SUMIFS(Fenster!$M$10:$M$2160,Fenster!$D$10:$D$2160,Fassade!F457,Fenster!$L$10:$L$2160,"&gt;2,5")</f>
        <v>0</v>
      </c>
      <c r="P457" s="18">
        <f>SUMIF(Fenster!$D$10:$D$2160,Fassade!F457,Fenster!$K$10:$K$2160)</f>
        <v>0</v>
      </c>
      <c r="Q457" s="18">
        <f t="shared" si="301"/>
        <v>0</v>
      </c>
      <c r="R457" s="187">
        <f t="shared" si="302"/>
        <v>0</v>
      </c>
      <c r="S457" s="1596"/>
      <c r="T457" s="1606"/>
      <c r="U457" s="1204" t="s">
        <v>669</v>
      </c>
      <c r="V457" s="958" t="str">
        <f>Allgemein!$D$45</f>
        <v>-</v>
      </c>
      <c r="W457" s="958" t="str">
        <f>Allgemein!$D$61</f>
        <v>-</v>
      </c>
      <c r="X457" s="1000" t="str">
        <f>Allgemein!$D$77</f>
        <v>-</v>
      </c>
    </row>
    <row r="458" spans="2:24" ht="18.600000000000001">
      <c r="B458" s="131" t="s">
        <v>711</v>
      </c>
      <c r="C458" s="798"/>
      <c r="D458" s="1552"/>
      <c r="E458" s="1609"/>
      <c r="F458" s="18"/>
      <c r="G458" s="18"/>
      <c r="H458" s="657"/>
      <c r="I458" s="657"/>
      <c r="J458" s="657"/>
      <c r="K458" s="657"/>
      <c r="L458" s="115">
        <f t="shared" si="300"/>
        <v>0</v>
      </c>
      <c r="M458" s="18">
        <f>SUMIF(Fenster!$D$10:$D$2160,Fassade!F458,Fenster!$J$10:$J$2160)</f>
        <v>0</v>
      </c>
      <c r="N458" s="18">
        <f>SUMIF(Fenster!$D$10:$D$2160,Fassade!F458,Fenster!$M$10:$M$2160)</f>
        <v>0</v>
      </c>
      <c r="O458" s="18">
        <f>SUMIFS(Fenster!$M$10:$M$2160,Fenster!$D$10:$D$2160,Fassade!F458,Fenster!$L$10:$L$2160,"&gt;2,5")</f>
        <v>0</v>
      </c>
      <c r="P458" s="18">
        <f>SUMIF(Fenster!$D$10:$D$2160,Fassade!F458,Fenster!$K$10:$K$2160)</f>
        <v>0</v>
      </c>
      <c r="Q458" s="18">
        <f t="shared" si="301"/>
        <v>0</v>
      </c>
      <c r="R458" s="187">
        <f t="shared" si="302"/>
        <v>0</v>
      </c>
      <c r="S458" s="1596"/>
      <c r="T458" s="1606"/>
      <c r="U458" s="1210" t="s">
        <v>685</v>
      </c>
      <c r="V458" s="1005" t="str" cm="1">
        <f t="array" ref="V458">_xlfn.XLOOKUP(U458&amp;Allgemein!$C$45,Fassadenpositionen[[#Headers],[Einblasdämmung:]]&amp;Fassadenpositionen[Position Fassade],Fassadenpositionen[Einblasdämmung:],"",0,1)</f>
        <v>Nein</v>
      </c>
      <c r="W458" s="1006" t="str" cm="1">
        <f t="array" ref="W458">_xlfn.XLOOKUP(U458&amp;Allgemein!$C$61,Fassadenpositionen[[#Headers],[Einblasdämmung:]]&amp;Fassadenpositionen[Position Fassade],Fassadenpositionen[Einblasdämmung:],"",0,1)</f>
        <v>Nein</v>
      </c>
      <c r="X458" s="996" t="str" cm="1">
        <f t="array" ref="X458">_xlfn.XLOOKUP(U458&amp;Allgemein!$C$77,Fassadenpositionen[[#Headers],[Einblasdämmung:]]&amp;Fassadenpositionen[Position Fassade],Fassadenpositionen[Einblasdämmung:],"",0,1)</f>
        <v>Nein</v>
      </c>
    </row>
    <row r="459" spans="2:24">
      <c r="B459" s="131" t="s">
        <v>668</v>
      </c>
      <c r="C459" s="798"/>
      <c r="D459" s="1552"/>
      <c r="E459" s="1609"/>
      <c r="F459" s="18"/>
      <c r="G459" s="18"/>
      <c r="H459" s="657"/>
      <c r="I459" s="657"/>
      <c r="J459" s="657"/>
      <c r="K459" s="657"/>
      <c r="L459" s="115">
        <f t="shared" si="300"/>
        <v>0</v>
      </c>
      <c r="M459" s="18">
        <f>SUMIF(Fenster!$D$10:$D$2160,Fassade!F459,Fenster!$J$10:$J$2160)</f>
        <v>0</v>
      </c>
      <c r="N459" s="18">
        <f>SUMIF(Fenster!$D$10:$D$2160,Fassade!F459,Fenster!$M$10:$M$2160)</f>
        <v>0</v>
      </c>
      <c r="O459" s="18">
        <f>SUMIFS(Fenster!$M$10:$M$2160,Fenster!$D$10:$D$2160,Fassade!F459,Fenster!$L$10:$L$2160,"&gt;2,5")</f>
        <v>0</v>
      </c>
      <c r="P459" s="18">
        <f>SUMIF(Fenster!$D$10:$D$2160,Fassade!F459,Fenster!$K$10:$K$2160)</f>
        <v>0</v>
      </c>
      <c r="Q459" s="18">
        <f t="shared" si="301"/>
        <v>0</v>
      </c>
      <c r="R459" s="187">
        <f t="shared" si="302"/>
        <v>0</v>
      </c>
      <c r="S459" s="1596"/>
      <c r="T459" s="1606"/>
      <c r="U459" s="1211" t="s">
        <v>663</v>
      </c>
      <c r="V459" s="1001">
        <v>0</v>
      </c>
      <c r="W459" s="1007">
        <v>0</v>
      </c>
      <c r="X459" s="1003">
        <v>0</v>
      </c>
    </row>
    <row r="460" spans="2:24">
      <c r="B460" s="234" t="s">
        <v>670</v>
      </c>
      <c r="C460" s="798"/>
      <c r="D460" s="1552"/>
      <c r="E460" s="1609"/>
      <c r="F460" s="18"/>
      <c r="G460" s="18"/>
      <c r="H460" s="657"/>
      <c r="I460" s="657"/>
      <c r="J460" s="657"/>
      <c r="K460" s="657"/>
      <c r="L460" s="115">
        <f t="shared" si="300"/>
        <v>0</v>
      </c>
      <c r="M460" s="18">
        <f>SUMIF(Fenster!$D$10:$D$2160,Fassade!F460,Fenster!$J$10:$J$2160)</f>
        <v>0</v>
      </c>
      <c r="N460" s="18">
        <f>SUMIF(Fenster!$D$10:$D$2160,Fassade!F460,Fenster!$M$10:$M$2160)</f>
        <v>0</v>
      </c>
      <c r="O460" s="18">
        <f>SUMIFS(Fenster!$M$10:$M$2160,Fenster!$D$10:$D$2160,Fassade!F460,Fenster!$L$10:$L$2160,"&gt;2,5")</f>
        <v>0</v>
      </c>
      <c r="P460" s="18">
        <f>SUMIF(Fenster!$D$10:$D$2160,Fassade!F460,Fenster!$K$10:$K$2160)</f>
        <v>0</v>
      </c>
      <c r="Q460" s="18">
        <f t="shared" si="301"/>
        <v>0</v>
      </c>
      <c r="R460" s="187">
        <f t="shared" si="302"/>
        <v>0</v>
      </c>
      <c r="S460" s="1596"/>
      <c r="T460" s="1606"/>
      <c r="U460" s="1202" t="s">
        <v>665</v>
      </c>
      <c r="V460" s="1008">
        <f>IF(V458="Ja",(Q464+V459)*$V$9,0)</f>
        <v>0</v>
      </c>
      <c r="W460" s="1008">
        <f>IF(W458="Ja",(Q464+W459)*$V$9,0)</f>
        <v>0</v>
      </c>
      <c r="X460" s="1003">
        <f>IF(X458="Ja",(Q464+X459)*$V$9,0)</f>
        <v>0</v>
      </c>
    </row>
    <row r="461" spans="2:24">
      <c r="B461" s="234" t="s">
        <v>672</v>
      </c>
      <c r="C461" s="123"/>
      <c r="D461" s="1552"/>
      <c r="E461" s="1609"/>
      <c r="F461" s="18"/>
      <c r="G461" s="18"/>
      <c r="H461" s="657"/>
      <c r="I461" s="657"/>
      <c r="J461" s="657"/>
      <c r="K461" s="657"/>
      <c r="L461" s="115">
        <f t="shared" si="300"/>
        <v>0</v>
      </c>
      <c r="M461" s="18">
        <f>SUMIF(Fenster!$D$10:$D$2160,Fassade!F461,Fenster!$J$10:$J$2160)</f>
        <v>0</v>
      </c>
      <c r="N461" s="18">
        <f>SUMIF(Fenster!$D$10:$D$2160,Fassade!F461,Fenster!$M$10:$M$2160)</f>
        <v>0</v>
      </c>
      <c r="O461" s="18">
        <f>SUMIFS(Fenster!$M$10:$M$2160,Fenster!$D$10:$D$2160,Fassade!F461,Fenster!$L$10:$L$2160,"&gt;2,5")</f>
        <v>0</v>
      </c>
      <c r="P461" s="18">
        <f>SUMIF(Fenster!$D$10:$D$2160,Fassade!F461,Fenster!$K$10:$K$2160)</f>
        <v>0</v>
      </c>
      <c r="Q461" s="18">
        <f t="shared" si="301"/>
        <v>0</v>
      </c>
      <c r="R461" s="187">
        <f t="shared" si="302"/>
        <v>0</v>
      </c>
      <c r="S461" s="1596"/>
      <c r="T461" s="1606"/>
      <c r="U461" s="1203" t="s">
        <v>667</v>
      </c>
      <c r="V461" s="1008">
        <f>IF(V458="Ja",(R464+V459)*$V$9,0)</f>
        <v>0</v>
      </c>
      <c r="W461" s="1008">
        <f>IF(W458="Ja",(R464+W459)*$V$9,0)</f>
        <v>0</v>
      </c>
      <c r="X461" s="1003">
        <f>IF(X458="Ja",(R464+X459)*$V$9,0)</f>
        <v>0</v>
      </c>
    </row>
    <row r="462" spans="2:24">
      <c r="B462" s="131"/>
      <c r="C462" s="377"/>
      <c r="D462" s="1552"/>
      <c r="E462" s="1609"/>
      <c r="F462" s="18"/>
      <c r="G462" s="18"/>
      <c r="H462" s="657"/>
      <c r="I462" s="657"/>
      <c r="J462" s="657"/>
      <c r="K462" s="657"/>
      <c r="L462" s="115">
        <f t="shared" si="300"/>
        <v>0</v>
      </c>
      <c r="M462" s="18">
        <f>SUMIF(Fenster!$D$10:$D$2160,Fassade!F462,Fenster!$J$10:$J$2160)</f>
        <v>0</v>
      </c>
      <c r="N462" s="18">
        <f>SUMIF(Fenster!$D$10:$D$2160,Fassade!F462,Fenster!$M$10:$M$2160)</f>
        <v>0</v>
      </c>
      <c r="O462" s="18">
        <f>SUMIFS(Fenster!$M$10:$M$2160,Fenster!$D$10:$D$2160,Fassade!F462,Fenster!$L$10:$L$2160,"&gt;2,5")</f>
        <v>0</v>
      </c>
      <c r="P462" s="18">
        <f>SUMIF(Fenster!$D$10:$D$2160,Fassade!F462,Fenster!$K$10:$K$2160)</f>
        <v>0</v>
      </c>
      <c r="Q462" s="18">
        <f t="shared" si="301"/>
        <v>0</v>
      </c>
      <c r="R462" s="187">
        <f t="shared" si="302"/>
        <v>0</v>
      </c>
      <c r="S462" s="1596"/>
      <c r="T462" s="1606"/>
      <c r="U462" s="1204" t="s">
        <v>689</v>
      </c>
      <c r="V462" s="1002"/>
      <c r="W462" s="1009"/>
      <c r="X462" s="1010"/>
    </row>
    <row r="463" spans="2:24">
      <c r="B463" s="131"/>
      <c r="C463" s="377"/>
      <c r="D463" s="1552"/>
      <c r="E463" s="1609"/>
      <c r="F463" s="18"/>
      <c r="G463" s="18"/>
      <c r="H463" s="657"/>
      <c r="I463" s="657"/>
      <c r="J463" s="657"/>
      <c r="K463" s="657"/>
      <c r="L463" s="115">
        <f t="shared" si="300"/>
        <v>0</v>
      </c>
      <c r="M463" s="18">
        <f>SUMIF(Fenster!$D$10:$D$2160,Fassade!F463,Fenster!$J$10:$J$2160)</f>
        <v>0</v>
      </c>
      <c r="N463" s="18">
        <f>SUMIF(Fenster!$D$10:$D$2160,Fassade!F463,Fenster!$M$10:$M$2160)</f>
        <v>0</v>
      </c>
      <c r="O463" s="18">
        <f>SUMIFS(Fenster!$M$10:$M$2160,Fenster!$D$10:$D$2160,Fassade!F463,Fenster!$L$10:$L$2160,"&gt;2,5")</f>
        <v>0</v>
      </c>
      <c r="P463" s="18">
        <f>SUMIF(Fenster!$D$10:$D$2160,Fassade!F463,Fenster!$K$10:$K$2160)</f>
        <v>0</v>
      </c>
      <c r="Q463" s="18">
        <f t="shared" si="301"/>
        <v>0</v>
      </c>
      <c r="R463" s="187">
        <f t="shared" si="302"/>
        <v>0</v>
      </c>
      <c r="S463" s="1596"/>
      <c r="T463" s="1606"/>
      <c r="U463" s="1212" t="s">
        <v>671</v>
      </c>
      <c r="V463" s="1586"/>
      <c r="W463" s="1586"/>
      <c r="X463" s="1589"/>
    </row>
    <row r="464" spans="2:24">
      <c r="B464" s="131"/>
      <c r="C464" s="377"/>
      <c r="D464" s="1552"/>
      <c r="E464" s="1609"/>
      <c r="F464" s="1612" t="s">
        <v>187</v>
      </c>
      <c r="G464" s="18"/>
      <c r="H464" s="657"/>
      <c r="I464" s="657"/>
      <c r="J464" s="657"/>
      <c r="K464" s="657"/>
      <c r="L464" s="1614">
        <f t="shared" ref="L464" si="303">SUM(L454:L463)</f>
        <v>0</v>
      </c>
      <c r="M464" s="1477">
        <f t="shared" ref="M464" si="304">SUM(M454:M463)</f>
        <v>0</v>
      </c>
      <c r="N464" s="1477">
        <f t="shared" ref="N464" si="305">SUM(N454:N463)</f>
        <v>0</v>
      </c>
      <c r="O464" s="1477">
        <f t="shared" ref="O464" si="306">SUM(O454:O463)</f>
        <v>0</v>
      </c>
      <c r="P464" s="1477">
        <f t="shared" ref="P464" si="307">SUM(P454:P463)</f>
        <v>0</v>
      </c>
      <c r="Q464" s="1477">
        <f t="shared" ref="Q464" si="308">SUM(Q454:Q463)</f>
        <v>0</v>
      </c>
      <c r="R464" s="1483">
        <f>SUM(R454:R463)</f>
        <v>0</v>
      </c>
      <c r="S464" s="1596"/>
      <c r="T464" s="1606"/>
      <c r="U464" s="1213"/>
      <c r="V464" s="1587"/>
      <c r="W464" s="1587"/>
      <c r="X464" s="1590"/>
    </row>
    <row r="465" spans="2:42" ht="17.399999999999999" thickBot="1">
      <c r="B465" s="796"/>
      <c r="C465" s="722"/>
      <c r="D465" s="1610"/>
      <c r="E465" s="1611"/>
      <c r="F465" s="1613"/>
      <c r="G465" s="788"/>
      <c r="H465" s="788"/>
      <c r="I465" s="788"/>
      <c r="J465" s="788"/>
      <c r="K465" s="788"/>
      <c r="L465" s="1615"/>
      <c r="M465" s="1592"/>
      <c r="N465" s="1592"/>
      <c r="O465" s="1592"/>
      <c r="P465" s="1592"/>
      <c r="Q465" s="1592"/>
      <c r="R465" s="1605"/>
      <c r="S465" s="1598"/>
      <c r="T465" s="1607"/>
      <c r="U465" s="1209"/>
      <c r="V465" s="1588"/>
      <c r="W465" s="1588"/>
      <c r="X465" s="1591"/>
    </row>
    <row r="466" spans="2:42" ht="57" customHeight="1">
      <c r="B466" s="135" t="s">
        <v>712</v>
      </c>
      <c r="C466" s="123"/>
      <c r="D466" s="1552" t="e" vm="13">
        <v>#VALUE!</v>
      </c>
      <c r="E466" s="1609"/>
      <c r="F466" s="229" t="s">
        <v>296</v>
      </c>
      <c r="G466" s="229" t="s">
        <v>272</v>
      </c>
      <c r="H466" s="229" t="s">
        <v>300</v>
      </c>
      <c r="I466" s="229" t="s">
        <v>301</v>
      </c>
      <c r="J466" s="177" t="s">
        <v>652</v>
      </c>
      <c r="K466" s="177" t="s">
        <v>653</v>
      </c>
      <c r="L466" s="177" t="s">
        <v>654</v>
      </c>
      <c r="M466" s="177" t="s">
        <v>655</v>
      </c>
      <c r="N466" s="177" t="s">
        <v>656</v>
      </c>
      <c r="O466" s="177" t="s">
        <v>657</v>
      </c>
      <c r="P466" s="177" t="s">
        <v>658</v>
      </c>
      <c r="Q466" s="177" t="s">
        <v>659</v>
      </c>
      <c r="R466" s="713" t="s">
        <v>660</v>
      </c>
      <c r="S466" s="1604"/>
      <c r="T466" s="1608"/>
      <c r="U466" s="1200" t="s">
        <v>661</v>
      </c>
      <c r="V466" s="995" t="str" cm="1">
        <f t="array" ref="V466">_xlfn.XLOOKUP(U466&amp;Allgemein!$C$45,Fassadenpositionen[[#Headers],[WDVS:]]&amp;Fassadenpositionen[Position Fassade],Fassadenpositionen[WDVS:],"",0,1)</f>
        <v>Nein</v>
      </c>
      <c r="W466" s="995" t="str" cm="1">
        <f t="array" ref="W466">_xlfn.XLOOKUP(U466&amp;Allgemein!$C$61,Fassadenpositionen[[#Headers],[WDVS:]]&amp;Fassadenpositionen[Position Fassade],Fassadenpositionen[WDVS:],"",0,1)</f>
        <v>Nein</v>
      </c>
      <c r="X466" s="996" t="str" cm="1">
        <f t="array" ref="X466">_xlfn.XLOOKUP(U466&amp;Allgemein!$C$77,Fassadenpositionen[[#Headers],[WDVS:]]&amp;Fassadenpositionen[Position Fassade],Fassadenpositionen[WDVS:],"",0,1)</f>
        <v>Nein</v>
      </c>
    </row>
    <row r="467" spans="2:42">
      <c r="B467" s="120" t="s">
        <v>662</v>
      </c>
      <c r="C467" s="364"/>
      <c r="D467" s="1552"/>
      <c r="E467" s="1609"/>
      <c r="F467" s="18"/>
      <c r="G467" s="18"/>
      <c r="H467" s="657"/>
      <c r="I467" s="657"/>
      <c r="J467" s="657"/>
      <c r="K467" s="657"/>
      <c r="L467" s="115">
        <f t="shared" ref="L467:L476" si="309">H467*I467+J467</f>
        <v>0</v>
      </c>
      <c r="M467" s="18">
        <f>SUMIF(Fenster!$D$10:$D$2160,Fassade!F467,Fenster!$J$10:$J$2160)</f>
        <v>0</v>
      </c>
      <c r="N467" s="18">
        <f>SUMIF(Fenster!$D$10:$D$2160,Fassade!F467,Fenster!$M$10:$M$2160)</f>
        <v>0</v>
      </c>
      <c r="O467" s="18">
        <f>SUMIFS(Fenster!$M$10:$M$2160,Fenster!$D$10:$D$2160,Fassade!F467,Fenster!$L$10:$L$2160,"&gt;2,5")</f>
        <v>0</v>
      </c>
      <c r="P467" s="18">
        <f>SUMIF(Fenster!$D$10:$D$2160,Fassade!F467,Fenster!$K$10:$K$2160)</f>
        <v>0</v>
      </c>
      <c r="Q467" s="18">
        <f t="shared" ref="Q467:Q476" si="310">L467-O467</f>
        <v>0</v>
      </c>
      <c r="R467" s="187">
        <f t="shared" ref="R467:R476" si="311">L467-N467</f>
        <v>0</v>
      </c>
      <c r="S467" s="1602"/>
      <c r="T467" s="1606"/>
      <c r="U467" s="1201" t="s">
        <v>663</v>
      </c>
      <c r="V467" s="997">
        <v>0</v>
      </c>
      <c r="W467" s="952">
        <v>0</v>
      </c>
      <c r="X467" s="988">
        <v>0</v>
      </c>
      <c r="Z467" s="245"/>
      <c r="AA467" s="245"/>
      <c r="AB467" s="8"/>
      <c r="AC467" s="8"/>
      <c r="AD467" s="8"/>
      <c r="AE467" s="8"/>
      <c r="AF467" s="8"/>
      <c r="AG467" s="8"/>
      <c r="AH467" s="8"/>
      <c r="AI467" s="8"/>
      <c r="AJ467" s="8"/>
      <c r="AK467" s="1637"/>
      <c r="AL467" s="1638"/>
      <c r="AM467" s="8"/>
      <c r="AN467" s="8"/>
      <c r="AO467" s="445"/>
      <c r="AP467" s="446"/>
    </row>
    <row r="468" spans="2:42">
      <c r="B468" s="131" t="s">
        <v>713</v>
      </c>
      <c r="C468" s="364"/>
      <c r="D468" s="1552"/>
      <c r="E468" s="1609"/>
      <c r="F468" s="18"/>
      <c r="G468" s="18"/>
      <c r="H468" s="657"/>
      <c r="I468" s="657"/>
      <c r="J468" s="657"/>
      <c r="K468" s="657"/>
      <c r="L468" s="115">
        <f t="shared" si="309"/>
        <v>0</v>
      </c>
      <c r="M468" s="18">
        <f>SUMIF(Fenster!$D$10:$D$2160,Fassade!F468,Fenster!$J$10:$J$2160)</f>
        <v>0</v>
      </c>
      <c r="N468" s="18">
        <f>SUMIF(Fenster!$D$10:$D$2160,Fassade!F468,Fenster!$M$10:$M$2160)</f>
        <v>0</v>
      </c>
      <c r="O468" s="18">
        <f>SUMIFS(Fenster!$M$10:$M$2160,Fenster!$D$10:$D$2160,Fassade!F468,Fenster!$L$10:$L$2160,"&gt;2,5")</f>
        <v>0</v>
      </c>
      <c r="P468" s="18">
        <f>SUMIF(Fenster!$D$10:$D$2160,Fassade!F468,Fenster!$K$10:$K$2160)</f>
        <v>0</v>
      </c>
      <c r="Q468" s="18">
        <f t="shared" si="310"/>
        <v>0</v>
      </c>
      <c r="R468" s="187">
        <f t="shared" si="311"/>
        <v>0</v>
      </c>
      <c r="S468" s="1602"/>
      <c r="T468" s="1606"/>
      <c r="U468" s="1202" t="s">
        <v>665</v>
      </c>
      <c r="V468" s="998">
        <f>IF(V466="Ja",(Q477+V467)*$V$9,0)</f>
        <v>0</v>
      </c>
      <c r="W468" s="958">
        <f>IF(W466="Ja",(Q477+W467)*$V$9,0)</f>
        <v>0</v>
      </c>
      <c r="X468" s="999">
        <f>IF(X466="Ja",(Q477+X467)*$V$9,0)</f>
        <v>0</v>
      </c>
      <c r="Z468" s="19"/>
      <c r="AA468" s="19"/>
      <c r="AB468" s="447"/>
      <c r="AC468" s="447"/>
      <c r="AD468" s="19"/>
      <c r="AE468" s="19"/>
      <c r="AF468" s="19"/>
      <c r="AG468" s="19"/>
      <c r="AH468" s="19"/>
      <c r="AI468" s="19"/>
      <c r="AJ468" s="19"/>
      <c r="AK468" s="1638"/>
      <c r="AL468" s="1638"/>
      <c r="AM468" s="246"/>
      <c r="AN468" s="447"/>
      <c r="AO468" s="448"/>
      <c r="AP468" s="447"/>
    </row>
    <row r="469" spans="2:42">
      <c r="B469" s="131" t="s">
        <v>674</v>
      </c>
      <c r="C469" s="798"/>
      <c r="D469" s="1552"/>
      <c r="E469" s="1609"/>
      <c r="F469" s="18"/>
      <c r="G469" s="18"/>
      <c r="H469" s="657"/>
      <c r="I469" s="657"/>
      <c r="J469" s="657"/>
      <c r="K469" s="657"/>
      <c r="L469" s="115">
        <f t="shared" si="309"/>
        <v>0</v>
      </c>
      <c r="M469" s="18">
        <f>SUMIF(Fenster!$D$10:$D$2160,Fassade!F469,Fenster!$J$10:$J$2160)</f>
        <v>0</v>
      </c>
      <c r="N469" s="18">
        <f>SUMIF(Fenster!$D$10:$D$2160,Fassade!F469,Fenster!$M$10:$M$2160)</f>
        <v>0</v>
      </c>
      <c r="O469" s="18">
        <f>SUMIFS(Fenster!$M$10:$M$2160,Fenster!$D$10:$D$2160,Fassade!F469,Fenster!$L$10:$L$2160,"&gt;2,5")</f>
        <v>0</v>
      </c>
      <c r="P469" s="18">
        <f>SUMIF(Fenster!$D$10:$D$2160,Fassade!F469,Fenster!$K$10:$K$2160)</f>
        <v>0</v>
      </c>
      <c r="Q469" s="18">
        <f t="shared" si="310"/>
        <v>0</v>
      </c>
      <c r="R469" s="187">
        <f t="shared" si="311"/>
        <v>0</v>
      </c>
      <c r="S469" s="1602"/>
      <c r="T469" s="1606"/>
      <c r="U469" s="1203" t="s">
        <v>667</v>
      </c>
      <c r="V469" s="998">
        <f>IF(V466="Ja",(R477+V467)*$V$9,0)</f>
        <v>0</v>
      </c>
      <c r="W469" s="958">
        <f>IF(W466="Ja",(R477+W467)*$V$9,0)</f>
        <v>0</v>
      </c>
      <c r="X469" s="999">
        <f>IF(X466="Ja",(R477+X467)*$V$9,0)</f>
        <v>0</v>
      </c>
      <c r="Z469" s="19"/>
      <c r="AA469" s="19"/>
      <c r="AB469" s="447"/>
      <c r="AC469" s="447"/>
      <c r="AD469" s="19"/>
      <c r="AE469" s="19"/>
      <c r="AF469" s="19"/>
      <c r="AG469" s="19"/>
      <c r="AH469" s="19"/>
      <c r="AI469" s="19"/>
      <c r="AJ469" s="19"/>
      <c r="AK469" s="1638"/>
      <c r="AL469" s="1638"/>
      <c r="AM469" s="317"/>
      <c r="AN469" s="246"/>
      <c r="AO469" s="246"/>
      <c r="AP469" s="246"/>
    </row>
    <row r="470" spans="2:42">
      <c r="B470" s="131" t="s">
        <v>675</v>
      </c>
      <c r="C470" s="798"/>
      <c r="D470" s="1552"/>
      <c r="E470" s="1609"/>
      <c r="F470" s="18"/>
      <c r="G470" s="18"/>
      <c r="H470" s="657"/>
      <c r="I470" s="657"/>
      <c r="J470" s="657"/>
      <c r="K470" s="657"/>
      <c r="L470" s="115">
        <f t="shared" si="309"/>
        <v>0</v>
      </c>
      <c r="M470" s="18">
        <f>SUMIF(Fenster!$D$10:$D$2160,Fassade!F470,Fenster!$J$10:$J$2160)</f>
        <v>0</v>
      </c>
      <c r="N470" s="18">
        <f>SUMIF(Fenster!$D$10:$D$2160,Fassade!F470,Fenster!$M$10:$M$2160)</f>
        <v>0</v>
      </c>
      <c r="O470" s="18">
        <f>SUMIFS(Fenster!$M$10:$M$2160,Fenster!$D$10:$D$2160,Fassade!F470,Fenster!$L$10:$L$2160,"&gt;2,5")</f>
        <v>0</v>
      </c>
      <c r="P470" s="18">
        <f>SUMIF(Fenster!$D$10:$D$2160,Fassade!F470,Fenster!$K$10:$K$2160)</f>
        <v>0</v>
      </c>
      <c r="Q470" s="18">
        <f t="shared" si="310"/>
        <v>0</v>
      </c>
      <c r="R470" s="187">
        <f t="shared" si="311"/>
        <v>0</v>
      </c>
      <c r="S470" s="1602"/>
      <c r="T470" s="1606"/>
      <c r="U470" s="1204" t="s">
        <v>669</v>
      </c>
      <c r="V470" s="958" t="str">
        <f>Allgemein!$D$45</f>
        <v>-</v>
      </c>
      <c r="W470" s="958" t="str">
        <f>Allgemein!$D$61</f>
        <v>-</v>
      </c>
      <c r="X470" s="1000" t="str">
        <f>Allgemein!$D$77</f>
        <v>-</v>
      </c>
      <c r="Z470" s="19"/>
      <c r="AA470" s="19"/>
      <c r="AB470" s="447"/>
      <c r="AC470" s="447"/>
      <c r="AD470" s="19"/>
      <c r="AE470" s="19"/>
      <c r="AF470" s="19"/>
      <c r="AG470" s="19"/>
      <c r="AH470" s="19"/>
      <c r="AI470" s="19"/>
      <c r="AJ470" s="19"/>
      <c r="AK470" s="1638"/>
      <c r="AL470" s="1638"/>
      <c r="AM470" s="1639"/>
      <c r="AN470" s="1639"/>
      <c r="AO470" s="1639"/>
      <c r="AP470" s="1639"/>
    </row>
    <row r="471" spans="2:42" ht="18.600000000000001">
      <c r="B471" s="131" t="s">
        <v>711</v>
      </c>
      <c r="C471" s="798"/>
      <c r="D471" s="1552"/>
      <c r="E471" s="1609"/>
      <c r="F471" s="18"/>
      <c r="G471" s="18"/>
      <c r="H471" s="657"/>
      <c r="I471" s="657"/>
      <c r="J471" s="657"/>
      <c r="K471" s="657"/>
      <c r="L471" s="115">
        <f t="shared" si="309"/>
        <v>0</v>
      </c>
      <c r="M471" s="18">
        <f>SUMIF(Fenster!$D$10:$D$2160,Fassade!F471,Fenster!$J$10:$J$2160)</f>
        <v>0</v>
      </c>
      <c r="N471" s="18">
        <f>SUMIF(Fenster!$D$10:$D$2160,Fassade!F471,Fenster!$M$10:$M$2160)</f>
        <v>0</v>
      </c>
      <c r="O471" s="18">
        <f>SUMIFS(Fenster!$M$10:$M$2160,Fenster!$D$10:$D$2160,Fassade!F471,Fenster!$L$10:$L$2160,"&gt;2,5")</f>
        <v>0</v>
      </c>
      <c r="P471" s="18">
        <f>SUMIF(Fenster!$D$10:$D$2160,Fassade!F471,Fenster!$K$10:$K$2160)</f>
        <v>0</v>
      </c>
      <c r="Q471" s="18">
        <f t="shared" si="310"/>
        <v>0</v>
      </c>
      <c r="R471" s="187">
        <f t="shared" si="311"/>
        <v>0</v>
      </c>
      <c r="S471" s="1602"/>
      <c r="T471" s="1606"/>
      <c r="U471" s="1210" t="s">
        <v>685</v>
      </c>
      <c r="V471" s="1005" t="str" cm="1">
        <f t="array" ref="V471">_xlfn.XLOOKUP(U471&amp;Allgemein!$C$45,Fassadenpositionen[[#Headers],[Einblasdämmung:]]&amp;Fassadenpositionen[Position Fassade],Fassadenpositionen[Einblasdämmung:],"",0,1)</f>
        <v>Nein</v>
      </c>
      <c r="W471" s="1006" t="str" cm="1">
        <f t="array" ref="W471">_xlfn.XLOOKUP(U471&amp;Allgemein!$C$61,Fassadenpositionen[[#Headers],[Einblasdämmung:]]&amp;Fassadenpositionen[Position Fassade],Fassadenpositionen[Einblasdämmung:],"",0,1)</f>
        <v>Nein</v>
      </c>
      <c r="X471" s="996" t="str" cm="1">
        <f t="array" ref="X471">_xlfn.XLOOKUP(U471&amp;Allgemein!$C$77,Fassadenpositionen[[#Headers],[Einblasdämmung:]]&amp;Fassadenpositionen[Position Fassade],Fassadenpositionen[Einblasdämmung:],"",0,1)</f>
        <v>Nein</v>
      </c>
      <c r="Z471" s="19"/>
      <c r="AA471" s="19"/>
      <c r="AB471" s="447"/>
      <c r="AC471" s="447"/>
      <c r="AD471" s="19"/>
      <c r="AE471" s="19"/>
      <c r="AF471" s="19"/>
      <c r="AG471" s="19"/>
      <c r="AH471" s="19"/>
      <c r="AI471" s="19"/>
      <c r="AJ471" s="19"/>
      <c r="AK471" s="1638"/>
      <c r="AL471" s="1638"/>
      <c r="AM471" s="1639"/>
      <c r="AN471" s="1639"/>
      <c r="AO471" s="1639"/>
      <c r="AP471" s="1639"/>
    </row>
    <row r="472" spans="2:42">
      <c r="B472" s="131" t="s">
        <v>668</v>
      </c>
      <c r="C472" s="798"/>
      <c r="D472" s="1552"/>
      <c r="E472" s="1609"/>
      <c r="F472" s="18"/>
      <c r="G472" s="18"/>
      <c r="H472" s="657"/>
      <c r="I472" s="657"/>
      <c r="J472" s="657"/>
      <c r="K472" s="657"/>
      <c r="L472" s="115">
        <f t="shared" si="309"/>
        <v>0</v>
      </c>
      <c r="M472" s="18">
        <f>SUMIF(Fenster!$D$10:$D$2160,Fassade!F472,Fenster!$J$10:$J$2160)</f>
        <v>0</v>
      </c>
      <c r="N472" s="18">
        <f>SUMIF(Fenster!$D$10:$D$2160,Fassade!F472,Fenster!$M$10:$M$2160)</f>
        <v>0</v>
      </c>
      <c r="O472" s="18">
        <f>SUMIFS(Fenster!$M$10:$M$2160,Fenster!$D$10:$D$2160,Fassade!F472,Fenster!$L$10:$L$2160,"&gt;2,5")</f>
        <v>0</v>
      </c>
      <c r="P472" s="18">
        <f>SUMIF(Fenster!$D$10:$D$2160,Fassade!F472,Fenster!$K$10:$K$2160)</f>
        <v>0</v>
      </c>
      <c r="Q472" s="18">
        <f t="shared" si="310"/>
        <v>0</v>
      </c>
      <c r="R472" s="187">
        <f t="shared" si="311"/>
        <v>0</v>
      </c>
      <c r="S472" s="1602"/>
      <c r="T472" s="1606"/>
      <c r="U472" s="1211" t="s">
        <v>663</v>
      </c>
      <c r="V472" s="1001">
        <v>0</v>
      </c>
      <c r="W472" s="1007">
        <v>0</v>
      </c>
      <c r="X472" s="1003">
        <v>0</v>
      </c>
      <c r="Z472" s="19"/>
      <c r="AA472" s="19"/>
      <c r="AB472" s="447"/>
      <c r="AC472" s="447"/>
      <c r="AD472" s="19"/>
      <c r="AE472" s="19"/>
      <c r="AF472" s="19"/>
      <c r="AG472" s="19"/>
      <c r="AH472" s="19"/>
      <c r="AI472" s="19"/>
      <c r="AJ472" s="19"/>
      <c r="AK472" s="1638"/>
      <c r="AL472" s="1638"/>
      <c r="AM472" s="1639"/>
      <c r="AN472" s="1639"/>
      <c r="AO472" s="1639"/>
      <c r="AP472" s="1639"/>
    </row>
    <row r="473" spans="2:42">
      <c r="B473" s="234" t="s">
        <v>670</v>
      </c>
      <c r="C473" s="798"/>
      <c r="D473" s="1552"/>
      <c r="E473" s="1609"/>
      <c r="F473" s="18"/>
      <c r="G473" s="18"/>
      <c r="H473" s="657"/>
      <c r="I473" s="657"/>
      <c r="J473" s="657"/>
      <c r="K473" s="657"/>
      <c r="L473" s="115">
        <f t="shared" si="309"/>
        <v>0</v>
      </c>
      <c r="M473" s="18">
        <f>SUMIF(Fenster!$D$10:$D$2160,Fassade!F473,Fenster!$J$10:$J$2160)</f>
        <v>0</v>
      </c>
      <c r="N473" s="18">
        <f>SUMIF(Fenster!$D$10:$D$2160,Fassade!F473,Fenster!$M$10:$M$2160)</f>
        <v>0</v>
      </c>
      <c r="O473" s="18">
        <f>SUMIFS(Fenster!$M$10:$M$2160,Fenster!$D$10:$D$2160,Fassade!F473,Fenster!$L$10:$L$2160,"&gt;2,5")</f>
        <v>0</v>
      </c>
      <c r="P473" s="18">
        <f>SUMIF(Fenster!$D$10:$D$2160,Fassade!F473,Fenster!$K$10:$K$2160)</f>
        <v>0</v>
      </c>
      <c r="Q473" s="18">
        <f t="shared" si="310"/>
        <v>0</v>
      </c>
      <c r="R473" s="187">
        <f t="shared" si="311"/>
        <v>0</v>
      </c>
      <c r="S473" s="1602"/>
      <c r="T473" s="1606"/>
      <c r="U473" s="1202" t="s">
        <v>665</v>
      </c>
      <c r="V473" s="1008">
        <f>IF(V471="Ja",(Q477+V472)*$V$9,0)</f>
        <v>0</v>
      </c>
      <c r="W473" s="1008">
        <f>IF(W471="Ja",(Q477+W472)*$V$9,0)</f>
        <v>0</v>
      </c>
      <c r="X473" s="1003">
        <f>IF(X471="Ja",(Q477+X472)*$V$9,0)</f>
        <v>0</v>
      </c>
      <c r="Z473" s="19"/>
      <c r="AA473" s="19"/>
      <c r="AB473" s="447"/>
      <c r="AC473" s="447"/>
      <c r="AD473" s="19"/>
      <c r="AE473" s="19"/>
      <c r="AF473" s="19"/>
      <c r="AG473" s="19"/>
      <c r="AH473" s="19"/>
      <c r="AI473" s="19"/>
      <c r="AJ473" s="19"/>
      <c r="AK473" s="1638"/>
      <c r="AL473" s="1638"/>
      <c r="AM473" s="1639"/>
      <c r="AN473" s="1639"/>
      <c r="AO473" s="1639"/>
      <c r="AP473" s="1639"/>
    </row>
    <row r="474" spans="2:42">
      <c r="B474" s="234" t="s">
        <v>672</v>
      </c>
      <c r="C474" s="123"/>
      <c r="D474" s="1552"/>
      <c r="E474" s="1609"/>
      <c r="F474" s="18"/>
      <c r="G474" s="18"/>
      <c r="H474" s="657"/>
      <c r="I474" s="657"/>
      <c r="J474" s="657"/>
      <c r="K474" s="657"/>
      <c r="L474" s="115">
        <f t="shared" si="309"/>
        <v>0</v>
      </c>
      <c r="M474" s="18">
        <f>SUMIF(Fenster!$D$10:$D$2160,Fassade!F474,Fenster!$J$10:$J$2160)</f>
        <v>0</v>
      </c>
      <c r="N474" s="18">
        <f>SUMIF(Fenster!$D$10:$D$2160,Fassade!F474,Fenster!$M$10:$M$2160)</f>
        <v>0</v>
      </c>
      <c r="O474" s="18">
        <f>SUMIFS(Fenster!$M$10:$M$2160,Fenster!$D$10:$D$2160,Fassade!F474,Fenster!$L$10:$L$2160,"&gt;2,5")</f>
        <v>0</v>
      </c>
      <c r="P474" s="18">
        <f>SUMIF(Fenster!$D$10:$D$2160,Fassade!F474,Fenster!$K$10:$K$2160)</f>
        <v>0</v>
      </c>
      <c r="Q474" s="18">
        <f t="shared" si="310"/>
        <v>0</v>
      </c>
      <c r="R474" s="187">
        <f t="shared" si="311"/>
        <v>0</v>
      </c>
      <c r="S474" s="1602"/>
      <c r="T474" s="1606"/>
      <c r="U474" s="1203" t="s">
        <v>667</v>
      </c>
      <c r="V474" s="1008">
        <f>IF(V471="Ja",(R477+V472)*$V$9,0)</f>
        <v>0</v>
      </c>
      <c r="W474" s="1008">
        <f>IF(W471="Ja",(R477+W472)*$V$9,0)</f>
        <v>0</v>
      </c>
      <c r="X474" s="1003">
        <f>IF(X471="Ja",(R477+X472)*$V$9,0)</f>
        <v>0</v>
      </c>
      <c r="Z474" s="19"/>
      <c r="AA474" s="19"/>
      <c r="AB474" s="447"/>
      <c r="AC474" s="447"/>
      <c r="AD474" s="19"/>
      <c r="AE474" s="19"/>
      <c r="AF474" s="19"/>
      <c r="AG474" s="19"/>
      <c r="AH474" s="19"/>
      <c r="AI474" s="19"/>
      <c r="AJ474" s="19"/>
      <c r="AK474" s="1638"/>
      <c r="AL474" s="1638"/>
      <c r="AM474" s="317"/>
      <c r="AN474" s="317"/>
      <c r="AO474" s="449"/>
      <c r="AP474" s="449"/>
    </row>
    <row r="475" spans="2:42">
      <c r="B475" s="131"/>
      <c r="C475" s="377"/>
      <c r="D475" s="1552"/>
      <c r="E475" s="1609"/>
      <c r="F475" s="18"/>
      <c r="G475" s="18"/>
      <c r="H475" s="657"/>
      <c r="I475" s="657"/>
      <c r="J475" s="657"/>
      <c r="K475" s="657"/>
      <c r="L475" s="115">
        <f t="shared" si="309"/>
        <v>0</v>
      </c>
      <c r="M475" s="18">
        <f>SUMIF(Fenster!$D$10:$D$2160,Fassade!F475,Fenster!$J$10:$J$2160)</f>
        <v>0</v>
      </c>
      <c r="N475" s="18">
        <f>SUMIF(Fenster!$D$10:$D$2160,Fassade!F475,Fenster!$M$10:$M$2160)</f>
        <v>0</v>
      </c>
      <c r="O475" s="18">
        <f>SUMIFS(Fenster!$M$10:$M$2160,Fenster!$D$10:$D$2160,Fassade!F475,Fenster!$L$10:$L$2160,"&gt;2,5")</f>
        <v>0</v>
      </c>
      <c r="P475" s="18">
        <f>SUMIF(Fenster!$D$10:$D$2160,Fassade!F475,Fenster!$K$10:$K$2160)</f>
        <v>0</v>
      </c>
      <c r="Q475" s="18">
        <f t="shared" si="310"/>
        <v>0</v>
      </c>
      <c r="R475" s="187">
        <f t="shared" si="311"/>
        <v>0</v>
      </c>
      <c r="S475" s="1602"/>
      <c r="T475" s="1606"/>
      <c r="U475" s="1204" t="s">
        <v>689</v>
      </c>
      <c r="V475" s="1002"/>
      <c r="W475" s="1009"/>
      <c r="X475" s="1010"/>
      <c r="Z475" s="19"/>
      <c r="AA475" s="19"/>
      <c r="AB475" s="447"/>
      <c r="AC475" s="447"/>
      <c r="AD475" s="19"/>
      <c r="AE475" s="19"/>
      <c r="AF475" s="19"/>
      <c r="AG475" s="19"/>
      <c r="AH475" s="19"/>
      <c r="AI475" s="19"/>
      <c r="AJ475" s="19"/>
      <c r="AK475" s="1638"/>
      <c r="AL475" s="1638"/>
      <c r="AN475" s="19"/>
      <c r="AO475" s="447"/>
      <c r="AP475" s="447"/>
    </row>
    <row r="476" spans="2:42">
      <c r="B476" s="131"/>
      <c r="C476" s="377"/>
      <c r="D476" s="1552"/>
      <c r="E476" s="1609"/>
      <c r="F476" s="18"/>
      <c r="G476" s="18"/>
      <c r="H476" s="657"/>
      <c r="I476" s="657"/>
      <c r="J476" s="657"/>
      <c r="K476" s="657"/>
      <c r="L476" s="115">
        <f t="shared" si="309"/>
        <v>0</v>
      </c>
      <c r="M476" s="18">
        <f>SUMIF(Fenster!$D$10:$D$2160,Fassade!F476,Fenster!$J$10:$J$2160)</f>
        <v>0</v>
      </c>
      <c r="N476" s="18">
        <f>SUMIF(Fenster!$D$10:$D$2160,Fassade!F476,Fenster!$M$10:$M$2160)</f>
        <v>0</v>
      </c>
      <c r="O476" s="18">
        <f>SUMIFS(Fenster!$M$10:$M$2160,Fenster!$D$10:$D$2160,Fassade!F476,Fenster!$L$10:$L$2160,"&gt;2,5")</f>
        <v>0</v>
      </c>
      <c r="P476" s="18">
        <f>SUMIF(Fenster!$D$10:$D$2160,Fassade!F476,Fenster!$K$10:$K$2160)</f>
        <v>0</v>
      </c>
      <c r="Q476" s="18">
        <f t="shared" si="310"/>
        <v>0</v>
      </c>
      <c r="R476" s="187">
        <f t="shared" si="311"/>
        <v>0</v>
      </c>
      <c r="S476" s="1602"/>
      <c r="T476" s="1606"/>
      <c r="U476" s="1212" t="s">
        <v>671</v>
      </c>
      <c r="V476" s="1586"/>
      <c r="W476" s="1586"/>
      <c r="X476" s="1589"/>
      <c r="Z476" s="19"/>
      <c r="AA476" s="19"/>
      <c r="AB476" s="447"/>
      <c r="AC476" s="447"/>
      <c r="AD476" s="19"/>
      <c r="AE476" s="19"/>
      <c r="AF476" s="19"/>
      <c r="AG476" s="19"/>
      <c r="AH476" s="19"/>
      <c r="AI476" s="19"/>
      <c r="AJ476" s="19"/>
      <c r="AK476" s="1638"/>
      <c r="AL476" s="1638"/>
      <c r="AM476" s="317"/>
      <c r="AO476" s="447"/>
      <c r="AP476" s="447"/>
    </row>
    <row r="477" spans="2:42">
      <c r="B477" s="131"/>
      <c r="C477" s="377"/>
      <c r="D477" s="1552"/>
      <c r="E477" s="1609"/>
      <c r="F477" s="1612" t="s">
        <v>187</v>
      </c>
      <c r="G477" s="18"/>
      <c r="H477" s="657"/>
      <c r="I477" s="657"/>
      <c r="J477" s="657"/>
      <c r="K477" s="657"/>
      <c r="L477" s="1614">
        <f t="shared" ref="L477" si="312">SUM(L467:L476)</f>
        <v>0</v>
      </c>
      <c r="M477" s="1477">
        <f t="shared" ref="M477" si="313">SUM(M467:M476)</f>
        <v>0</v>
      </c>
      <c r="N477" s="1477">
        <f t="shared" ref="N477" si="314">SUM(N467:N476)</f>
        <v>0</v>
      </c>
      <c r="O477" s="1477">
        <f t="shared" ref="O477" si="315">SUM(O467:O476)</f>
        <v>0</v>
      </c>
      <c r="P477" s="1477">
        <f t="shared" ref="P477" si="316">SUM(P467:P476)</f>
        <v>0</v>
      </c>
      <c r="Q477" s="1477">
        <f t="shared" ref="Q477" si="317">SUM(Q467:Q476)</f>
        <v>0</v>
      </c>
      <c r="R477" s="1483">
        <f>SUM(R467:R476)</f>
        <v>0</v>
      </c>
      <c r="S477" s="1602"/>
      <c r="T477" s="1606"/>
      <c r="U477" s="1213"/>
      <c r="V477" s="1587"/>
      <c r="W477" s="1587"/>
      <c r="X477" s="1590"/>
      <c r="Z477" s="19"/>
      <c r="AA477" s="19"/>
      <c r="AB477" s="447"/>
      <c r="AC477" s="447"/>
      <c r="AD477" s="19"/>
      <c r="AE477" s="19"/>
      <c r="AF477" s="19"/>
      <c r="AG477" s="19"/>
      <c r="AH477" s="19"/>
      <c r="AI477" s="19"/>
      <c r="AJ477" s="19"/>
      <c r="AK477" s="1638"/>
      <c r="AL477" s="1638"/>
      <c r="AM477" s="1637"/>
      <c r="AN477" s="1637"/>
      <c r="AO477" s="1637"/>
      <c r="AP477" s="1637"/>
    </row>
    <row r="478" spans="2:42" ht="17.399999999999999" thickBot="1">
      <c r="B478" s="796"/>
      <c r="C478" s="722"/>
      <c r="D478" s="1610"/>
      <c r="E478" s="1611"/>
      <c r="F478" s="1613"/>
      <c r="G478" s="788"/>
      <c r="H478" s="788"/>
      <c r="I478" s="788"/>
      <c r="J478" s="788"/>
      <c r="K478" s="788"/>
      <c r="L478" s="1615"/>
      <c r="M478" s="1592"/>
      <c r="N478" s="1592"/>
      <c r="O478" s="1592"/>
      <c r="P478" s="1592"/>
      <c r="Q478" s="1592"/>
      <c r="R478" s="1483"/>
      <c r="S478" s="1603"/>
      <c r="T478" s="1607"/>
      <c r="U478" s="1209"/>
      <c r="V478" s="1588"/>
      <c r="W478" s="1588"/>
      <c r="X478" s="1591"/>
      <c r="Z478" s="19"/>
      <c r="AA478" s="19"/>
      <c r="AB478" s="19"/>
      <c r="AC478" s="19"/>
      <c r="AD478" s="19"/>
      <c r="AE478" s="19"/>
      <c r="AF478" s="19"/>
      <c r="AG478" s="19"/>
      <c r="AH478" s="19"/>
      <c r="AI478" s="19"/>
      <c r="AJ478" s="19"/>
      <c r="AK478" s="1638"/>
      <c r="AL478" s="1638"/>
      <c r="AM478" s="1637"/>
      <c r="AN478" s="1637"/>
      <c r="AO478" s="1637"/>
      <c r="AP478" s="1637"/>
    </row>
    <row r="479" spans="2:42" ht="50.4">
      <c r="B479" s="791" t="s">
        <v>714</v>
      </c>
      <c r="C479" s="127"/>
      <c r="D479" s="1623" t="e" vm="14">
        <v>#VALUE!</v>
      </c>
      <c r="E479" s="1624"/>
      <c r="F479" s="1160" t="s">
        <v>296</v>
      </c>
      <c r="G479" s="229" t="s">
        <v>272</v>
      </c>
      <c r="H479" s="229" t="s">
        <v>300</v>
      </c>
      <c r="I479" s="229" t="s">
        <v>301</v>
      </c>
      <c r="J479" s="177" t="s">
        <v>652</v>
      </c>
      <c r="K479" s="177" t="s">
        <v>653</v>
      </c>
      <c r="L479" s="177" t="s">
        <v>654</v>
      </c>
      <c r="M479" s="177" t="s">
        <v>655</v>
      </c>
      <c r="N479" s="177" t="s">
        <v>656</v>
      </c>
      <c r="O479" s="177" t="s">
        <v>657</v>
      </c>
      <c r="P479" s="177" t="s">
        <v>658</v>
      </c>
      <c r="Q479" s="177" t="s">
        <v>659</v>
      </c>
      <c r="R479" s="786" t="s">
        <v>660</v>
      </c>
      <c r="S479" s="1601"/>
      <c r="T479" s="1606"/>
      <c r="U479" s="1200" t="s">
        <v>661</v>
      </c>
      <c r="V479" s="995" t="str" cm="1">
        <f t="array" ref="V479">_xlfn.XLOOKUP(U479&amp;Allgemein!$C$45,Fassadenpositionen[[#Headers],[WDVS:]]&amp;Fassadenpositionen[Position Fassade],Fassadenpositionen[WDVS:],"",0,1)</f>
        <v>Nein</v>
      </c>
      <c r="W479" s="995" t="str" cm="1">
        <f t="array" ref="W479">_xlfn.XLOOKUP(U479&amp;Allgemein!$C$61,Fassadenpositionen[[#Headers],[WDVS:]]&amp;Fassadenpositionen[Position Fassade],Fassadenpositionen[WDVS:],"",0,1)</f>
        <v>Nein</v>
      </c>
      <c r="X479" s="996" t="str" cm="1">
        <f t="array" ref="X479">_xlfn.XLOOKUP(U479&amp;Allgemein!$C$77,Fassadenpositionen[[#Headers],[WDVS:]]&amp;Fassadenpositionen[Position Fassade],Fassadenpositionen[WDVS:],"",0,1)</f>
        <v>Nein</v>
      </c>
      <c r="Z479" s="19"/>
      <c r="AA479" s="19"/>
      <c r="AB479" s="19"/>
      <c r="AC479" s="19"/>
      <c r="AD479" s="19"/>
      <c r="AE479" s="19"/>
      <c r="AF479" s="19"/>
      <c r="AG479" s="19"/>
      <c r="AH479" s="19"/>
      <c r="AI479" s="19"/>
      <c r="AJ479" s="19"/>
      <c r="AK479" s="1217"/>
      <c r="AL479" s="1217"/>
      <c r="AM479" s="1216"/>
      <c r="AN479" s="1216"/>
      <c r="AO479" s="1216"/>
      <c r="AP479" s="1216"/>
    </row>
    <row r="480" spans="2:42">
      <c r="B480" s="135" t="s">
        <v>662</v>
      </c>
      <c r="C480" s="121"/>
      <c r="D480" s="1623"/>
      <c r="E480" s="1624"/>
      <c r="F480" s="18"/>
      <c r="G480" s="18"/>
      <c r="H480" s="657"/>
      <c r="I480" s="657"/>
      <c r="J480" s="657"/>
      <c r="K480" s="657"/>
      <c r="L480" s="115">
        <f t="shared" ref="L480:L489" si="318">H480*I480+J480</f>
        <v>0</v>
      </c>
      <c r="M480" s="18">
        <f>SUMIF(Fenster!$D$10:$D$2160,Fassade!F480,Fenster!$J$10:$J$2160)</f>
        <v>0</v>
      </c>
      <c r="N480" s="18">
        <f>SUMIF(Fenster!$D$10:$D$2160,Fassade!F480,Fenster!$M$10:$M$2160)</f>
        <v>0</v>
      </c>
      <c r="O480" s="18">
        <f>SUMIFS(Fenster!$M$10:$M$2160,Fenster!$D$10:$D$2160,Fassade!F480,Fenster!$L$10:$L$2160,"&gt;2,5")</f>
        <v>0</v>
      </c>
      <c r="P480" s="18">
        <f>SUMIF(Fenster!$D$10:$D$2160,Fassade!F480,Fenster!$K$10:$K$2160)</f>
        <v>0</v>
      </c>
      <c r="Q480" s="18">
        <f t="shared" ref="Q480:Q489" si="319">L480-O480</f>
        <v>0</v>
      </c>
      <c r="R480" s="18">
        <f t="shared" ref="R480:R489" si="320">L480-N480</f>
        <v>0</v>
      </c>
      <c r="S480" s="1602"/>
      <c r="T480" s="1606"/>
      <c r="U480" s="1201" t="s">
        <v>663</v>
      </c>
      <c r="V480" s="997">
        <v>0</v>
      </c>
      <c r="W480" s="952">
        <v>0</v>
      </c>
      <c r="X480" s="988">
        <v>0</v>
      </c>
      <c r="Z480" s="19"/>
      <c r="AA480" s="19"/>
      <c r="AB480" s="19"/>
      <c r="AC480" s="19"/>
      <c r="AD480" s="19"/>
      <c r="AE480" s="19"/>
      <c r="AF480" s="19"/>
      <c r="AG480" s="19"/>
      <c r="AH480" s="19"/>
      <c r="AI480" s="19"/>
      <c r="AJ480" s="19"/>
      <c r="AK480" s="1217"/>
      <c r="AL480" s="1217"/>
      <c r="AM480" s="1216"/>
      <c r="AN480" s="1216"/>
      <c r="AO480" s="1216"/>
      <c r="AP480" s="1216"/>
    </row>
    <row r="481" spans="2:42">
      <c r="B481" s="234" t="s">
        <v>666</v>
      </c>
      <c r="C481" s="208"/>
      <c r="D481" s="1623"/>
      <c r="E481" s="1624"/>
      <c r="F481" s="18"/>
      <c r="G481" s="18"/>
      <c r="H481" s="657"/>
      <c r="I481" s="657"/>
      <c r="J481" s="657"/>
      <c r="K481" s="657"/>
      <c r="L481" s="115">
        <f t="shared" si="318"/>
        <v>0</v>
      </c>
      <c r="M481" s="18">
        <f>SUMIF(Fenster!$D$10:$D$2160,Fassade!F481,Fenster!$J$10:$J$2160)</f>
        <v>0</v>
      </c>
      <c r="N481" s="18">
        <f>SUMIF(Fenster!$D$10:$D$2160,Fassade!F481,Fenster!$M$10:$M$2160)</f>
        <v>0</v>
      </c>
      <c r="O481" s="18">
        <f>SUMIFS(Fenster!$M$10:$M$2160,Fenster!$D$10:$D$2160,Fassade!F481,Fenster!$L$10:$L$2160,"&gt;2,5")</f>
        <v>0</v>
      </c>
      <c r="P481" s="18">
        <f>SUMIF(Fenster!$D$10:$D$2160,Fassade!F481,Fenster!$K$10:$K$2160)</f>
        <v>0</v>
      </c>
      <c r="Q481" s="18">
        <f t="shared" si="319"/>
        <v>0</v>
      </c>
      <c r="R481" s="18">
        <f t="shared" si="320"/>
        <v>0</v>
      </c>
      <c r="S481" s="1602"/>
      <c r="T481" s="1606"/>
      <c r="U481" s="1202" t="s">
        <v>665</v>
      </c>
      <c r="V481" s="998">
        <f>IF(V479="Ja",(Q490+V480)*$V$9,0)</f>
        <v>0</v>
      </c>
      <c r="W481" s="958">
        <f>IF(W479="Ja",(Q490+W480)*$V$9,0)</f>
        <v>0</v>
      </c>
      <c r="X481" s="999">
        <f>IF(X479="Ja",(Q490+X480)*$V$9,0)</f>
        <v>0</v>
      </c>
      <c r="Z481" s="19"/>
      <c r="AA481" s="19"/>
      <c r="AB481" s="19"/>
      <c r="AC481" s="19"/>
      <c r="AD481" s="19"/>
      <c r="AE481" s="19"/>
      <c r="AF481" s="19"/>
      <c r="AG481" s="19"/>
      <c r="AH481" s="19"/>
      <c r="AI481" s="19"/>
      <c r="AJ481" s="19"/>
      <c r="AK481" s="1217"/>
      <c r="AL481" s="1217"/>
      <c r="AM481" s="1216"/>
      <c r="AN481" s="1216"/>
      <c r="AO481" s="1216"/>
      <c r="AP481" s="1216"/>
    </row>
    <row r="482" spans="2:42">
      <c r="B482" s="234" t="s">
        <v>703</v>
      </c>
      <c r="C482" s="208"/>
      <c r="D482" s="1623"/>
      <c r="E482" s="1624"/>
      <c r="F482" s="18"/>
      <c r="G482" s="18"/>
      <c r="H482" s="657"/>
      <c r="I482" s="657"/>
      <c r="J482" s="657"/>
      <c r="K482" s="657"/>
      <c r="L482" s="115">
        <f t="shared" si="318"/>
        <v>0</v>
      </c>
      <c r="M482" s="18">
        <f>SUMIF(Fenster!$D$10:$D$2160,Fassade!F482,Fenster!$J$10:$J$2160)</f>
        <v>0</v>
      </c>
      <c r="N482" s="18">
        <f>SUMIF(Fenster!$D$10:$D$2160,Fassade!F482,Fenster!$M$10:$M$2160)</f>
        <v>0</v>
      </c>
      <c r="O482" s="18">
        <f>SUMIFS(Fenster!$M$10:$M$2160,Fenster!$D$10:$D$2160,Fassade!F482,Fenster!$L$10:$L$2160,"&gt;2,5")</f>
        <v>0</v>
      </c>
      <c r="P482" s="18">
        <f>SUMIF(Fenster!$D$10:$D$2160,Fassade!F482,Fenster!$K$10:$K$2160)</f>
        <v>0</v>
      </c>
      <c r="Q482" s="18">
        <f t="shared" si="319"/>
        <v>0</v>
      </c>
      <c r="R482" s="18">
        <f t="shared" si="320"/>
        <v>0</v>
      </c>
      <c r="S482" s="1602"/>
      <c r="T482" s="1606"/>
      <c r="U482" s="1203" t="s">
        <v>667</v>
      </c>
      <c r="V482" s="998">
        <f>IF(V479="Ja",(R490+V480)*$V$9,0)</f>
        <v>0</v>
      </c>
      <c r="W482" s="958">
        <f>IF(W479="Ja",(R490+W480)*$V$9,0)</f>
        <v>0</v>
      </c>
      <c r="X482" s="999">
        <f>IF(X479="Ja",(R490+X480)*$V$9,0)</f>
        <v>0</v>
      </c>
      <c r="Z482" s="19"/>
      <c r="AA482" s="19"/>
      <c r="AB482" s="19"/>
      <c r="AC482" s="19"/>
      <c r="AD482" s="19"/>
      <c r="AE482" s="19"/>
      <c r="AF482" s="19"/>
      <c r="AG482" s="19"/>
      <c r="AH482" s="19"/>
      <c r="AI482" s="19"/>
      <c r="AJ482" s="19"/>
      <c r="AK482" s="1217"/>
      <c r="AL482" s="1217"/>
      <c r="AM482" s="1216"/>
      <c r="AN482" s="1216"/>
      <c r="AO482" s="1216"/>
      <c r="AP482" s="1216"/>
    </row>
    <row r="483" spans="2:42">
      <c r="B483" s="234" t="s">
        <v>704</v>
      </c>
      <c r="C483" s="208"/>
      <c r="D483" s="1623"/>
      <c r="E483" s="1624"/>
      <c r="F483" s="18"/>
      <c r="G483" s="18"/>
      <c r="H483" s="657"/>
      <c r="I483" s="657"/>
      <c r="J483" s="657"/>
      <c r="K483" s="657"/>
      <c r="L483" s="115">
        <f t="shared" si="318"/>
        <v>0</v>
      </c>
      <c r="M483" s="18">
        <f>SUMIF(Fenster!$D$10:$D$2160,Fassade!F483,Fenster!$J$10:$J$2160)</f>
        <v>0</v>
      </c>
      <c r="N483" s="18">
        <f>SUMIF(Fenster!$D$10:$D$2160,Fassade!F483,Fenster!$M$10:$M$2160)</f>
        <v>0</v>
      </c>
      <c r="O483" s="18">
        <f>SUMIFS(Fenster!$M$10:$M$2160,Fenster!$D$10:$D$2160,Fassade!F483,Fenster!$L$10:$L$2160,"&gt;2,5")</f>
        <v>0</v>
      </c>
      <c r="P483" s="18">
        <f>SUMIF(Fenster!$D$10:$D$2160,Fassade!F483,Fenster!$K$10:$K$2160)</f>
        <v>0</v>
      </c>
      <c r="Q483" s="18">
        <f t="shared" si="319"/>
        <v>0</v>
      </c>
      <c r="R483" s="18">
        <f t="shared" si="320"/>
        <v>0</v>
      </c>
      <c r="S483" s="1602"/>
      <c r="T483" s="1606"/>
      <c r="U483" s="1204" t="s">
        <v>669</v>
      </c>
      <c r="V483" s="958" t="str">
        <f>Allgemein!$D$45</f>
        <v>-</v>
      </c>
      <c r="W483" s="958" t="str">
        <f>Allgemein!$D$61</f>
        <v>-</v>
      </c>
      <c r="X483" s="1000" t="str">
        <f>Allgemein!$D$77</f>
        <v>-</v>
      </c>
      <c r="Z483" s="19"/>
      <c r="AA483" s="19"/>
      <c r="AB483" s="19"/>
      <c r="AC483" s="19"/>
      <c r="AD483" s="19"/>
      <c r="AE483" s="19"/>
      <c r="AF483" s="19"/>
      <c r="AG483" s="19"/>
      <c r="AH483" s="19"/>
      <c r="AI483" s="19"/>
      <c r="AJ483" s="19"/>
      <c r="AK483" s="1217"/>
      <c r="AL483" s="1217"/>
      <c r="AM483" s="1216"/>
      <c r="AN483" s="1216"/>
      <c r="AO483" s="1216"/>
      <c r="AP483" s="1216"/>
    </row>
    <row r="484" spans="2:42">
      <c r="B484" s="234" t="s">
        <v>705</v>
      </c>
      <c r="C484" s="208"/>
      <c r="D484" s="1623"/>
      <c r="E484" s="1624"/>
      <c r="F484" s="18"/>
      <c r="G484" s="18"/>
      <c r="H484" s="657"/>
      <c r="I484" s="657"/>
      <c r="J484" s="657"/>
      <c r="K484" s="657"/>
      <c r="L484" s="115">
        <f t="shared" si="318"/>
        <v>0</v>
      </c>
      <c r="M484" s="18">
        <f>SUMIF(Fenster!$D$10:$D$2160,Fassade!F484,Fenster!$J$10:$J$2160)</f>
        <v>0</v>
      </c>
      <c r="N484" s="18">
        <f>SUMIF(Fenster!$D$10:$D$2160,Fassade!F484,Fenster!$M$10:$M$2160)</f>
        <v>0</v>
      </c>
      <c r="O484" s="18">
        <f>SUMIFS(Fenster!$M$10:$M$2160,Fenster!$D$10:$D$2160,Fassade!F484,Fenster!$L$10:$L$2160,"&gt;2,5")</f>
        <v>0</v>
      </c>
      <c r="P484" s="18">
        <f>SUMIF(Fenster!$D$10:$D$2160,Fassade!F484,Fenster!$K$10:$K$2160)</f>
        <v>0</v>
      </c>
      <c r="Q484" s="18">
        <f t="shared" si="319"/>
        <v>0</v>
      </c>
      <c r="R484" s="18">
        <f t="shared" si="320"/>
        <v>0</v>
      </c>
      <c r="S484" s="1602"/>
      <c r="T484" s="1606"/>
      <c r="U484" s="1205" t="s">
        <v>671</v>
      </c>
      <c r="V484" s="1640"/>
      <c r="W484" s="1586"/>
      <c r="X484" s="1589"/>
      <c r="Z484" s="19"/>
      <c r="AA484" s="19"/>
      <c r="AB484" s="19"/>
      <c r="AC484" s="19"/>
      <c r="AD484" s="19"/>
      <c r="AE484" s="19"/>
      <c r="AF484" s="19"/>
      <c r="AG484" s="19"/>
      <c r="AH484" s="19"/>
      <c r="AI484" s="19"/>
      <c r="AJ484" s="19"/>
      <c r="AK484" s="1217"/>
      <c r="AL484" s="1217"/>
      <c r="AM484" s="1216"/>
      <c r="AN484" s="1216"/>
      <c r="AO484" s="1216"/>
      <c r="AP484" s="1216"/>
    </row>
    <row r="485" spans="2:42">
      <c r="B485" s="234" t="s">
        <v>715</v>
      </c>
      <c r="C485" s="208"/>
      <c r="D485" s="1623"/>
      <c r="E485" s="1624"/>
      <c r="F485" s="18"/>
      <c r="G485" s="18"/>
      <c r="H485" s="657"/>
      <c r="I485" s="657"/>
      <c r="J485" s="657"/>
      <c r="K485" s="657"/>
      <c r="L485" s="115">
        <f t="shared" si="318"/>
        <v>0</v>
      </c>
      <c r="M485" s="18">
        <f>SUMIF(Fenster!$D$10:$D$2160,Fassade!F485,Fenster!$J$10:$J$2160)</f>
        <v>0</v>
      </c>
      <c r="N485" s="18">
        <f>SUMIF(Fenster!$D$10:$D$2160,Fassade!F485,Fenster!$M$10:$M$2160)</f>
        <v>0</v>
      </c>
      <c r="O485" s="18">
        <f>SUMIFS(Fenster!$M$10:$M$2160,Fenster!$D$10:$D$2160,Fassade!F485,Fenster!$L$10:$L$2160,"&gt;2,5")</f>
        <v>0</v>
      </c>
      <c r="P485" s="18">
        <f>SUMIF(Fenster!$D$10:$D$2160,Fassade!F485,Fenster!$K$10:$K$2160)</f>
        <v>0</v>
      </c>
      <c r="Q485" s="18">
        <f t="shared" si="319"/>
        <v>0</v>
      </c>
      <c r="R485" s="18">
        <f t="shared" si="320"/>
        <v>0</v>
      </c>
      <c r="S485" s="1602"/>
      <c r="T485" s="1606"/>
      <c r="U485" s="1206"/>
      <c r="V485" s="1641"/>
      <c r="W485" s="1643"/>
      <c r="X485" s="1590"/>
      <c r="Z485" s="19"/>
      <c r="AA485" s="19"/>
      <c r="AB485" s="19"/>
      <c r="AC485" s="19"/>
      <c r="AD485" s="19"/>
      <c r="AE485" s="19"/>
      <c r="AF485" s="19"/>
      <c r="AG485" s="19"/>
      <c r="AH485" s="19"/>
      <c r="AI485" s="19"/>
      <c r="AJ485" s="19"/>
      <c r="AK485" s="1217"/>
      <c r="AL485" s="1217"/>
      <c r="AM485" s="1216"/>
      <c r="AN485" s="1216"/>
      <c r="AO485" s="1216"/>
      <c r="AP485" s="1216"/>
    </row>
    <row r="486" spans="2:42">
      <c r="B486" s="234" t="s">
        <v>707</v>
      </c>
      <c r="C486" s="208"/>
      <c r="D486" s="1623"/>
      <c r="E486" s="1624"/>
      <c r="F486" s="18"/>
      <c r="G486" s="18"/>
      <c r="H486" s="657"/>
      <c r="I486" s="657"/>
      <c r="J486" s="657"/>
      <c r="K486" s="657"/>
      <c r="L486" s="115">
        <f t="shared" si="318"/>
        <v>0</v>
      </c>
      <c r="M486" s="18">
        <f>SUMIF(Fenster!$D$10:$D$2160,Fassade!F486,Fenster!$J$10:$J$2160)</f>
        <v>0</v>
      </c>
      <c r="N486" s="18">
        <f>SUMIF(Fenster!$D$10:$D$2160,Fassade!F486,Fenster!$M$10:$M$2160)</f>
        <v>0</v>
      </c>
      <c r="O486" s="18">
        <f>SUMIFS(Fenster!$M$10:$M$2160,Fenster!$D$10:$D$2160,Fassade!F486,Fenster!$L$10:$L$2160,"&gt;2,5")</f>
        <v>0</v>
      </c>
      <c r="P486" s="18">
        <f>SUMIF(Fenster!$D$10:$D$2160,Fassade!F486,Fenster!$K$10:$K$2160)</f>
        <v>0</v>
      </c>
      <c r="Q486" s="18">
        <f t="shared" si="319"/>
        <v>0</v>
      </c>
      <c r="R486" s="18">
        <f t="shared" si="320"/>
        <v>0</v>
      </c>
      <c r="S486" s="1602"/>
      <c r="T486" s="1606"/>
      <c r="U486" s="1206"/>
      <c r="V486" s="1641"/>
      <c r="W486" s="1643"/>
      <c r="X486" s="1590"/>
      <c r="Z486" s="19"/>
      <c r="AA486" s="19"/>
      <c r="AB486" s="19"/>
      <c r="AC486" s="19"/>
      <c r="AD486" s="19"/>
      <c r="AE486" s="19"/>
      <c r="AF486" s="19"/>
      <c r="AG486" s="19"/>
      <c r="AH486" s="19"/>
      <c r="AI486" s="19"/>
      <c r="AJ486" s="19"/>
      <c r="AK486" s="1217"/>
      <c r="AL486" s="1217"/>
      <c r="AM486" s="1216"/>
      <c r="AN486" s="1216"/>
      <c r="AO486" s="1216"/>
      <c r="AP486" s="1216"/>
    </row>
    <row r="487" spans="2:42">
      <c r="B487" s="234" t="s">
        <v>716</v>
      </c>
      <c r="C487" s="208"/>
      <c r="D487" s="1623"/>
      <c r="E487" s="1624"/>
      <c r="F487" s="18"/>
      <c r="G487" s="18"/>
      <c r="H487" s="657"/>
      <c r="I487" s="657"/>
      <c r="J487" s="657"/>
      <c r="K487" s="657"/>
      <c r="L487" s="115">
        <f t="shared" si="318"/>
        <v>0</v>
      </c>
      <c r="M487" s="18">
        <f>SUMIF(Fenster!$D$10:$D$2160,Fassade!F487,Fenster!$J$10:$J$2160)</f>
        <v>0</v>
      </c>
      <c r="N487" s="18">
        <f>SUMIF(Fenster!$D$10:$D$2160,Fassade!F487,Fenster!$M$10:$M$2160)</f>
        <v>0</v>
      </c>
      <c r="O487" s="18">
        <f>SUMIFS(Fenster!$M$10:$M$2160,Fenster!$D$10:$D$2160,Fassade!F487,Fenster!$L$10:$L$2160,"&gt;2,5")</f>
        <v>0</v>
      </c>
      <c r="P487" s="18">
        <f>SUMIF(Fenster!$D$10:$D$2160,Fassade!F487,Fenster!$K$10:$K$2160)</f>
        <v>0</v>
      </c>
      <c r="Q487" s="18">
        <f t="shared" si="319"/>
        <v>0</v>
      </c>
      <c r="R487" s="18">
        <f t="shared" si="320"/>
        <v>0</v>
      </c>
      <c r="S487" s="1602"/>
      <c r="T487" s="1606"/>
      <c r="U487" s="1207"/>
      <c r="V487" s="1641"/>
      <c r="W487" s="1643"/>
      <c r="X487" s="1590"/>
      <c r="Z487" s="19"/>
      <c r="AA487" s="19"/>
      <c r="AB487" s="19"/>
      <c r="AC487" s="19"/>
      <c r="AD487" s="19"/>
      <c r="AE487" s="19"/>
      <c r="AF487" s="19"/>
      <c r="AG487" s="19"/>
      <c r="AH487" s="19"/>
      <c r="AI487" s="19"/>
      <c r="AJ487" s="19"/>
      <c r="AK487" s="1217"/>
      <c r="AL487" s="1217"/>
      <c r="AM487" s="1216"/>
      <c r="AN487" s="1216"/>
      <c r="AO487" s="1216"/>
      <c r="AP487" s="1216"/>
    </row>
    <row r="488" spans="2:42">
      <c r="B488" s="234" t="s">
        <v>717</v>
      </c>
      <c r="C488" s="208"/>
      <c r="D488" s="1623"/>
      <c r="E488" s="1624"/>
      <c r="F488" s="18"/>
      <c r="G488" s="18"/>
      <c r="H488" s="657"/>
      <c r="I488" s="657"/>
      <c r="J488" s="657"/>
      <c r="K488" s="657"/>
      <c r="L488" s="115">
        <f t="shared" si="318"/>
        <v>0</v>
      </c>
      <c r="M488" s="18">
        <f>SUMIF(Fenster!$D$10:$D$2160,Fassade!F488,Fenster!$J$10:$J$2160)</f>
        <v>0</v>
      </c>
      <c r="N488" s="18">
        <f>SUMIF(Fenster!$D$10:$D$2160,Fassade!F488,Fenster!$M$10:$M$2160)</f>
        <v>0</v>
      </c>
      <c r="O488" s="18">
        <f>SUMIFS(Fenster!$M$10:$M$2160,Fenster!$D$10:$D$2160,Fassade!F488,Fenster!$L$10:$L$2160,"&gt;2,5")</f>
        <v>0</v>
      </c>
      <c r="P488" s="18">
        <f>SUMIF(Fenster!$D$10:$D$2160,Fassade!F488,Fenster!$K$10:$K$2160)</f>
        <v>0</v>
      </c>
      <c r="Q488" s="18">
        <f t="shared" si="319"/>
        <v>0</v>
      </c>
      <c r="R488" s="18">
        <f t="shared" si="320"/>
        <v>0</v>
      </c>
      <c r="S488" s="1602"/>
      <c r="T488" s="1606"/>
      <c r="U488" s="1207"/>
      <c r="V488" s="1641"/>
      <c r="W488" s="1643"/>
      <c r="X488" s="1590"/>
      <c r="Z488" s="19"/>
      <c r="AA488" s="19"/>
      <c r="AB488" s="19"/>
      <c r="AC488" s="19"/>
      <c r="AD488" s="19"/>
      <c r="AE488" s="19"/>
      <c r="AF488" s="19"/>
      <c r="AG488" s="19"/>
      <c r="AH488" s="19"/>
      <c r="AI488" s="19"/>
      <c r="AJ488" s="19"/>
      <c r="AK488" s="1217"/>
      <c r="AL488" s="1217"/>
      <c r="AM488" s="1216"/>
      <c r="AN488" s="1216"/>
      <c r="AO488" s="1216"/>
      <c r="AP488" s="1216"/>
    </row>
    <row r="489" spans="2:42">
      <c r="B489" s="234" t="s">
        <v>718</v>
      </c>
      <c r="C489" s="208"/>
      <c r="D489" s="1623"/>
      <c r="E489" s="1624"/>
      <c r="F489" s="18"/>
      <c r="G489" s="18"/>
      <c r="H489" s="657"/>
      <c r="I489" s="657"/>
      <c r="J489" s="657"/>
      <c r="K489" s="657"/>
      <c r="L489" s="115">
        <f t="shared" si="318"/>
        <v>0</v>
      </c>
      <c r="M489" s="18">
        <f>SUMIF(Fenster!$D$10:$D$2160,Fassade!F489,Fenster!$J$10:$J$2160)</f>
        <v>0</v>
      </c>
      <c r="N489" s="18">
        <f>SUMIF(Fenster!$D$10:$D$2160,Fassade!F489,Fenster!$M$10:$M$2160)</f>
        <v>0</v>
      </c>
      <c r="O489" s="18">
        <f>SUMIFS(Fenster!$M$10:$M$2160,Fenster!$D$10:$D$2160,Fassade!F489,Fenster!$L$10:$L$2160,"&gt;2,5")</f>
        <v>0</v>
      </c>
      <c r="P489" s="18">
        <f>SUMIF(Fenster!$D$10:$D$2160,Fassade!F489,Fenster!$K$10:$K$2160)</f>
        <v>0</v>
      </c>
      <c r="Q489" s="18">
        <f t="shared" si="319"/>
        <v>0</v>
      </c>
      <c r="R489" s="18">
        <f t="shared" si="320"/>
        <v>0</v>
      </c>
      <c r="S489" s="1602"/>
      <c r="T489" s="1606"/>
      <c r="U489" s="1206"/>
      <c r="V489" s="1641"/>
      <c r="W489" s="1643"/>
      <c r="X489" s="1590"/>
      <c r="Z489" s="19"/>
      <c r="AA489" s="19"/>
      <c r="AB489" s="19"/>
      <c r="AC489" s="19"/>
      <c r="AD489" s="19"/>
      <c r="AE489" s="19"/>
      <c r="AF489" s="19"/>
      <c r="AG489" s="19"/>
      <c r="AH489" s="19"/>
      <c r="AI489" s="19"/>
      <c r="AJ489" s="19"/>
      <c r="AK489" s="1217"/>
      <c r="AL489" s="1217"/>
      <c r="AM489" s="1216"/>
      <c r="AN489" s="1216"/>
      <c r="AO489" s="1216"/>
      <c r="AP489" s="1216"/>
    </row>
    <row r="490" spans="2:42">
      <c r="B490" s="234" t="s">
        <v>670</v>
      </c>
      <c r="C490" s="208"/>
      <c r="D490" s="1623"/>
      <c r="E490" s="1624"/>
      <c r="F490" s="1612" t="s">
        <v>187</v>
      </c>
      <c r="G490" s="18"/>
      <c r="H490" s="657"/>
      <c r="I490" s="657"/>
      <c r="J490" s="657"/>
      <c r="K490" s="657"/>
      <c r="L490" s="1614">
        <f t="shared" ref="L490:P490" si="321">SUM(L480:L489)</f>
        <v>0</v>
      </c>
      <c r="M490" s="1477">
        <f t="shared" si="321"/>
        <v>0</v>
      </c>
      <c r="N490" s="1477">
        <f t="shared" si="321"/>
        <v>0</v>
      </c>
      <c r="O490" s="1477">
        <f t="shared" si="321"/>
        <v>0</v>
      </c>
      <c r="P490" s="1477">
        <f t="shared" si="321"/>
        <v>0</v>
      </c>
      <c r="Q490" s="1477">
        <f t="shared" ref="Q490" si="322">SUM(Q480:Q489)</f>
        <v>0</v>
      </c>
      <c r="R490" s="1477">
        <f>SUM(R480:R489)</f>
        <v>0</v>
      </c>
      <c r="S490" s="1602"/>
      <c r="T490" s="1606"/>
      <c r="U490" s="1208"/>
      <c r="V490" s="1641"/>
      <c r="W490" s="1643"/>
      <c r="X490" s="1590"/>
      <c r="Z490" s="19"/>
      <c r="AA490" s="19"/>
      <c r="AB490" s="19"/>
      <c r="AC490" s="19"/>
      <c r="AD490" s="19"/>
      <c r="AE490" s="19"/>
      <c r="AF490" s="19"/>
      <c r="AG490" s="19"/>
      <c r="AH490" s="19"/>
      <c r="AI490" s="19"/>
      <c r="AJ490" s="19"/>
      <c r="AK490" s="1217"/>
      <c r="AL490" s="1217"/>
      <c r="AM490" s="1216"/>
      <c r="AN490" s="1216"/>
      <c r="AO490" s="1216"/>
      <c r="AP490" s="1216"/>
    </row>
    <row r="491" spans="2:42" ht="17.399999999999999" thickBot="1">
      <c r="B491" s="789" t="s">
        <v>672</v>
      </c>
      <c r="C491" s="787"/>
      <c r="D491" s="1625"/>
      <c r="E491" s="1626"/>
      <c r="F491" s="1613"/>
      <c r="G491" s="788"/>
      <c r="H491" s="788"/>
      <c r="I491" s="788"/>
      <c r="J491" s="788"/>
      <c r="K491" s="788"/>
      <c r="L491" s="1615"/>
      <c r="M491" s="1592"/>
      <c r="N491" s="1592"/>
      <c r="O491" s="1592"/>
      <c r="P491" s="1592"/>
      <c r="Q491" s="1592"/>
      <c r="R491" s="1605"/>
      <c r="S491" s="1603"/>
      <c r="T491" s="1607"/>
      <c r="U491" s="1209"/>
      <c r="V491" s="1642"/>
      <c r="W491" s="1644"/>
      <c r="X491" s="1590"/>
      <c r="Z491" s="19"/>
      <c r="AA491" s="19"/>
      <c r="AB491" s="19"/>
      <c r="AC491" s="19"/>
      <c r="AD491" s="19"/>
      <c r="AE491" s="19"/>
      <c r="AF491" s="19"/>
      <c r="AG491" s="19"/>
      <c r="AH491" s="19"/>
      <c r="AI491" s="19"/>
      <c r="AJ491" s="19"/>
      <c r="AK491" s="1217"/>
      <c r="AL491" s="1217"/>
      <c r="AM491" s="1216"/>
      <c r="AN491" s="1216"/>
      <c r="AO491" s="1216"/>
      <c r="AP491" s="1216"/>
    </row>
    <row r="492" spans="2:42" ht="50.4">
      <c r="B492" s="791" t="s">
        <v>714</v>
      </c>
      <c r="C492" s="127"/>
      <c r="D492" s="1623" t="e" vm="14">
        <v>#VALUE!</v>
      </c>
      <c r="E492" s="1624"/>
      <c r="F492" s="229" t="s">
        <v>296</v>
      </c>
      <c r="G492" s="229" t="s">
        <v>272</v>
      </c>
      <c r="H492" s="229" t="s">
        <v>300</v>
      </c>
      <c r="I492" s="229" t="s">
        <v>301</v>
      </c>
      <c r="J492" s="177" t="s">
        <v>652</v>
      </c>
      <c r="K492" s="177" t="s">
        <v>653</v>
      </c>
      <c r="L492" s="177" t="s">
        <v>654</v>
      </c>
      <c r="M492" s="177" t="s">
        <v>655</v>
      </c>
      <c r="N492" s="177" t="s">
        <v>656</v>
      </c>
      <c r="O492" s="177" t="s">
        <v>657</v>
      </c>
      <c r="P492" s="177" t="s">
        <v>658</v>
      </c>
      <c r="Q492" s="177" t="s">
        <v>659</v>
      </c>
      <c r="R492" s="713" t="s">
        <v>660</v>
      </c>
      <c r="S492" s="1600"/>
      <c r="T492" s="1597"/>
      <c r="U492" s="1200" t="s">
        <v>661</v>
      </c>
      <c r="V492" s="995" t="str" cm="1">
        <f t="array" ref="V492">_xlfn.XLOOKUP(U492&amp;Allgemein!$C$45,Fassadenpositionen[[#Headers],[WDVS:]]&amp;Fassadenpositionen[Position Fassade],Fassadenpositionen[WDVS:],"",0,1)</f>
        <v>Nein</v>
      </c>
      <c r="W492" s="995" t="str" cm="1">
        <f t="array" ref="W492">_xlfn.XLOOKUP(U492&amp;Allgemein!$C$61,Fassadenpositionen[[#Headers],[WDVS:]]&amp;Fassadenpositionen[Position Fassade],Fassadenpositionen[WDVS:],"",0,1)</f>
        <v>Nein</v>
      </c>
      <c r="X492" s="1004" t="str" cm="1">
        <f t="array" ref="X492">_xlfn.XLOOKUP(U492&amp;Allgemein!$C$77,Fassadenpositionen[[#Headers],[WDVS:]]&amp;Fassadenpositionen[Position Fassade],Fassadenpositionen[WDVS:],"",0,1)</f>
        <v>Nein</v>
      </c>
      <c r="Z492" s="19"/>
      <c r="AA492" s="19"/>
      <c r="AB492" s="19"/>
      <c r="AC492" s="19"/>
      <c r="AD492" s="19"/>
      <c r="AE492" s="19"/>
      <c r="AF492" s="19"/>
      <c r="AG492" s="19"/>
      <c r="AH492" s="19"/>
      <c r="AI492" s="19"/>
      <c r="AJ492" s="19"/>
      <c r="AK492" s="1217"/>
      <c r="AL492" s="1217"/>
      <c r="AM492" s="1216"/>
      <c r="AN492" s="1216"/>
      <c r="AO492" s="1216"/>
      <c r="AP492" s="1216"/>
    </row>
    <row r="493" spans="2:42">
      <c r="B493" s="135" t="s">
        <v>662</v>
      </c>
      <c r="C493" s="121"/>
      <c r="D493" s="1623"/>
      <c r="E493" s="1624"/>
      <c r="F493" s="18"/>
      <c r="G493" s="18"/>
      <c r="H493" s="657"/>
      <c r="I493" s="657"/>
      <c r="J493" s="657"/>
      <c r="K493" s="657"/>
      <c r="L493" s="115">
        <f t="shared" ref="L493:L502" si="323">H493*I493+J493</f>
        <v>0</v>
      </c>
      <c r="M493" s="18">
        <f>SUMIF(Fenster!$D$10:$D$2160,Fassade!F493,Fenster!$J$10:$J$2160)</f>
        <v>0</v>
      </c>
      <c r="N493" s="18">
        <f>SUMIF(Fenster!$D$10:$D$2160,Fassade!F493,Fenster!$M$10:$M$2160)</f>
        <v>0</v>
      </c>
      <c r="O493" s="18">
        <f>SUMIFS(Fenster!$M$10:$M$2160,Fenster!$D$10:$D$2160,Fassade!F493,Fenster!$L$10:$L$2160,"&gt;2,5")</f>
        <v>0</v>
      </c>
      <c r="P493" s="18">
        <f>SUMIF(Fenster!$D$10:$D$2160,Fassade!F493,Fenster!$K$10:$K$2160)</f>
        <v>0</v>
      </c>
      <c r="Q493" s="18">
        <f t="shared" ref="Q493:Q502" si="324">L493-O493</f>
        <v>0</v>
      </c>
      <c r="R493" s="187">
        <f t="shared" ref="R493:R502" si="325">L493-N493</f>
        <v>0</v>
      </c>
      <c r="S493" s="1596"/>
      <c r="T493" s="1597"/>
      <c r="U493" s="1201" t="s">
        <v>663</v>
      </c>
      <c r="V493" s="997">
        <v>0</v>
      </c>
      <c r="W493" s="952">
        <v>0</v>
      </c>
      <c r="X493" s="988">
        <v>0</v>
      </c>
      <c r="Z493" s="19"/>
      <c r="AA493" s="19"/>
      <c r="AB493" s="19"/>
      <c r="AC493" s="19"/>
      <c r="AD493" s="19"/>
      <c r="AE493" s="19"/>
      <c r="AF493" s="19"/>
      <c r="AG493" s="19"/>
      <c r="AH493" s="19"/>
      <c r="AI493" s="19"/>
      <c r="AJ493" s="19"/>
      <c r="AK493" s="1217"/>
      <c r="AL493" s="1217"/>
      <c r="AM493" s="1216"/>
      <c r="AN493" s="1216"/>
      <c r="AO493" s="1216"/>
      <c r="AP493" s="1216"/>
    </row>
    <row r="494" spans="2:42">
      <c r="B494" s="234" t="s">
        <v>666</v>
      </c>
      <c r="C494" s="208"/>
      <c r="D494" s="1623"/>
      <c r="E494" s="1624"/>
      <c r="F494" s="18"/>
      <c r="G494" s="18"/>
      <c r="H494" s="657"/>
      <c r="I494" s="657"/>
      <c r="J494" s="657"/>
      <c r="K494" s="657"/>
      <c r="L494" s="115">
        <f t="shared" si="323"/>
        <v>0</v>
      </c>
      <c r="M494" s="18">
        <f>SUMIF(Fenster!$D$10:$D$2160,Fassade!F494,Fenster!$J$10:$J$2160)</f>
        <v>0</v>
      </c>
      <c r="N494" s="18">
        <f>SUMIF(Fenster!$D$10:$D$2160,Fassade!F494,Fenster!$M$10:$M$2160)</f>
        <v>0</v>
      </c>
      <c r="O494" s="18">
        <f>SUMIFS(Fenster!$M$10:$M$2160,Fenster!$D$10:$D$2160,Fassade!F494,Fenster!$L$10:$L$2160,"&gt;2,5")</f>
        <v>0</v>
      </c>
      <c r="P494" s="18">
        <f>SUMIF(Fenster!$D$10:$D$2160,Fassade!F494,Fenster!$K$10:$K$2160)</f>
        <v>0</v>
      </c>
      <c r="Q494" s="18">
        <f t="shared" si="324"/>
        <v>0</v>
      </c>
      <c r="R494" s="187">
        <f t="shared" si="325"/>
        <v>0</v>
      </c>
      <c r="S494" s="1596"/>
      <c r="T494" s="1597"/>
      <c r="U494" s="1202" t="s">
        <v>665</v>
      </c>
      <c r="V494" s="998">
        <f>IF(V492="Ja",(Q503+V493)*$V$9,0)</f>
        <v>0</v>
      </c>
      <c r="W494" s="958">
        <f>IF(W492="Ja",(Q503+W493)*$V$9,0)</f>
        <v>0</v>
      </c>
      <c r="X494" s="999">
        <f>IF(X492="Ja",(Q503+X493)*$V$9,0)</f>
        <v>0</v>
      </c>
      <c r="Z494" s="19"/>
      <c r="AA494" s="19"/>
      <c r="AB494" s="19"/>
      <c r="AC494" s="19"/>
      <c r="AD494" s="19"/>
      <c r="AE494" s="19"/>
      <c r="AF494" s="19"/>
      <c r="AG494" s="19"/>
      <c r="AH494" s="19"/>
      <c r="AI494" s="19"/>
      <c r="AJ494" s="19"/>
      <c r="AK494" s="1217"/>
      <c r="AL494" s="1217"/>
      <c r="AM494" s="1216"/>
      <c r="AN494" s="1216"/>
      <c r="AO494" s="1216"/>
      <c r="AP494" s="1216"/>
    </row>
    <row r="495" spans="2:42">
      <c r="B495" s="234" t="s">
        <v>703</v>
      </c>
      <c r="C495" s="208"/>
      <c r="D495" s="1623"/>
      <c r="E495" s="1624"/>
      <c r="F495" s="18"/>
      <c r="G495" s="18"/>
      <c r="H495" s="657"/>
      <c r="I495" s="657"/>
      <c r="J495" s="657"/>
      <c r="K495" s="657"/>
      <c r="L495" s="115">
        <f t="shared" si="323"/>
        <v>0</v>
      </c>
      <c r="M495" s="18">
        <f>SUMIF(Fenster!$D$10:$D$2160,Fassade!F495,Fenster!$J$10:$J$2160)</f>
        <v>0</v>
      </c>
      <c r="N495" s="18">
        <f>SUMIF(Fenster!$D$10:$D$2160,Fassade!F495,Fenster!$M$10:$M$2160)</f>
        <v>0</v>
      </c>
      <c r="O495" s="18">
        <f>SUMIFS(Fenster!$M$10:$M$2160,Fenster!$D$10:$D$2160,Fassade!F495,Fenster!$L$10:$L$2160,"&gt;2,5")</f>
        <v>0</v>
      </c>
      <c r="P495" s="18">
        <f>SUMIF(Fenster!$D$10:$D$2160,Fassade!F495,Fenster!$K$10:$K$2160)</f>
        <v>0</v>
      </c>
      <c r="Q495" s="18">
        <f t="shared" si="324"/>
        <v>0</v>
      </c>
      <c r="R495" s="187">
        <f t="shared" si="325"/>
        <v>0</v>
      </c>
      <c r="S495" s="1596"/>
      <c r="T495" s="1597"/>
      <c r="U495" s="1203" t="s">
        <v>667</v>
      </c>
      <c r="V495" s="998">
        <f>IF(V492="Ja",(R503+V493)*$V$9,0)</f>
        <v>0</v>
      </c>
      <c r="W495" s="958">
        <f>IF(W492="Ja",(R503+W493)*$V$9,0)</f>
        <v>0</v>
      </c>
      <c r="X495" s="999">
        <f>IF(X492="Ja",(R503+X493)*$V$9,0)</f>
        <v>0</v>
      </c>
      <c r="Z495" s="19"/>
      <c r="AA495" s="19"/>
      <c r="AB495" s="19"/>
      <c r="AC495" s="19"/>
      <c r="AD495" s="19"/>
      <c r="AE495" s="19"/>
      <c r="AF495" s="19"/>
      <c r="AG495" s="19"/>
      <c r="AH495" s="19"/>
      <c r="AI495" s="19"/>
      <c r="AJ495" s="19"/>
      <c r="AK495" s="1217"/>
      <c r="AL495" s="1217"/>
      <c r="AM495" s="1216"/>
      <c r="AN495" s="1216"/>
      <c r="AO495" s="1216"/>
      <c r="AP495" s="1216"/>
    </row>
    <row r="496" spans="2:42">
      <c r="B496" s="234" t="s">
        <v>704</v>
      </c>
      <c r="C496" s="208"/>
      <c r="D496" s="1623"/>
      <c r="E496" s="1624"/>
      <c r="F496" s="18"/>
      <c r="G496" s="18"/>
      <c r="H496" s="657"/>
      <c r="I496" s="657"/>
      <c r="J496" s="657"/>
      <c r="K496" s="657"/>
      <c r="L496" s="115">
        <f t="shared" si="323"/>
        <v>0</v>
      </c>
      <c r="M496" s="18">
        <f>SUMIF(Fenster!$D$10:$D$2160,Fassade!F496,Fenster!$J$10:$J$2160)</f>
        <v>0</v>
      </c>
      <c r="N496" s="18">
        <f>SUMIF(Fenster!$D$10:$D$2160,Fassade!F496,Fenster!$M$10:$M$2160)</f>
        <v>0</v>
      </c>
      <c r="O496" s="18">
        <f>SUMIFS(Fenster!$M$10:$M$2160,Fenster!$D$10:$D$2160,Fassade!F496,Fenster!$L$10:$L$2160,"&gt;2,5")</f>
        <v>0</v>
      </c>
      <c r="P496" s="18">
        <f>SUMIF(Fenster!$D$10:$D$2160,Fassade!F496,Fenster!$K$10:$K$2160)</f>
        <v>0</v>
      </c>
      <c r="Q496" s="18">
        <f t="shared" si="324"/>
        <v>0</v>
      </c>
      <c r="R496" s="187">
        <f t="shared" si="325"/>
        <v>0</v>
      </c>
      <c r="S496" s="1596"/>
      <c r="T496" s="1597"/>
      <c r="U496" s="1204" t="s">
        <v>669</v>
      </c>
      <c r="V496" s="958" t="str">
        <f>Allgemein!$D$45</f>
        <v>-</v>
      </c>
      <c r="W496" s="958" t="str">
        <f>Allgemein!$D$61</f>
        <v>-</v>
      </c>
      <c r="X496" s="1000" t="str">
        <f>Allgemein!$D$77</f>
        <v>-</v>
      </c>
      <c r="Z496" s="19"/>
      <c r="AA496" s="19"/>
      <c r="AB496" s="19"/>
      <c r="AC496" s="19"/>
      <c r="AD496" s="19"/>
      <c r="AE496" s="19"/>
      <c r="AF496" s="19"/>
      <c r="AG496" s="19"/>
      <c r="AH496" s="19"/>
      <c r="AI496" s="19"/>
      <c r="AJ496" s="19"/>
      <c r="AK496" s="1217"/>
      <c r="AL496" s="1217"/>
      <c r="AM496" s="1216"/>
      <c r="AN496" s="1216"/>
      <c r="AO496" s="1216"/>
      <c r="AP496" s="1216"/>
    </row>
    <row r="497" spans="2:42">
      <c r="B497" s="234" t="s">
        <v>705</v>
      </c>
      <c r="C497" s="208"/>
      <c r="D497" s="1623"/>
      <c r="E497" s="1624"/>
      <c r="F497" s="18"/>
      <c r="G497" s="18"/>
      <c r="H497" s="657"/>
      <c r="I497" s="657"/>
      <c r="J497" s="657"/>
      <c r="K497" s="657"/>
      <c r="L497" s="115">
        <f t="shared" si="323"/>
        <v>0</v>
      </c>
      <c r="M497" s="18">
        <f>SUMIF(Fenster!$D$10:$D$2160,Fassade!F497,Fenster!$J$10:$J$2160)</f>
        <v>0</v>
      </c>
      <c r="N497" s="18">
        <f>SUMIF(Fenster!$D$10:$D$2160,Fassade!F497,Fenster!$M$10:$M$2160)</f>
        <v>0</v>
      </c>
      <c r="O497" s="18">
        <f>SUMIFS(Fenster!$M$10:$M$2160,Fenster!$D$10:$D$2160,Fassade!F497,Fenster!$L$10:$L$2160,"&gt;2,5")</f>
        <v>0</v>
      </c>
      <c r="P497" s="18">
        <f>SUMIF(Fenster!$D$10:$D$2160,Fassade!F497,Fenster!$K$10:$K$2160)</f>
        <v>0</v>
      </c>
      <c r="Q497" s="18">
        <f t="shared" si="324"/>
        <v>0</v>
      </c>
      <c r="R497" s="187">
        <f t="shared" si="325"/>
        <v>0</v>
      </c>
      <c r="S497" s="1596"/>
      <c r="T497" s="1597"/>
      <c r="U497" s="1205" t="s">
        <v>671</v>
      </c>
      <c r="V497" s="1640"/>
      <c r="W497" s="1586"/>
      <c r="X497" s="1589"/>
      <c r="Z497" s="19"/>
      <c r="AA497" s="19"/>
      <c r="AB497" s="19"/>
      <c r="AC497" s="19"/>
      <c r="AD497" s="19"/>
      <c r="AE497" s="19"/>
      <c r="AF497" s="19"/>
      <c r="AG497" s="19"/>
      <c r="AH497" s="19"/>
      <c r="AI497" s="19"/>
      <c r="AJ497" s="19"/>
      <c r="AK497" s="1217"/>
      <c r="AL497" s="1217"/>
      <c r="AM497" s="1216"/>
      <c r="AN497" s="1216"/>
      <c r="AO497" s="1216"/>
      <c r="AP497" s="1216"/>
    </row>
    <row r="498" spans="2:42">
      <c r="B498" s="234" t="s">
        <v>715</v>
      </c>
      <c r="C498" s="208"/>
      <c r="D498" s="1623"/>
      <c r="E498" s="1624"/>
      <c r="F498" s="18"/>
      <c r="G498" s="18"/>
      <c r="H498" s="657"/>
      <c r="I498" s="657"/>
      <c r="J498" s="657"/>
      <c r="K498" s="657"/>
      <c r="L498" s="115">
        <f t="shared" si="323"/>
        <v>0</v>
      </c>
      <c r="M498" s="18">
        <f>SUMIF(Fenster!$D$10:$D$2160,Fassade!F498,Fenster!$J$10:$J$2160)</f>
        <v>0</v>
      </c>
      <c r="N498" s="18">
        <f>SUMIF(Fenster!$D$10:$D$2160,Fassade!F498,Fenster!$M$10:$M$2160)</f>
        <v>0</v>
      </c>
      <c r="O498" s="18">
        <f>SUMIFS(Fenster!$M$10:$M$2160,Fenster!$D$10:$D$2160,Fassade!F498,Fenster!$L$10:$L$2160,"&gt;2,5")</f>
        <v>0</v>
      </c>
      <c r="P498" s="18">
        <f>SUMIF(Fenster!$D$10:$D$2160,Fassade!F498,Fenster!$K$10:$K$2160)</f>
        <v>0</v>
      </c>
      <c r="Q498" s="18">
        <f t="shared" si="324"/>
        <v>0</v>
      </c>
      <c r="R498" s="187">
        <f t="shared" si="325"/>
        <v>0</v>
      </c>
      <c r="S498" s="1596"/>
      <c r="T498" s="1597"/>
      <c r="U498" s="1206"/>
      <c r="V498" s="1641"/>
      <c r="W498" s="1643"/>
      <c r="X498" s="1590"/>
      <c r="Z498" s="19"/>
      <c r="AA498" s="19"/>
      <c r="AB498" s="19"/>
      <c r="AC498" s="19"/>
      <c r="AD498" s="19"/>
      <c r="AE498" s="19"/>
      <c r="AF498" s="19"/>
      <c r="AG498" s="19"/>
      <c r="AH498" s="19"/>
      <c r="AI498" s="19"/>
      <c r="AJ498" s="19"/>
      <c r="AK498" s="1217"/>
      <c r="AL498" s="1217"/>
      <c r="AM498" s="1216"/>
      <c r="AN498" s="1216"/>
      <c r="AO498" s="1216"/>
      <c r="AP498" s="1216"/>
    </row>
    <row r="499" spans="2:42">
      <c r="B499" s="234" t="s">
        <v>707</v>
      </c>
      <c r="C499" s="208"/>
      <c r="D499" s="1623"/>
      <c r="E499" s="1624"/>
      <c r="F499" s="18"/>
      <c r="G499" s="18"/>
      <c r="H499" s="657"/>
      <c r="I499" s="657"/>
      <c r="J499" s="657"/>
      <c r="K499" s="657"/>
      <c r="L499" s="115">
        <f t="shared" si="323"/>
        <v>0</v>
      </c>
      <c r="M499" s="18">
        <f>SUMIF(Fenster!$D$10:$D$2160,Fassade!F499,Fenster!$J$10:$J$2160)</f>
        <v>0</v>
      </c>
      <c r="N499" s="18">
        <f>SUMIF(Fenster!$D$10:$D$2160,Fassade!F499,Fenster!$M$10:$M$2160)</f>
        <v>0</v>
      </c>
      <c r="O499" s="18">
        <f>SUMIFS(Fenster!$M$10:$M$2160,Fenster!$D$10:$D$2160,Fassade!F499,Fenster!$L$10:$L$2160,"&gt;2,5")</f>
        <v>0</v>
      </c>
      <c r="P499" s="18">
        <f>SUMIF(Fenster!$D$10:$D$2160,Fassade!F499,Fenster!$K$10:$K$2160)</f>
        <v>0</v>
      </c>
      <c r="Q499" s="18">
        <f t="shared" si="324"/>
        <v>0</v>
      </c>
      <c r="R499" s="187">
        <f t="shared" si="325"/>
        <v>0</v>
      </c>
      <c r="S499" s="1596"/>
      <c r="T499" s="1597"/>
      <c r="U499" s="1206"/>
      <c r="V499" s="1641"/>
      <c r="W499" s="1643"/>
      <c r="X499" s="1590"/>
      <c r="Z499" s="19"/>
      <c r="AA499" s="19"/>
      <c r="AB499" s="19"/>
      <c r="AC499" s="19"/>
      <c r="AD499" s="19"/>
      <c r="AE499" s="19"/>
      <c r="AF499" s="19"/>
      <c r="AG499" s="19"/>
      <c r="AH499" s="19"/>
      <c r="AI499" s="19"/>
      <c r="AJ499" s="19"/>
      <c r="AK499" s="1217"/>
      <c r="AL499" s="1217"/>
      <c r="AM499" s="1216"/>
      <c r="AN499" s="1216"/>
      <c r="AO499" s="1216"/>
      <c r="AP499" s="1216"/>
    </row>
    <row r="500" spans="2:42">
      <c r="B500" s="234" t="s">
        <v>716</v>
      </c>
      <c r="C500" s="208"/>
      <c r="D500" s="1623"/>
      <c r="E500" s="1624"/>
      <c r="F500" s="18"/>
      <c r="G500" s="18"/>
      <c r="H500" s="657"/>
      <c r="I500" s="657"/>
      <c r="J500" s="657"/>
      <c r="K500" s="657"/>
      <c r="L500" s="115">
        <f t="shared" si="323"/>
        <v>0</v>
      </c>
      <c r="M500" s="18">
        <f>SUMIF(Fenster!$D$10:$D$2160,Fassade!F500,Fenster!$J$10:$J$2160)</f>
        <v>0</v>
      </c>
      <c r="N500" s="18">
        <f>SUMIF(Fenster!$D$10:$D$2160,Fassade!F500,Fenster!$M$10:$M$2160)</f>
        <v>0</v>
      </c>
      <c r="O500" s="18">
        <f>SUMIFS(Fenster!$M$10:$M$2160,Fenster!$D$10:$D$2160,Fassade!F500,Fenster!$L$10:$L$2160,"&gt;2,5")</f>
        <v>0</v>
      </c>
      <c r="P500" s="18">
        <f>SUMIF(Fenster!$D$10:$D$2160,Fassade!F500,Fenster!$K$10:$K$2160)</f>
        <v>0</v>
      </c>
      <c r="Q500" s="18">
        <f t="shared" si="324"/>
        <v>0</v>
      </c>
      <c r="R500" s="187">
        <f t="shared" si="325"/>
        <v>0</v>
      </c>
      <c r="S500" s="1596"/>
      <c r="T500" s="1597"/>
      <c r="U500" s="1207"/>
      <c r="V500" s="1641"/>
      <c r="W500" s="1643"/>
      <c r="X500" s="1590"/>
      <c r="Z500" s="19"/>
      <c r="AA500" s="19"/>
      <c r="AB500" s="19"/>
      <c r="AC500" s="19"/>
      <c r="AD500" s="19"/>
      <c r="AE500" s="19"/>
      <c r="AF500" s="19"/>
      <c r="AG500" s="19"/>
      <c r="AH500" s="19"/>
      <c r="AI500" s="19"/>
      <c r="AJ500" s="19"/>
      <c r="AK500" s="1217"/>
      <c r="AL500" s="1217"/>
      <c r="AM500" s="1216"/>
      <c r="AN500" s="1216"/>
      <c r="AO500" s="1216"/>
      <c r="AP500" s="1216"/>
    </row>
    <row r="501" spans="2:42">
      <c r="B501" s="234" t="s">
        <v>717</v>
      </c>
      <c r="C501" s="208"/>
      <c r="D501" s="1623"/>
      <c r="E501" s="1624"/>
      <c r="F501" s="18"/>
      <c r="G501" s="18"/>
      <c r="H501" s="657"/>
      <c r="I501" s="657"/>
      <c r="J501" s="657"/>
      <c r="K501" s="657"/>
      <c r="L501" s="115">
        <f t="shared" si="323"/>
        <v>0</v>
      </c>
      <c r="M501" s="18">
        <f>SUMIF(Fenster!$D$10:$D$2160,Fassade!F501,Fenster!$J$10:$J$2160)</f>
        <v>0</v>
      </c>
      <c r="N501" s="18">
        <f>SUMIF(Fenster!$D$10:$D$2160,Fassade!F501,Fenster!$M$10:$M$2160)</f>
        <v>0</v>
      </c>
      <c r="O501" s="18">
        <f>SUMIFS(Fenster!$M$10:$M$2160,Fenster!$D$10:$D$2160,Fassade!F501,Fenster!$L$10:$L$2160,"&gt;2,5")</f>
        <v>0</v>
      </c>
      <c r="P501" s="18">
        <f>SUMIF(Fenster!$D$10:$D$2160,Fassade!F501,Fenster!$K$10:$K$2160)</f>
        <v>0</v>
      </c>
      <c r="Q501" s="18">
        <f t="shared" si="324"/>
        <v>0</v>
      </c>
      <c r="R501" s="187">
        <f t="shared" si="325"/>
        <v>0</v>
      </c>
      <c r="S501" s="1596"/>
      <c r="T501" s="1597"/>
      <c r="U501" s="1207"/>
      <c r="V501" s="1641"/>
      <c r="W501" s="1643"/>
      <c r="X501" s="1590"/>
      <c r="Z501" s="19"/>
      <c r="AA501" s="19"/>
      <c r="AB501" s="19"/>
      <c r="AC501" s="19"/>
      <c r="AD501" s="19"/>
      <c r="AE501" s="19"/>
      <c r="AF501" s="19"/>
      <c r="AG501" s="19"/>
      <c r="AH501" s="19"/>
      <c r="AI501" s="19"/>
      <c r="AJ501" s="19"/>
      <c r="AK501" s="1217"/>
      <c r="AL501" s="1217"/>
      <c r="AM501" s="1216"/>
      <c r="AN501" s="1216"/>
      <c r="AO501" s="1216"/>
      <c r="AP501" s="1216"/>
    </row>
    <row r="502" spans="2:42">
      <c r="B502" s="234" t="s">
        <v>718</v>
      </c>
      <c r="C502" s="208"/>
      <c r="D502" s="1623"/>
      <c r="E502" s="1624"/>
      <c r="F502" s="18"/>
      <c r="G502" s="18"/>
      <c r="H502" s="657"/>
      <c r="I502" s="657"/>
      <c r="J502" s="657"/>
      <c r="K502" s="657"/>
      <c r="L502" s="115">
        <f t="shared" si="323"/>
        <v>0</v>
      </c>
      <c r="M502" s="18">
        <f>SUMIF(Fenster!$D$10:$D$2160,Fassade!F502,Fenster!$J$10:$J$2160)</f>
        <v>0</v>
      </c>
      <c r="N502" s="18">
        <f>SUMIF(Fenster!$D$10:$D$2160,Fassade!F502,Fenster!$M$10:$M$2160)</f>
        <v>0</v>
      </c>
      <c r="O502" s="18">
        <f>SUMIFS(Fenster!$M$10:$M$2160,Fenster!$D$10:$D$2160,Fassade!F502,Fenster!$L$10:$L$2160,"&gt;2,5")</f>
        <v>0</v>
      </c>
      <c r="P502" s="18">
        <f>SUMIF(Fenster!$D$10:$D$2160,Fassade!F502,Fenster!$K$10:$K$2160)</f>
        <v>0</v>
      </c>
      <c r="Q502" s="18">
        <f t="shared" si="324"/>
        <v>0</v>
      </c>
      <c r="R502" s="187">
        <f t="shared" si="325"/>
        <v>0</v>
      </c>
      <c r="S502" s="1596"/>
      <c r="T502" s="1597"/>
      <c r="U502" s="1206"/>
      <c r="V502" s="1641"/>
      <c r="W502" s="1643"/>
      <c r="X502" s="1590"/>
      <c r="Z502" s="19"/>
      <c r="AA502" s="19"/>
      <c r="AB502" s="19"/>
      <c r="AC502" s="19"/>
      <c r="AD502" s="19"/>
      <c r="AE502" s="19"/>
      <c r="AF502" s="19"/>
      <c r="AG502" s="19"/>
      <c r="AH502" s="19"/>
      <c r="AI502" s="19"/>
      <c r="AJ502" s="19"/>
      <c r="AK502" s="1217"/>
      <c r="AL502" s="1217"/>
      <c r="AM502" s="1216"/>
      <c r="AN502" s="1216"/>
      <c r="AO502" s="1216"/>
      <c r="AP502" s="1216"/>
    </row>
    <row r="503" spans="2:42">
      <c r="B503" s="234" t="s">
        <v>670</v>
      </c>
      <c r="C503" s="208"/>
      <c r="D503" s="1623"/>
      <c r="E503" s="1624"/>
      <c r="F503" s="1612" t="s">
        <v>187</v>
      </c>
      <c r="G503" s="18"/>
      <c r="H503" s="657"/>
      <c r="I503" s="657"/>
      <c r="J503" s="657"/>
      <c r="K503" s="657"/>
      <c r="L503" s="1614">
        <f>SUM(L493:L502)</f>
        <v>0</v>
      </c>
      <c r="M503" s="1477">
        <f t="shared" ref="M503:Q503" si="326">SUM(M493:M502)</f>
        <v>0</v>
      </c>
      <c r="N503" s="1477">
        <f t="shared" si="326"/>
        <v>0</v>
      </c>
      <c r="O503" s="1477">
        <f t="shared" si="326"/>
        <v>0</v>
      </c>
      <c r="P503" s="1477">
        <f t="shared" si="326"/>
        <v>0</v>
      </c>
      <c r="Q503" s="1477">
        <f t="shared" si="326"/>
        <v>0</v>
      </c>
      <c r="R503" s="1483">
        <f>SUM(R493:R502)</f>
        <v>0</v>
      </c>
      <c r="S503" s="1596"/>
      <c r="T503" s="1597"/>
      <c r="U503" s="1208"/>
      <c r="V503" s="1641"/>
      <c r="W503" s="1643"/>
      <c r="X503" s="1590"/>
      <c r="Z503" s="19"/>
      <c r="AA503" s="19"/>
      <c r="AB503" s="19"/>
      <c r="AC503" s="19"/>
      <c r="AD503" s="19"/>
      <c r="AE503" s="19"/>
      <c r="AF503" s="19"/>
      <c r="AG503" s="19"/>
      <c r="AH503" s="19"/>
      <c r="AI503" s="19"/>
      <c r="AJ503" s="19"/>
      <c r="AK503" s="1217"/>
      <c r="AL503" s="1217"/>
      <c r="AM503" s="1216"/>
      <c r="AN503" s="1216"/>
      <c r="AO503" s="1216"/>
      <c r="AP503" s="1216"/>
    </row>
    <row r="504" spans="2:42" ht="17.399999999999999" thickBot="1">
      <c r="B504" s="789" t="s">
        <v>672</v>
      </c>
      <c r="C504" s="787"/>
      <c r="D504" s="1625"/>
      <c r="E504" s="1626"/>
      <c r="F504" s="1613"/>
      <c r="G504" s="788"/>
      <c r="H504" s="788"/>
      <c r="I504" s="788"/>
      <c r="J504" s="788"/>
      <c r="K504" s="788"/>
      <c r="L504" s="1615"/>
      <c r="M504" s="1592"/>
      <c r="N504" s="1592"/>
      <c r="O504" s="1592"/>
      <c r="P504" s="1592"/>
      <c r="Q504" s="1592"/>
      <c r="R504" s="1605"/>
      <c r="S504" s="1598"/>
      <c r="T504" s="1599"/>
      <c r="U504" s="1209"/>
      <c r="V504" s="1642"/>
      <c r="W504" s="1644"/>
      <c r="X504" s="1590"/>
      <c r="Z504" s="19"/>
      <c r="AA504" s="19"/>
      <c r="AB504" s="19"/>
      <c r="AC504" s="19"/>
      <c r="AD504" s="19"/>
      <c r="AE504" s="19"/>
      <c r="AF504" s="19"/>
      <c r="AG504" s="19"/>
      <c r="AH504" s="19"/>
      <c r="AI504" s="19"/>
      <c r="AJ504" s="19"/>
      <c r="AK504" s="1217"/>
      <c r="AL504" s="1217"/>
      <c r="AM504" s="1216"/>
      <c r="AN504" s="1216"/>
      <c r="AO504" s="1216"/>
      <c r="AP504" s="1216"/>
    </row>
    <row r="505" spans="2:42" ht="50.4">
      <c r="B505" s="791" t="s">
        <v>714</v>
      </c>
      <c r="C505" s="127"/>
      <c r="D505" s="1623" t="e" vm="14">
        <v>#VALUE!</v>
      </c>
      <c r="E505" s="1624"/>
      <c r="F505" s="229" t="s">
        <v>296</v>
      </c>
      <c r="G505" s="229" t="s">
        <v>272</v>
      </c>
      <c r="H505" s="229" t="s">
        <v>300</v>
      </c>
      <c r="I505" s="229" t="s">
        <v>301</v>
      </c>
      <c r="J505" s="177" t="s">
        <v>652</v>
      </c>
      <c r="K505" s="177" t="s">
        <v>653</v>
      </c>
      <c r="L505" s="177" t="s">
        <v>654</v>
      </c>
      <c r="M505" s="177" t="s">
        <v>655</v>
      </c>
      <c r="N505" s="177" t="s">
        <v>656</v>
      </c>
      <c r="O505" s="177" t="s">
        <v>657</v>
      </c>
      <c r="P505" s="177" t="s">
        <v>658</v>
      </c>
      <c r="Q505" s="177" t="s">
        <v>659</v>
      </c>
      <c r="R505" s="713" t="s">
        <v>660</v>
      </c>
      <c r="S505" s="1600"/>
      <c r="T505" s="1597"/>
      <c r="U505" s="1200" t="s">
        <v>661</v>
      </c>
      <c r="V505" s="995" t="str" cm="1">
        <f t="array" ref="V505">_xlfn.XLOOKUP(U505&amp;Allgemein!$C$45,Fassadenpositionen[[#Headers],[WDVS:]]&amp;Fassadenpositionen[Position Fassade],Fassadenpositionen[WDVS:],"",0,1)</f>
        <v>Nein</v>
      </c>
      <c r="W505" s="995" t="str" cm="1">
        <f t="array" ref="W505">_xlfn.XLOOKUP(U505&amp;Allgemein!$C$61,Fassadenpositionen[[#Headers],[WDVS:]]&amp;Fassadenpositionen[Position Fassade],Fassadenpositionen[WDVS:],"",0,1)</f>
        <v>Nein</v>
      </c>
      <c r="X505" s="1004" t="str" cm="1">
        <f t="array" ref="X505">_xlfn.XLOOKUP(U505&amp;Allgemein!$C$77,Fassadenpositionen[[#Headers],[WDVS:]]&amp;Fassadenpositionen[Position Fassade],Fassadenpositionen[WDVS:],"",0,1)</f>
        <v>Nein</v>
      </c>
      <c r="Z505" s="19"/>
      <c r="AA505" s="19"/>
      <c r="AB505" s="19"/>
      <c r="AC505" s="19"/>
      <c r="AD505" s="19"/>
      <c r="AE505" s="19"/>
      <c r="AF505" s="19"/>
      <c r="AG505" s="19"/>
      <c r="AH505" s="19"/>
      <c r="AI505" s="19"/>
      <c r="AJ505" s="19"/>
      <c r="AK505" s="1217"/>
      <c r="AL505" s="1217"/>
      <c r="AM505" s="1216"/>
      <c r="AN505" s="1216"/>
      <c r="AO505" s="1216"/>
      <c r="AP505" s="1216"/>
    </row>
    <row r="506" spans="2:42">
      <c r="B506" s="135" t="s">
        <v>662</v>
      </c>
      <c r="C506" s="121"/>
      <c r="D506" s="1623"/>
      <c r="E506" s="1624"/>
      <c r="F506" s="18"/>
      <c r="G506" s="18"/>
      <c r="H506" s="657"/>
      <c r="I506" s="657"/>
      <c r="J506" s="657"/>
      <c r="K506" s="657"/>
      <c r="L506" s="115">
        <f t="shared" ref="L506:L515" si="327">H506*I506+J506</f>
        <v>0</v>
      </c>
      <c r="M506" s="18">
        <f>SUMIF(Fenster!$D$10:$D$2160,Fassade!F506,Fenster!$J$10:$J$2160)</f>
        <v>0</v>
      </c>
      <c r="N506" s="18">
        <f>SUMIF(Fenster!$D$10:$D$2160,Fassade!F506,Fenster!$M$10:$M$2160)</f>
        <v>0</v>
      </c>
      <c r="O506" s="18">
        <f>SUMIFS(Fenster!$M$10:$M$2160,Fenster!$D$10:$D$2160,Fassade!F506,Fenster!$L$10:$L$2160,"&gt;2,5")</f>
        <v>0</v>
      </c>
      <c r="P506" s="18">
        <f>SUMIF(Fenster!$D$10:$D$2160,Fassade!F506,Fenster!$K$10:$K$2160)</f>
        <v>0</v>
      </c>
      <c r="Q506" s="18">
        <f t="shared" ref="Q506:Q515" si="328">L506-O506</f>
        <v>0</v>
      </c>
      <c r="R506" s="187">
        <f t="shared" ref="R506:R515" si="329">L506-N506</f>
        <v>0</v>
      </c>
      <c r="S506" s="1596"/>
      <c r="T506" s="1597"/>
      <c r="U506" s="1201" t="s">
        <v>663</v>
      </c>
      <c r="V506" s="997">
        <v>0</v>
      </c>
      <c r="W506" s="952">
        <v>0</v>
      </c>
      <c r="X506" s="988">
        <v>0</v>
      </c>
      <c r="Z506" s="19"/>
      <c r="AA506" s="19"/>
      <c r="AB506" s="19"/>
      <c r="AC506" s="19"/>
      <c r="AD506" s="19"/>
      <c r="AE506" s="19"/>
      <c r="AF506" s="19"/>
      <c r="AG506" s="19"/>
      <c r="AH506" s="19"/>
      <c r="AI506" s="19"/>
      <c r="AJ506" s="19"/>
      <c r="AK506" s="1217"/>
      <c r="AL506" s="1217"/>
      <c r="AM506" s="1216"/>
      <c r="AN506" s="1216"/>
      <c r="AO506" s="1216"/>
      <c r="AP506" s="1216"/>
    </row>
    <row r="507" spans="2:42">
      <c r="B507" s="234" t="s">
        <v>666</v>
      </c>
      <c r="C507" s="208"/>
      <c r="D507" s="1623"/>
      <c r="E507" s="1624"/>
      <c r="F507" s="18"/>
      <c r="G507" s="18"/>
      <c r="H507" s="657"/>
      <c r="I507" s="657"/>
      <c r="J507" s="657"/>
      <c r="K507" s="657"/>
      <c r="L507" s="115">
        <f t="shared" si="327"/>
        <v>0</v>
      </c>
      <c r="M507" s="18">
        <f>SUMIF(Fenster!$D$10:$D$2160,Fassade!F507,Fenster!$J$10:$J$2160)</f>
        <v>0</v>
      </c>
      <c r="N507" s="18">
        <f>SUMIF(Fenster!$D$10:$D$2160,Fassade!F507,Fenster!$M$10:$M$2160)</f>
        <v>0</v>
      </c>
      <c r="O507" s="18">
        <f>SUMIFS(Fenster!$M$10:$M$2160,Fenster!$D$10:$D$2160,Fassade!F507,Fenster!$L$10:$L$2160,"&gt;2,5")</f>
        <v>0</v>
      </c>
      <c r="P507" s="18">
        <f>SUMIF(Fenster!$D$10:$D$2160,Fassade!F507,Fenster!$K$10:$K$2160)</f>
        <v>0</v>
      </c>
      <c r="Q507" s="18">
        <f t="shared" si="328"/>
        <v>0</v>
      </c>
      <c r="R507" s="187">
        <f t="shared" si="329"/>
        <v>0</v>
      </c>
      <c r="S507" s="1596"/>
      <c r="T507" s="1597"/>
      <c r="U507" s="1202" t="s">
        <v>665</v>
      </c>
      <c r="V507" s="998">
        <f>IF(V505="Ja",(Q516+V506)*$V$9,0)</f>
        <v>0</v>
      </c>
      <c r="W507" s="958">
        <f>IF(W505="Ja",(Q516+W506)*$V$9,0)</f>
        <v>0</v>
      </c>
      <c r="X507" s="999">
        <f>IF(X505="Ja",(Q516+X506)*$V$9,0)</f>
        <v>0</v>
      </c>
      <c r="Z507" s="19"/>
      <c r="AA507" s="19"/>
      <c r="AB507" s="19"/>
      <c r="AC507" s="19"/>
      <c r="AD507" s="19"/>
      <c r="AE507" s="19"/>
      <c r="AF507" s="19"/>
      <c r="AG507" s="19"/>
      <c r="AH507" s="19"/>
      <c r="AI507" s="19"/>
      <c r="AJ507" s="19"/>
      <c r="AK507" s="1217"/>
      <c r="AL507" s="1217"/>
      <c r="AM507" s="1216"/>
      <c r="AN507" s="1216"/>
      <c r="AO507" s="1216"/>
      <c r="AP507" s="1216"/>
    </row>
    <row r="508" spans="2:42">
      <c r="B508" s="234" t="s">
        <v>703</v>
      </c>
      <c r="C508" s="208"/>
      <c r="D508" s="1623"/>
      <c r="E508" s="1624"/>
      <c r="F508" s="18"/>
      <c r="G508" s="18"/>
      <c r="H508" s="657"/>
      <c r="I508" s="657"/>
      <c r="J508" s="657"/>
      <c r="K508" s="657"/>
      <c r="L508" s="115">
        <f t="shared" si="327"/>
        <v>0</v>
      </c>
      <c r="M508" s="18">
        <f>SUMIF(Fenster!$D$10:$D$2160,Fassade!F508,Fenster!$J$10:$J$2160)</f>
        <v>0</v>
      </c>
      <c r="N508" s="18">
        <f>SUMIF(Fenster!$D$10:$D$2160,Fassade!F508,Fenster!$M$10:$M$2160)</f>
        <v>0</v>
      </c>
      <c r="O508" s="18">
        <f>SUMIFS(Fenster!$M$10:$M$2160,Fenster!$D$10:$D$2160,Fassade!F508,Fenster!$L$10:$L$2160,"&gt;2,5")</f>
        <v>0</v>
      </c>
      <c r="P508" s="18">
        <f>SUMIF(Fenster!$D$10:$D$2160,Fassade!F508,Fenster!$K$10:$K$2160)</f>
        <v>0</v>
      </c>
      <c r="Q508" s="18">
        <f t="shared" si="328"/>
        <v>0</v>
      </c>
      <c r="R508" s="187">
        <f t="shared" si="329"/>
        <v>0</v>
      </c>
      <c r="S508" s="1596"/>
      <c r="T508" s="1597"/>
      <c r="U508" s="1203" t="s">
        <v>667</v>
      </c>
      <c r="V508" s="998">
        <f>IF(V505="Ja",(R516+V506)*$V$9,0)</f>
        <v>0</v>
      </c>
      <c r="W508" s="958">
        <f>IF(W505="Ja",(R516+W506)*$V$9,0)</f>
        <v>0</v>
      </c>
      <c r="X508" s="999">
        <f>IF(X505="Ja",(R516+X506)*$V$9,0)</f>
        <v>0</v>
      </c>
      <c r="Z508" s="19"/>
      <c r="AA508" s="19"/>
      <c r="AB508" s="19"/>
      <c r="AC508" s="19"/>
      <c r="AD508" s="19"/>
      <c r="AE508" s="19"/>
      <c r="AF508" s="19"/>
      <c r="AG508" s="19"/>
      <c r="AH508" s="19"/>
      <c r="AI508" s="19"/>
      <c r="AJ508" s="19"/>
      <c r="AK508" s="1217"/>
      <c r="AL508" s="1217"/>
      <c r="AM508" s="1216"/>
      <c r="AN508" s="1216"/>
      <c r="AO508" s="1216"/>
      <c r="AP508" s="1216"/>
    </row>
    <row r="509" spans="2:42">
      <c r="B509" s="234" t="s">
        <v>704</v>
      </c>
      <c r="C509" s="208"/>
      <c r="D509" s="1623"/>
      <c r="E509" s="1624"/>
      <c r="F509" s="18"/>
      <c r="G509" s="18"/>
      <c r="H509" s="657"/>
      <c r="I509" s="657"/>
      <c r="J509" s="657"/>
      <c r="K509" s="657"/>
      <c r="L509" s="115">
        <f t="shared" si="327"/>
        <v>0</v>
      </c>
      <c r="M509" s="18">
        <f>SUMIF(Fenster!$D$10:$D$2160,Fassade!F509,Fenster!$J$10:$J$2160)</f>
        <v>0</v>
      </c>
      <c r="N509" s="18">
        <f>SUMIF(Fenster!$D$10:$D$2160,Fassade!F509,Fenster!$M$10:$M$2160)</f>
        <v>0</v>
      </c>
      <c r="O509" s="18">
        <f>SUMIFS(Fenster!$M$10:$M$2160,Fenster!$D$10:$D$2160,Fassade!F509,Fenster!$L$10:$L$2160,"&gt;2,5")</f>
        <v>0</v>
      </c>
      <c r="P509" s="18">
        <f>SUMIF(Fenster!$D$10:$D$2160,Fassade!F509,Fenster!$K$10:$K$2160)</f>
        <v>0</v>
      </c>
      <c r="Q509" s="18">
        <f t="shared" si="328"/>
        <v>0</v>
      </c>
      <c r="R509" s="187">
        <f t="shared" si="329"/>
        <v>0</v>
      </c>
      <c r="S509" s="1596"/>
      <c r="T509" s="1597"/>
      <c r="U509" s="1204" t="s">
        <v>669</v>
      </c>
      <c r="V509" s="958" t="str">
        <f>Allgemein!$D$45</f>
        <v>-</v>
      </c>
      <c r="W509" s="958" t="str">
        <f>Allgemein!$D$61</f>
        <v>-</v>
      </c>
      <c r="X509" s="1000" t="str">
        <f>Allgemein!$D$77</f>
        <v>-</v>
      </c>
      <c r="Z509" s="19"/>
      <c r="AA509" s="19"/>
      <c r="AB509" s="19"/>
      <c r="AC509" s="19"/>
      <c r="AD509" s="19"/>
      <c r="AE509" s="19"/>
      <c r="AF509" s="19"/>
      <c r="AG509" s="19"/>
      <c r="AH509" s="19"/>
      <c r="AI509" s="19"/>
      <c r="AJ509" s="19"/>
      <c r="AK509" s="1217"/>
      <c r="AL509" s="1217"/>
      <c r="AM509" s="1216"/>
      <c r="AN509" s="1216"/>
      <c r="AO509" s="1216"/>
      <c r="AP509" s="1216"/>
    </row>
    <row r="510" spans="2:42">
      <c r="B510" s="234" t="s">
        <v>705</v>
      </c>
      <c r="C510" s="208"/>
      <c r="D510" s="1623"/>
      <c r="E510" s="1624"/>
      <c r="F510" s="18"/>
      <c r="G510" s="18"/>
      <c r="H510" s="657"/>
      <c r="I510" s="657"/>
      <c r="J510" s="657"/>
      <c r="K510" s="657"/>
      <c r="L510" s="115">
        <f t="shared" si="327"/>
        <v>0</v>
      </c>
      <c r="M510" s="18">
        <f>SUMIF(Fenster!$D$10:$D$2160,Fassade!F510,Fenster!$J$10:$J$2160)</f>
        <v>0</v>
      </c>
      <c r="N510" s="18">
        <f>SUMIF(Fenster!$D$10:$D$2160,Fassade!F510,Fenster!$M$10:$M$2160)</f>
        <v>0</v>
      </c>
      <c r="O510" s="18">
        <f>SUMIFS(Fenster!$M$10:$M$2160,Fenster!$D$10:$D$2160,Fassade!F510,Fenster!$L$10:$L$2160,"&gt;2,5")</f>
        <v>0</v>
      </c>
      <c r="P510" s="18">
        <f>SUMIF(Fenster!$D$10:$D$2160,Fassade!F510,Fenster!$K$10:$K$2160)</f>
        <v>0</v>
      </c>
      <c r="Q510" s="18">
        <f t="shared" si="328"/>
        <v>0</v>
      </c>
      <c r="R510" s="187">
        <f t="shared" si="329"/>
        <v>0</v>
      </c>
      <c r="S510" s="1596"/>
      <c r="T510" s="1597"/>
      <c r="U510" s="1205" t="s">
        <v>671</v>
      </c>
      <c r="V510" s="1640"/>
      <c r="W510" s="1586"/>
      <c r="X510" s="1589"/>
      <c r="Z510" s="19"/>
      <c r="AA510" s="19"/>
      <c r="AB510" s="19"/>
      <c r="AC510" s="19"/>
      <c r="AD510" s="19"/>
      <c r="AE510" s="19"/>
      <c r="AF510" s="19"/>
      <c r="AG510" s="19"/>
      <c r="AH510" s="19"/>
      <c r="AI510" s="19"/>
      <c r="AJ510" s="19"/>
      <c r="AK510" s="1217"/>
      <c r="AL510" s="1217"/>
      <c r="AM510" s="1216"/>
      <c r="AN510" s="1216"/>
      <c r="AO510" s="1216"/>
      <c r="AP510" s="1216"/>
    </row>
    <row r="511" spans="2:42">
      <c r="B511" s="234" t="s">
        <v>715</v>
      </c>
      <c r="C511" s="208"/>
      <c r="D511" s="1623"/>
      <c r="E511" s="1624"/>
      <c r="F511" s="18"/>
      <c r="G511" s="18"/>
      <c r="H511" s="657"/>
      <c r="I511" s="657"/>
      <c r="J511" s="657"/>
      <c r="K511" s="657"/>
      <c r="L511" s="115">
        <f t="shared" si="327"/>
        <v>0</v>
      </c>
      <c r="M511" s="18">
        <f>SUMIF(Fenster!$D$10:$D$2160,Fassade!F511,Fenster!$J$10:$J$2160)</f>
        <v>0</v>
      </c>
      <c r="N511" s="18">
        <f>SUMIF(Fenster!$D$10:$D$2160,Fassade!F511,Fenster!$M$10:$M$2160)</f>
        <v>0</v>
      </c>
      <c r="O511" s="18">
        <f>SUMIFS(Fenster!$M$10:$M$2160,Fenster!$D$10:$D$2160,Fassade!F511,Fenster!$L$10:$L$2160,"&gt;2,5")</f>
        <v>0</v>
      </c>
      <c r="P511" s="18">
        <f>SUMIF(Fenster!$D$10:$D$2160,Fassade!F511,Fenster!$K$10:$K$2160)</f>
        <v>0</v>
      </c>
      <c r="Q511" s="18">
        <f t="shared" si="328"/>
        <v>0</v>
      </c>
      <c r="R511" s="187">
        <f t="shared" si="329"/>
        <v>0</v>
      </c>
      <c r="S511" s="1596"/>
      <c r="T511" s="1597"/>
      <c r="U511" s="1206"/>
      <c r="V511" s="1641"/>
      <c r="W511" s="1643"/>
      <c r="X511" s="1590"/>
      <c r="Z511" s="19"/>
      <c r="AA511" s="19"/>
      <c r="AB511" s="19"/>
      <c r="AC511" s="19"/>
      <c r="AD511" s="19"/>
      <c r="AE511" s="19"/>
      <c r="AF511" s="19"/>
      <c r="AG511" s="19"/>
      <c r="AH511" s="19"/>
      <c r="AI511" s="19"/>
      <c r="AJ511" s="19"/>
      <c r="AK511" s="1217"/>
      <c r="AL511" s="1217"/>
      <c r="AM511" s="1216"/>
      <c r="AN511" s="1216"/>
      <c r="AO511" s="1216"/>
      <c r="AP511" s="1216"/>
    </row>
    <row r="512" spans="2:42">
      <c r="B512" s="234" t="s">
        <v>707</v>
      </c>
      <c r="C512" s="208"/>
      <c r="D512" s="1623"/>
      <c r="E512" s="1624"/>
      <c r="F512" s="18"/>
      <c r="G512" s="18"/>
      <c r="H512" s="657"/>
      <c r="I512" s="657"/>
      <c r="J512" s="657"/>
      <c r="K512" s="657"/>
      <c r="L512" s="115">
        <f t="shared" si="327"/>
        <v>0</v>
      </c>
      <c r="M512" s="18">
        <f>SUMIF(Fenster!$D$10:$D$2160,Fassade!F512,Fenster!$J$10:$J$2160)</f>
        <v>0</v>
      </c>
      <c r="N512" s="18">
        <f>SUMIF(Fenster!$D$10:$D$2160,Fassade!F512,Fenster!$M$10:$M$2160)</f>
        <v>0</v>
      </c>
      <c r="O512" s="18">
        <f>SUMIFS(Fenster!$M$10:$M$2160,Fenster!$D$10:$D$2160,Fassade!F512,Fenster!$L$10:$L$2160,"&gt;2,5")</f>
        <v>0</v>
      </c>
      <c r="P512" s="18">
        <f>SUMIF(Fenster!$D$10:$D$2160,Fassade!F512,Fenster!$K$10:$K$2160)</f>
        <v>0</v>
      </c>
      <c r="Q512" s="18">
        <f t="shared" si="328"/>
        <v>0</v>
      </c>
      <c r="R512" s="187">
        <f t="shared" si="329"/>
        <v>0</v>
      </c>
      <c r="S512" s="1596"/>
      <c r="T512" s="1597"/>
      <c r="U512" s="1206"/>
      <c r="V512" s="1641"/>
      <c r="W512" s="1643"/>
      <c r="X512" s="1590"/>
      <c r="Z512" s="19"/>
      <c r="AA512" s="19"/>
      <c r="AB512" s="19"/>
      <c r="AC512" s="19"/>
      <c r="AD512" s="19"/>
      <c r="AE512" s="19"/>
      <c r="AF512" s="19"/>
      <c r="AG512" s="19"/>
      <c r="AH512" s="19"/>
      <c r="AI512" s="19"/>
      <c r="AJ512" s="19"/>
      <c r="AK512" s="1217"/>
      <c r="AL512" s="1217"/>
      <c r="AM512" s="1216"/>
      <c r="AN512" s="1216"/>
      <c r="AO512" s="1216"/>
      <c r="AP512" s="1216"/>
    </row>
    <row r="513" spans="2:42">
      <c r="B513" s="234" t="s">
        <v>716</v>
      </c>
      <c r="C513" s="208"/>
      <c r="D513" s="1623"/>
      <c r="E513" s="1624"/>
      <c r="F513" s="18"/>
      <c r="G513" s="18"/>
      <c r="H513" s="657"/>
      <c r="I513" s="657"/>
      <c r="J513" s="657"/>
      <c r="K513" s="657"/>
      <c r="L513" s="115">
        <f t="shared" si="327"/>
        <v>0</v>
      </c>
      <c r="M513" s="18">
        <f>SUMIF(Fenster!$D$10:$D$2160,Fassade!F513,Fenster!$J$10:$J$2160)</f>
        <v>0</v>
      </c>
      <c r="N513" s="18">
        <f>SUMIF(Fenster!$D$10:$D$2160,Fassade!F513,Fenster!$M$10:$M$2160)</f>
        <v>0</v>
      </c>
      <c r="O513" s="18">
        <f>SUMIFS(Fenster!$M$10:$M$2160,Fenster!$D$10:$D$2160,Fassade!F513,Fenster!$L$10:$L$2160,"&gt;2,5")</f>
        <v>0</v>
      </c>
      <c r="P513" s="18">
        <f>SUMIF(Fenster!$D$10:$D$2160,Fassade!F513,Fenster!$K$10:$K$2160)</f>
        <v>0</v>
      </c>
      <c r="Q513" s="18">
        <f t="shared" si="328"/>
        <v>0</v>
      </c>
      <c r="R513" s="187">
        <f t="shared" si="329"/>
        <v>0</v>
      </c>
      <c r="S513" s="1596"/>
      <c r="T513" s="1597"/>
      <c r="U513" s="1207"/>
      <c r="V513" s="1641"/>
      <c r="W513" s="1643"/>
      <c r="X513" s="1590"/>
      <c r="Z513" s="19"/>
      <c r="AA513" s="19"/>
      <c r="AB513" s="19"/>
      <c r="AC513" s="19"/>
      <c r="AD513" s="19"/>
      <c r="AE513" s="19"/>
      <c r="AF513" s="19"/>
      <c r="AG513" s="19"/>
      <c r="AH513" s="19"/>
      <c r="AI513" s="19"/>
      <c r="AJ513" s="19"/>
      <c r="AK513" s="1217"/>
      <c r="AL513" s="1217"/>
      <c r="AM513" s="1216"/>
      <c r="AN513" s="1216"/>
      <c r="AO513" s="1216"/>
      <c r="AP513" s="1216"/>
    </row>
    <row r="514" spans="2:42">
      <c r="B514" s="234" t="s">
        <v>717</v>
      </c>
      <c r="C514" s="208"/>
      <c r="D514" s="1623"/>
      <c r="E514" s="1624"/>
      <c r="F514" s="18"/>
      <c r="G514" s="18"/>
      <c r="H514" s="657"/>
      <c r="I514" s="657"/>
      <c r="J514" s="657"/>
      <c r="K514" s="657"/>
      <c r="L514" s="115">
        <f t="shared" si="327"/>
        <v>0</v>
      </c>
      <c r="M514" s="18">
        <f>SUMIF(Fenster!$D$10:$D$2160,Fassade!F514,Fenster!$J$10:$J$2160)</f>
        <v>0</v>
      </c>
      <c r="N514" s="18">
        <f>SUMIF(Fenster!$D$10:$D$2160,Fassade!F514,Fenster!$M$10:$M$2160)</f>
        <v>0</v>
      </c>
      <c r="O514" s="18">
        <f>SUMIFS(Fenster!$M$10:$M$2160,Fenster!$D$10:$D$2160,Fassade!F514,Fenster!$L$10:$L$2160,"&gt;2,5")</f>
        <v>0</v>
      </c>
      <c r="P514" s="18">
        <f>SUMIF(Fenster!$D$10:$D$2160,Fassade!F514,Fenster!$K$10:$K$2160)</f>
        <v>0</v>
      </c>
      <c r="Q514" s="18">
        <f t="shared" si="328"/>
        <v>0</v>
      </c>
      <c r="R514" s="187">
        <f t="shared" si="329"/>
        <v>0</v>
      </c>
      <c r="S514" s="1596"/>
      <c r="T514" s="1597"/>
      <c r="U514" s="1207"/>
      <c r="V514" s="1641"/>
      <c r="W514" s="1643"/>
      <c r="X514" s="1590"/>
      <c r="Z514" s="19"/>
      <c r="AA514" s="19"/>
      <c r="AB514" s="19"/>
      <c r="AC514" s="19"/>
      <c r="AD514" s="19"/>
      <c r="AE514" s="19"/>
      <c r="AF514" s="19"/>
      <c r="AG514" s="19"/>
      <c r="AH514" s="19"/>
      <c r="AI514" s="19"/>
      <c r="AJ514" s="19"/>
      <c r="AK514" s="1217"/>
      <c r="AL514" s="1217"/>
      <c r="AM514" s="1216"/>
      <c r="AN514" s="1216"/>
      <c r="AO514" s="1216"/>
      <c r="AP514" s="1216"/>
    </row>
    <row r="515" spans="2:42">
      <c r="B515" s="234" t="s">
        <v>718</v>
      </c>
      <c r="C515" s="208"/>
      <c r="D515" s="1623"/>
      <c r="E515" s="1624"/>
      <c r="F515" s="18"/>
      <c r="G515" s="18"/>
      <c r="H515" s="657"/>
      <c r="I515" s="657"/>
      <c r="J515" s="657"/>
      <c r="K515" s="657"/>
      <c r="L515" s="115">
        <f t="shared" si="327"/>
        <v>0</v>
      </c>
      <c r="M515" s="18">
        <f>SUMIF(Fenster!$D$10:$D$2160,Fassade!F515,Fenster!$J$10:$J$2160)</f>
        <v>0</v>
      </c>
      <c r="N515" s="18">
        <f>SUMIF(Fenster!$D$10:$D$2160,Fassade!F515,Fenster!$M$10:$M$2160)</f>
        <v>0</v>
      </c>
      <c r="O515" s="18">
        <f>SUMIFS(Fenster!$M$10:$M$2160,Fenster!$D$10:$D$2160,Fassade!F515,Fenster!$L$10:$L$2160,"&gt;2,5")</f>
        <v>0</v>
      </c>
      <c r="P515" s="18">
        <f>SUMIF(Fenster!$D$10:$D$2160,Fassade!F515,Fenster!$K$10:$K$2160)</f>
        <v>0</v>
      </c>
      <c r="Q515" s="18">
        <f t="shared" si="328"/>
        <v>0</v>
      </c>
      <c r="R515" s="187">
        <f t="shared" si="329"/>
        <v>0</v>
      </c>
      <c r="S515" s="1596"/>
      <c r="T515" s="1597"/>
      <c r="U515" s="1206"/>
      <c r="V515" s="1641"/>
      <c r="W515" s="1643"/>
      <c r="X515" s="1590"/>
      <c r="Z515" s="19"/>
      <c r="AA515" s="19"/>
      <c r="AB515" s="19"/>
      <c r="AC515" s="19"/>
      <c r="AD515" s="19"/>
      <c r="AE515" s="19"/>
      <c r="AF515" s="19"/>
      <c r="AG515" s="19"/>
      <c r="AH515" s="19"/>
      <c r="AI515" s="19"/>
      <c r="AJ515" s="19"/>
      <c r="AK515" s="1217"/>
      <c r="AL515" s="1217"/>
      <c r="AM515" s="1216"/>
      <c r="AN515" s="1216"/>
      <c r="AO515" s="1216"/>
      <c r="AP515" s="1216"/>
    </row>
    <row r="516" spans="2:42">
      <c r="B516" s="234" t="s">
        <v>670</v>
      </c>
      <c r="C516" s="208"/>
      <c r="D516" s="1623"/>
      <c r="E516" s="1624"/>
      <c r="F516" s="1612" t="s">
        <v>187</v>
      </c>
      <c r="G516" s="18"/>
      <c r="H516" s="657"/>
      <c r="I516" s="657"/>
      <c r="J516" s="657"/>
      <c r="K516" s="657"/>
      <c r="L516" s="1614">
        <f t="shared" ref="L516" si="330">SUM(L506:L515)</f>
        <v>0</v>
      </c>
      <c r="M516" s="1477">
        <f t="shared" ref="M516:Q516" si="331">SUM(M506:M515)</f>
        <v>0</v>
      </c>
      <c r="N516" s="1477">
        <f t="shared" si="331"/>
        <v>0</v>
      </c>
      <c r="O516" s="1477">
        <f t="shared" si="331"/>
        <v>0</v>
      </c>
      <c r="P516" s="1477">
        <f t="shared" si="331"/>
        <v>0</v>
      </c>
      <c r="Q516" s="1477">
        <f t="shared" si="331"/>
        <v>0</v>
      </c>
      <c r="R516" s="1483">
        <f>SUM(R506:R515)</f>
        <v>0</v>
      </c>
      <c r="S516" s="1596"/>
      <c r="T516" s="1597"/>
      <c r="U516" s="1208"/>
      <c r="V516" s="1641"/>
      <c r="W516" s="1643"/>
      <c r="X516" s="1590"/>
      <c r="Z516" s="19"/>
      <c r="AA516" s="19"/>
      <c r="AB516" s="19"/>
      <c r="AC516" s="19"/>
      <c r="AD516" s="19"/>
      <c r="AE516" s="19"/>
      <c r="AF516" s="19"/>
      <c r="AG516" s="19"/>
      <c r="AH516" s="19"/>
      <c r="AI516" s="19"/>
      <c r="AJ516" s="19"/>
      <c r="AK516" s="1217"/>
      <c r="AL516" s="1217"/>
      <c r="AM516" s="1216"/>
      <c r="AN516" s="1216"/>
      <c r="AO516" s="1216"/>
      <c r="AP516" s="1216"/>
    </row>
    <row r="517" spans="2:42" ht="17.399999999999999" thickBot="1">
      <c r="B517" s="789" t="s">
        <v>672</v>
      </c>
      <c r="C517" s="787"/>
      <c r="D517" s="1625"/>
      <c r="E517" s="1626"/>
      <c r="F517" s="1613"/>
      <c r="G517" s="788"/>
      <c r="H517" s="788"/>
      <c r="I517" s="788"/>
      <c r="J517" s="788"/>
      <c r="K517" s="788"/>
      <c r="L517" s="1615"/>
      <c r="M517" s="1592"/>
      <c r="N517" s="1592"/>
      <c r="O517" s="1592"/>
      <c r="P517" s="1592"/>
      <c r="Q517" s="1592"/>
      <c r="R517" s="1605"/>
      <c r="S517" s="1598"/>
      <c r="T517" s="1599"/>
      <c r="U517" s="1209"/>
      <c r="V517" s="1642"/>
      <c r="W517" s="1644"/>
      <c r="X517" s="1590"/>
      <c r="Z517" s="19"/>
      <c r="AA517" s="19"/>
      <c r="AB517" s="19"/>
      <c r="AC517" s="19"/>
      <c r="AD517" s="19"/>
      <c r="AE517" s="19"/>
      <c r="AF517" s="19"/>
      <c r="AG517" s="19"/>
      <c r="AH517" s="19"/>
      <c r="AI517" s="19"/>
      <c r="AJ517" s="19"/>
      <c r="AK517" s="1217"/>
      <c r="AL517" s="1217"/>
      <c r="AM517" s="1216"/>
      <c r="AN517" s="1216"/>
      <c r="AO517" s="1216"/>
      <c r="AP517" s="1216"/>
    </row>
    <row r="518" spans="2:42" ht="16.5" customHeight="1">
      <c r="B518" s="790" t="s">
        <v>719</v>
      </c>
      <c r="C518" s="1617"/>
      <c r="D518" s="1617"/>
      <c r="E518" s="1617"/>
      <c r="F518" s="1617"/>
      <c r="G518" s="1617"/>
      <c r="H518" s="1617"/>
      <c r="I518" s="1617"/>
      <c r="J518" s="1617"/>
      <c r="K518" s="1617"/>
      <c r="L518" s="1617"/>
      <c r="M518" s="1618"/>
      <c r="N518" s="935" t="s">
        <v>720</v>
      </c>
      <c r="O518" s="934"/>
      <c r="P518" s="933"/>
      <c r="Q518" s="683" t="s">
        <v>721</v>
      </c>
      <c r="R518" s="933"/>
      <c r="S518" s="123" t="s">
        <v>722</v>
      </c>
      <c r="T518" s="868"/>
      <c r="U518" s="255" t="s">
        <v>723</v>
      </c>
      <c r="V518" s="958">
        <v>0</v>
      </c>
      <c r="W518" s="958">
        <v>0</v>
      </c>
      <c r="X518" s="1223">
        <v>0</v>
      </c>
    </row>
    <row r="519" spans="2:42">
      <c r="B519" s="435"/>
      <c r="C519" s="1477"/>
      <c r="D519" s="1477"/>
      <c r="E519" s="1477"/>
      <c r="F519" s="1477"/>
      <c r="G519" s="1477"/>
      <c r="H519" s="1477"/>
      <c r="I519" s="1477"/>
      <c r="J519" s="1477"/>
      <c r="K519" s="1477"/>
      <c r="L519" s="1477"/>
      <c r="M519" s="1483"/>
      <c r="N519" s="684"/>
      <c r="O519" s="179"/>
      <c r="P519" s="763"/>
      <c r="Q519" s="649"/>
      <c r="R519" s="763"/>
      <c r="S519" s="123"/>
      <c r="T519" s="869"/>
      <c r="U519" s="771" t="s">
        <v>724</v>
      </c>
      <c r="V519" s="975">
        <v>0</v>
      </c>
      <c r="W519" s="1011">
        <v>0</v>
      </c>
      <c r="X519" s="976">
        <v>0</v>
      </c>
    </row>
    <row r="520" spans="2:42" ht="16.95" customHeight="1">
      <c r="B520" s="435"/>
      <c r="C520" s="1477"/>
      <c r="D520" s="1477"/>
      <c r="E520" s="1477"/>
      <c r="F520" s="1477"/>
      <c r="G520" s="1477"/>
      <c r="H520" s="1477"/>
      <c r="I520" s="1477"/>
      <c r="J520" s="1477"/>
      <c r="K520" s="1477"/>
      <c r="L520" s="1477"/>
      <c r="M520" s="1483"/>
      <c r="N520" s="179"/>
      <c r="O520" s="179"/>
      <c r="P520" s="763"/>
      <c r="Q520" s="180" t="s">
        <v>725</v>
      </c>
      <c r="R520" s="763"/>
      <c r="S520" s="801"/>
      <c r="T520" s="870"/>
      <c r="U520" s="771" t="s">
        <v>726</v>
      </c>
      <c r="V520" s="1012">
        <f>V518*V519</f>
        <v>0</v>
      </c>
      <c r="W520" s="1012">
        <f t="shared" ref="W520:X520" si="332">W518*W519</f>
        <v>0</v>
      </c>
      <c r="X520" s="1013">
        <f t="shared" si="332"/>
        <v>0</v>
      </c>
    </row>
    <row r="521" spans="2:42" ht="19.5" customHeight="1" thickBot="1">
      <c r="B521" s="435"/>
      <c r="C521" s="1477"/>
      <c r="D521" s="1477"/>
      <c r="E521" s="1477"/>
      <c r="F521" s="1477"/>
      <c r="G521" s="1477"/>
      <c r="H521" s="1477"/>
      <c r="I521" s="1477"/>
      <c r="J521" s="1477"/>
      <c r="K521" s="1477"/>
      <c r="L521" s="1477"/>
      <c r="M521" s="1483"/>
      <c r="N521" s="1616" t="s">
        <v>727</v>
      </c>
      <c r="O521" s="1616"/>
      <c r="P521" s="763"/>
      <c r="Q521" s="128" t="s">
        <v>728</v>
      </c>
      <c r="R521" s="763"/>
      <c r="S521" s="757"/>
      <c r="T521" s="188"/>
      <c r="U521" s="694" t="s">
        <v>669</v>
      </c>
      <c r="V521" s="975" t="str">
        <f>Allgemein!$D$45</f>
        <v>-</v>
      </c>
      <c r="W521" s="1014" t="str">
        <f>Allgemein!$D$61</f>
        <v>-</v>
      </c>
      <c r="X521" s="1015" t="str">
        <f>Allgemein!$D$77</f>
        <v>-</v>
      </c>
    </row>
    <row r="522" spans="2:42" ht="16.95" customHeight="1">
      <c r="B522" s="435"/>
      <c r="C522" s="1477"/>
      <c r="D522" s="1477"/>
      <c r="E522" s="1477"/>
      <c r="F522" s="1477"/>
      <c r="G522" s="1477"/>
      <c r="H522" s="1477"/>
      <c r="I522" s="1477"/>
      <c r="J522" s="1477"/>
      <c r="K522" s="1477"/>
      <c r="L522" s="1477"/>
      <c r="M522" s="1483"/>
      <c r="N522" s="180"/>
      <c r="O522" s="180"/>
      <c r="P522" s="763"/>
      <c r="Q522" s="128" t="s">
        <v>729</v>
      </c>
      <c r="R522" s="763"/>
      <c r="S522" s="867"/>
      <c r="T522" s="871"/>
      <c r="U522" s="874" t="s">
        <v>671</v>
      </c>
      <c r="V522" s="1647"/>
      <c r="W522" s="1648"/>
      <c r="X522" s="1649"/>
    </row>
    <row r="523" spans="2:42" ht="17.399999999999999" thickBot="1">
      <c r="B523" s="384" t="s">
        <v>730</v>
      </c>
      <c r="C523" s="199"/>
      <c r="D523" s="138"/>
      <c r="E523" s="138"/>
      <c r="F523" s="257"/>
      <c r="G523" s="257"/>
      <c r="H523" s="257"/>
      <c r="I523" s="257"/>
      <c r="J523" s="257"/>
      <c r="K523" s="257"/>
      <c r="L523" s="257"/>
      <c r="M523" s="436"/>
      <c r="N523" s="257" t="s">
        <v>731</v>
      </c>
      <c r="O523" s="257"/>
      <c r="P523" s="936">
        <f>SUM(Q490,Q503,Q516,Q477,Q464,Q451,Q438,Q425,Q412,Q399,Q386,Q360,Q373,Q347,Q334,Q321,Q308,Q295,Q282,Q269,Q256,Q243,Q230,Q217,Q204,Q191,Q178,,Q165,Q152,Q139,Q126,Q113,Q100,Q87,Q74,Q61,Q48,Q35,Q22)</f>
        <v>0</v>
      </c>
      <c r="Q523" s="682" t="s">
        <v>732</v>
      </c>
      <c r="R523" s="776">
        <f>P490+P503+P516+P477+P464+P451+P438+P425+P412+P399+P386+P373+P360+P347+P334+P321+P308+P295+P282+P269+P256+P243+P230+P217+P204+P191+P178+P165+P152+P139+P126+P113+P100+P87++P74+P61+P48+P35+P22</f>
        <v>0</v>
      </c>
      <c r="S523" s="123"/>
      <c r="T523" s="188"/>
      <c r="U523" s="694"/>
      <c r="V523" s="1648"/>
      <c r="W523" s="1648"/>
      <c r="X523" s="1649"/>
    </row>
    <row r="524" spans="2:42" ht="17.399999999999999" thickTop="1">
      <c r="B524" s="181"/>
      <c r="R524" s="221"/>
      <c r="S524" s="123" t="s">
        <v>733</v>
      </c>
      <c r="T524" s="189"/>
      <c r="U524" s="781" t="s">
        <v>665</v>
      </c>
      <c r="V524" s="958">
        <f>V473+V460+V447+V434+V421+V408+V278+V265+V252+V239+V226+V213</f>
        <v>0</v>
      </c>
      <c r="W524" s="958">
        <f t="shared" ref="W524:X525" si="333">W473+W460+W447+W434+W421+W408+W278+W265+W252+W239+W226+W213</f>
        <v>0</v>
      </c>
      <c r="X524" s="999">
        <f t="shared" si="333"/>
        <v>0</v>
      </c>
    </row>
    <row r="525" spans="2:42">
      <c r="R525" s="219"/>
      <c r="S525" s="123"/>
      <c r="T525" s="189"/>
      <c r="U525" s="782" t="s">
        <v>667</v>
      </c>
      <c r="V525" s="958">
        <f>V474+V461+V448+V435+V422+V409+V279+V266+V253+V240+V227+V214</f>
        <v>0</v>
      </c>
      <c r="W525" s="958">
        <f t="shared" si="333"/>
        <v>0</v>
      </c>
      <c r="X525" s="999">
        <f t="shared" si="333"/>
        <v>0</v>
      </c>
    </row>
    <row r="526" spans="2:42">
      <c r="S526" s="131"/>
      <c r="T526" s="188"/>
      <c r="U526" s="694"/>
      <c r="V526" s="958"/>
      <c r="W526" s="958"/>
      <c r="X526" s="999"/>
    </row>
    <row r="527" spans="2:42">
      <c r="S527" s="131" t="s">
        <v>734</v>
      </c>
      <c r="T527" s="872"/>
      <c r="U527" s="775" t="s">
        <v>735</v>
      </c>
      <c r="V527" s="1016">
        <f>V481+V494+V507+V468+V455++V442+V429+V416+V403+V390+V377+V364+V351+V338+V325+V312+V299+V286+V273+V260+V247+V234+V221+V208+V195+V182+V169+V156+V143+V130+V117+V104+V91+V78+V65+V52+V39+V26+V13</f>
        <v>0</v>
      </c>
      <c r="W527" s="1016">
        <f>W481+W494+W507+W468+W455++W442+W429+W416+W403+W390+W377+W364+W351+W338+W325+W312+W299+W286+W273+W260+W247+W234+W221+W208+W195+W182+W169+W156+W143+W130+W117+W104+W91+W78+W65+W52+W39+W26+W13</f>
        <v>0</v>
      </c>
      <c r="X527" s="1017">
        <f>X481+X494+X507+X468+X455++X442+X429+X416+X403+X390+X377+X364+X351+X338+X325+X312+X299+X286+X273+X260+X247+X234+X221+X208+X195+X182+X169+X156+X143+X130+X117+X104+X91+X78+X65+X52+X39+X26+X13</f>
        <v>0</v>
      </c>
    </row>
    <row r="528" spans="2:42">
      <c r="S528" s="131"/>
      <c r="T528" s="872"/>
      <c r="U528" s="694" t="s">
        <v>736</v>
      </c>
      <c r="V528" s="998">
        <f>V527-V520</f>
        <v>0</v>
      </c>
      <c r="W528" s="998">
        <f>W527-W520</f>
        <v>0</v>
      </c>
      <c r="X528" s="1018">
        <f>X527-X520</f>
        <v>0</v>
      </c>
    </row>
    <row r="529" spans="19:24">
      <c r="S529" s="131"/>
      <c r="T529" s="873"/>
      <c r="U529" s="694" t="s">
        <v>737</v>
      </c>
      <c r="V529" s="998">
        <f>V469+V456++V443+V430+V417+V404+V391+V378+V365+V352+V339+V326+V313+V300+V287+V274+V261+V248+V235+V222+V209+V196+V183+V170+V157+V144+V131+V118+V105+V92+V79+V66+V53+V40+V27+V14+V508+V495+V482</f>
        <v>0</v>
      </c>
      <c r="W529" s="998">
        <f>W469+W456++W443+W430+W417+W404+W391+W378+W365+W352+W339+W326+W313+W300+W287+W274+W261+W248+W235+W222+W209+W196+W183+W170+W157+W144+W131+W118+W105+W92+W79+W66+W53+W40+W27+W14+W508+W495+W482</f>
        <v>0</v>
      </c>
      <c r="X529" s="1018">
        <f>X469+X456++X443+X430+X417+X404+X391+X378+X365+X352+X339+X326+X313+X300+X287+X274+X261+X248+X235+X222+X209+X196+X183+X170+X157+X144+X131+X118+X105+X92+X79+X66+X53+X40+X27+X14+X508+X495+X482</f>
        <v>0</v>
      </c>
    </row>
    <row r="530" spans="19:24" ht="17.399999999999999" thickBot="1">
      <c r="S530" s="137"/>
      <c r="T530" s="193"/>
      <c r="U530" s="875" t="s">
        <v>738</v>
      </c>
      <c r="V530" s="1019">
        <f>V529-V520</f>
        <v>0</v>
      </c>
      <c r="W530" s="1019">
        <f>W529-W520</f>
        <v>0</v>
      </c>
      <c r="X530" s="1020">
        <f>X529-X520</f>
        <v>0</v>
      </c>
    </row>
    <row r="531" spans="19:24" ht="17.399999999999999" thickTop="1"/>
    <row r="532" spans="19:24">
      <c r="V532" s="810"/>
    </row>
  </sheetData>
  <mergeCells count="530">
    <mergeCell ref="D505:E517"/>
    <mergeCell ref="S505:T517"/>
    <mergeCell ref="V510:V517"/>
    <mergeCell ref="W510:W517"/>
    <mergeCell ref="X510:X517"/>
    <mergeCell ref="F516:F517"/>
    <mergeCell ref="L516:L517"/>
    <mergeCell ref="M516:M517"/>
    <mergeCell ref="N516:N517"/>
    <mergeCell ref="O516:O517"/>
    <mergeCell ref="P516:P517"/>
    <mergeCell ref="Q516:Q517"/>
    <mergeCell ref="R516:R517"/>
    <mergeCell ref="D479:E491"/>
    <mergeCell ref="S479:T491"/>
    <mergeCell ref="V484:V491"/>
    <mergeCell ref="W484:W491"/>
    <mergeCell ref="X484:X491"/>
    <mergeCell ref="F490:F491"/>
    <mergeCell ref="L490:L491"/>
    <mergeCell ref="M490:M491"/>
    <mergeCell ref="N490:N491"/>
    <mergeCell ref="O490:O491"/>
    <mergeCell ref="P490:P491"/>
    <mergeCell ref="Q490:Q491"/>
    <mergeCell ref="R490:R491"/>
    <mergeCell ref="D492:E504"/>
    <mergeCell ref="S492:T504"/>
    <mergeCell ref="V497:V504"/>
    <mergeCell ref="W497:W504"/>
    <mergeCell ref="X497:X504"/>
    <mergeCell ref="F503:F504"/>
    <mergeCell ref="L503:L504"/>
    <mergeCell ref="M503:M504"/>
    <mergeCell ref="N503:N504"/>
    <mergeCell ref="O503:O504"/>
    <mergeCell ref="P503:P504"/>
    <mergeCell ref="Q503:Q504"/>
    <mergeCell ref="R503:R504"/>
    <mergeCell ref="V522:V523"/>
    <mergeCell ref="W522:W523"/>
    <mergeCell ref="X522:X523"/>
    <mergeCell ref="X216:X218"/>
    <mergeCell ref="W216:W218"/>
    <mergeCell ref="V216:V218"/>
    <mergeCell ref="V367:V374"/>
    <mergeCell ref="W367:W374"/>
    <mergeCell ref="X367:X374"/>
    <mergeCell ref="V380:V387"/>
    <mergeCell ref="W380:W387"/>
    <mergeCell ref="X380:X387"/>
    <mergeCell ref="V289:V296"/>
    <mergeCell ref="W289:W296"/>
    <mergeCell ref="X289:X296"/>
    <mergeCell ref="V302:V309"/>
    <mergeCell ref="W302:W309"/>
    <mergeCell ref="X302:X309"/>
    <mergeCell ref="V315:V322"/>
    <mergeCell ref="W315:W322"/>
    <mergeCell ref="X315:X322"/>
    <mergeCell ref="V242:V244"/>
    <mergeCell ref="W242:W244"/>
    <mergeCell ref="X242:X244"/>
    <mergeCell ref="V172:V179"/>
    <mergeCell ref="W172:W179"/>
    <mergeCell ref="X172:X179"/>
    <mergeCell ref="V185:V192"/>
    <mergeCell ref="W185:W192"/>
    <mergeCell ref="X185:X192"/>
    <mergeCell ref="V198:V205"/>
    <mergeCell ref="V29:V36"/>
    <mergeCell ref="W29:W36"/>
    <mergeCell ref="X29:X36"/>
    <mergeCell ref="V42:V49"/>
    <mergeCell ref="W42:W49"/>
    <mergeCell ref="X42:X49"/>
    <mergeCell ref="V55:V62"/>
    <mergeCell ref="W55:W62"/>
    <mergeCell ref="X55:X62"/>
    <mergeCell ref="S232:T244"/>
    <mergeCell ref="R230:R231"/>
    <mergeCell ref="S219:T231"/>
    <mergeCell ref="W198:W205"/>
    <mergeCell ref="X198:X205"/>
    <mergeCell ref="R256:R257"/>
    <mergeCell ref="S245:T257"/>
    <mergeCell ref="S414:T426"/>
    <mergeCell ref="V68:V75"/>
    <mergeCell ref="W68:W75"/>
    <mergeCell ref="X68:X75"/>
    <mergeCell ref="V81:V88"/>
    <mergeCell ref="W81:W88"/>
    <mergeCell ref="X81:X88"/>
    <mergeCell ref="V94:V101"/>
    <mergeCell ref="W94:W101"/>
    <mergeCell ref="X94:X101"/>
    <mergeCell ref="X146:X153"/>
    <mergeCell ref="V159:V166"/>
    <mergeCell ref="W159:W166"/>
    <mergeCell ref="X159:X166"/>
    <mergeCell ref="V255:V257"/>
    <mergeCell ref="W255:W257"/>
    <mergeCell ref="X255:X257"/>
    <mergeCell ref="V411:V413"/>
    <mergeCell ref="X120:X127"/>
    <mergeCell ref="V133:V140"/>
    <mergeCell ref="W133:W140"/>
    <mergeCell ref="X133:X140"/>
    <mergeCell ref="V146:V153"/>
    <mergeCell ref="W146:W153"/>
    <mergeCell ref="W411:W413"/>
    <mergeCell ref="X411:X413"/>
    <mergeCell ref="V393:V400"/>
    <mergeCell ref="W393:W400"/>
    <mergeCell ref="X393:X400"/>
    <mergeCell ref="V328:V335"/>
    <mergeCell ref="W328:W335"/>
    <mergeCell ref="X328:X335"/>
    <mergeCell ref="V341:V348"/>
    <mergeCell ref="W341:W348"/>
    <mergeCell ref="X341:X348"/>
    <mergeCell ref="V354:V361"/>
    <mergeCell ref="W354:W361"/>
    <mergeCell ref="X354:X361"/>
    <mergeCell ref="V120:V127"/>
    <mergeCell ref="W120:W127"/>
    <mergeCell ref="V268:V270"/>
    <mergeCell ref="R360:R361"/>
    <mergeCell ref="S349:T361"/>
    <mergeCell ref="V281:V283"/>
    <mergeCell ref="W281:W283"/>
    <mergeCell ref="X281:X283"/>
    <mergeCell ref="V16:V23"/>
    <mergeCell ref="W16:W23"/>
    <mergeCell ref="X16:X23"/>
    <mergeCell ref="S89:T101"/>
    <mergeCell ref="S63:T75"/>
    <mergeCell ref="S76:T88"/>
    <mergeCell ref="V229:V231"/>
    <mergeCell ref="W229:W231"/>
    <mergeCell ref="X229:X231"/>
    <mergeCell ref="V107:V114"/>
    <mergeCell ref="W107:W114"/>
    <mergeCell ref="X107:X114"/>
    <mergeCell ref="R165:R166"/>
    <mergeCell ref="W268:W270"/>
    <mergeCell ref="X268:X270"/>
    <mergeCell ref="R204:R205"/>
    <mergeCell ref="S206:T218"/>
    <mergeCell ref="S193:T205"/>
    <mergeCell ref="R243:R244"/>
    <mergeCell ref="AK467:AL478"/>
    <mergeCell ref="AM470:AP473"/>
    <mergeCell ref="AM477:AP478"/>
    <mergeCell ref="R334:R335"/>
    <mergeCell ref="S323:T335"/>
    <mergeCell ref="O373:O374"/>
    <mergeCell ref="Q373:Q374"/>
    <mergeCell ref="O399:O400"/>
    <mergeCell ref="Q399:Q400"/>
    <mergeCell ref="R399:R400"/>
    <mergeCell ref="S388:T400"/>
    <mergeCell ref="R373:R374"/>
    <mergeCell ref="S362:T374"/>
    <mergeCell ref="O334:O335"/>
    <mergeCell ref="Q334:Q335"/>
    <mergeCell ref="R347:R348"/>
    <mergeCell ref="S336:T348"/>
    <mergeCell ref="O360:O361"/>
    <mergeCell ref="Q360:Q361"/>
    <mergeCell ref="O347:O348"/>
    <mergeCell ref="Q347:Q348"/>
    <mergeCell ref="P334:P335"/>
    <mergeCell ref="S401:T413"/>
    <mergeCell ref="O412:O413"/>
    <mergeCell ref="N256:N257"/>
    <mergeCell ref="P256:P257"/>
    <mergeCell ref="O256:O257"/>
    <mergeCell ref="Q256:Q257"/>
    <mergeCell ref="P204:P205"/>
    <mergeCell ref="N204:N205"/>
    <mergeCell ref="O191:O192"/>
    <mergeCell ref="Q191:Q192"/>
    <mergeCell ref="O204:O205"/>
    <mergeCell ref="Q204:Q205"/>
    <mergeCell ref="O217:O218"/>
    <mergeCell ref="Q217:Q218"/>
    <mergeCell ref="O230:O231"/>
    <mergeCell ref="Q230:Q231"/>
    <mergeCell ref="O243:O244"/>
    <mergeCell ref="Q243:Q244"/>
    <mergeCell ref="O178:O179"/>
    <mergeCell ref="Q178:Q179"/>
    <mergeCell ref="P165:P166"/>
    <mergeCell ref="O152:O153"/>
    <mergeCell ref="Q152:Q153"/>
    <mergeCell ref="O165:O166"/>
    <mergeCell ref="Q165:Q166"/>
    <mergeCell ref="M230:M231"/>
    <mergeCell ref="N230:N231"/>
    <mergeCell ref="P230:P231"/>
    <mergeCell ref="M165:M166"/>
    <mergeCell ref="N165:N166"/>
    <mergeCell ref="O139:O140"/>
    <mergeCell ref="Q139:Q140"/>
    <mergeCell ref="N126:N127"/>
    <mergeCell ref="P126:P127"/>
    <mergeCell ref="R126:R127"/>
    <mergeCell ref="N139:N140"/>
    <mergeCell ref="P139:P140"/>
    <mergeCell ref="R139:R140"/>
    <mergeCell ref="N152:N153"/>
    <mergeCell ref="P152:P153"/>
    <mergeCell ref="R152:R153"/>
    <mergeCell ref="D89:E101"/>
    <mergeCell ref="F100:F101"/>
    <mergeCell ref="L100:L101"/>
    <mergeCell ref="M100:M101"/>
    <mergeCell ref="N100:N101"/>
    <mergeCell ref="O87:O88"/>
    <mergeCell ref="Q87:Q88"/>
    <mergeCell ref="O100:O101"/>
    <mergeCell ref="P100:P101"/>
    <mergeCell ref="O113:O114"/>
    <mergeCell ref="Q113:Q114"/>
    <mergeCell ref="R113:R114"/>
    <mergeCell ref="O126:O127"/>
    <mergeCell ref="Q126:Q127"/>
    <mergeCell ref="D102:E114"/>
    <mergeCell ref="F113:F114"/>
    <mergeCell ref="L113:L114"/>
    <mergeCell ref="M113:M114"/>
    <mergeCell ref="N113:N114"/>
    <mergeCell ref="P113:P114"/>
    <mergeCell ref="U2:X8"/>
    <mergeCell ref="C8:E8"/>
    <mergeCell ref="C2:E2"/>
    <mergeCell ref="C3:E3"/>
    <mergeCell ref="C5:E5"/>
    <mergeCell ref="C6:E6"/>
    <mergeCell ref="C7:E7"/>
    <mergeCell ref="C4:E4"/>
    <mergeCell ref="L4:R4"/>
    <mergeCell ref="L6:R6"/>
    <mergeCell ref="L7:R7"/>
    <mergeCell ref="L8:R8"/>
    <mergeCell ref="F2:T2"/>
    <mergeCell ref="L5:R5"/>
    <mergeCell ref="Q35:Q36"/>
    <mergeCell ref="R100:R101"/>
    <mergeCell ref="P35:P36"/>
    <mergeCell ref="R74:R75"/>
    <mergeCell ref="Q100:Q101"/>
    <mergeCell ref="D76:E88"/>
    <mergeCell ref="O35:O36"/>
    <mergeCell ref="F87:F88"/>
    <mergeCell ref="L87:L88"/>
    <mergeCell ref="M87:M88"/>
    <mergeCell ref="N87:N88"/>
    <mergeCell ref="P87:P88"/>
    <mergeCell ref="Q48:Q49"/>
    <mergeCell ref="Q61:Q62"/>
    <mergeCell ref="Q74:Q75"/>
    <mergeCell ref="P74:P75"/>
    <mergeCell ref="O48:O49"/>
    <mergeCell ref="O61:O62"/>
    <mergeCell ref="O74:O75"/>
    <mergeCell ref="D63:E75"/>
    <mergeCell ref="F74:F75"/>
    <mergeCell ref="L74:L75"/>
    <mergeCell ref="M74:M75"/>
    <mergeCell ref="N74:N75"/>
    <mergeCell ref="D11:E23"/>
    <mergeCell ref="F61:F62"/>
    <mergeCell ref="L61:L62"/>
    <mergeCell ref="D50:E62"/>
    <mergeCell ref="N61:N62"/>
    <mergeCell ref="M61:M62"/>
    <mergeCell ref="F22:F23"/>
    <mergeCell ref="L22:L23"/>
    <mergeCell ref="M22:M23"/>
    <mergeCell ref="N22:N23"/>
    <mergeCell ref="D24:E36"/>
    <mergeCell ref="D37:E49"/>
    <mergeCell ref="F48:F49"/>
    <mergeCell ref="L48:L49"/>
    <mergeCell ref="M48:M49"/>
    <mergeCell ref="N48:N49"/>
    <mergeCell ref="F35:F36"/>
    <mergeCell ref="L35:L36"/>
    <mergeCell ref="M35:M36"/>
    <mergeCell ref="N35:N36"/>
    <mergeCell ref="D193:E205"/>
    <mergeCell ref="L204:L205"/>
    <mergeCell ref="M204:M205"/>
    <mergeCell ref="D167:E179"/>
    <mergeCell ref="F178:F179"/>
    <mergeCell ref="L178:L179"/>
    <mergeCell ref="M178:M179"/>
    <mergeCell ref="N178:N179"/>
    <mergeCell ref="N191:N192"/>
    <mergeCell ref="L217:L218"/>
    <mergeCell ref="F256:F257"/>
    <mergeCell ref="F217:F218"/>
    <mergeCell ref="L256:L257"/>
    <mergeCell ref="M256:M257"/>
    <mergeCell ref="F204:F205"/>
    <mergeCell ref="P191:P192"/>
    <mergeCell ref="R191:R192"/>
    <mergeCell ref="D115:E127"/>
    <mergeCell ref="F126:F127"/>
    <mergeCell ref="L126:L127"/>
    <mergeCell ref="M126:M127"/>
    <mergeCell ref="D180:E192"/>
    <mergeCell ref="F191:F192"/>
    <mergeCell ref="L191:L192"/>
    <mergeCell ref="M191:M192"/>
    <mergeCell ref="D128:E140"/>
    <mergeCell ref="F165:F166"/>
    <mergeCell ref="L165:L166"/>
    <mergeCell ref="F139:F140"/>
    <mergeCell ref="L139:L140"/>
    <mergeCell ref="M139:M140"/>
    <mergeCell ref="D141:E153"/>
    <mergeCell ref="F152:F153"/>
    <mergeCell ref="L152:L153"/>
    <mergeCell ref="M152:M153"/>
    <mergeCell ref="D154:E166"/>
    <mergeCell ref="D349:E361"/>
    <mergeCell ref="D362:E374"/>
    <mergeCell ref="M217:M218"/>
    <mergeCell ref="N217:N218"/>
    <mergeCell ref="P217:P218"/>
    <mergeCell ref="R217:R218"/>
    <mergeCell ref="D206:E218"/>
    <mergeCell ref="D219:E231"/>
    <mergeCell ref="D232:E244"/>
    <mergeCell ref="D245:E257"/>
    <mergeCell ref="D258:E270"/>
    <mergeCell ref="D271:E283"/>
    <mergeCell ref="D284:E296"/>
    <mergeCell ref="D297:E309"/>
    <mergeCell ref="F243:F244"/>
    <mergeCell ref="L243:L244"/>
    <mergeCell ref="M243:M244"/>
    <mergeCell ref="N243:N244"/>
    <mergeCell ref="P243:P244"/>
    <mergeCell ref="F230:F231"/>
    <mergeCell ref="L230:L231"/>
    <mergeCell ref="N269:N270"/>
    <mergeCell ref="P269:P270"/>
    <mergeCell ref="R269:R270"/>
    <mergeCell ref="S258:T270"/>
    <mergeCell ref="M269:M270"/>
    <mergeCell ref="O269:O270"/>
    <mergeCell ref="Q269:Q270"/>
    <mergeCell ref="O282:O283"/>
    <mergeCell ref="F269:F270"/>
    <mergeCell ref="L269:L270"/>
    <mergeCell ref="Q282:Q283"/>
    <mergeCell ref="F295:F296"/>
    <mergeCell ref="L295:L296"/>
    <mergeCell ref="M295:M296"/>
    <mergeCell ref="N295:N296"/>
    <mergeCell ref="P295:P296"/>
    <mergeCell ref="R295:R296"/>
    <mergeCell ref="S284:T296"/>
    <mergeCell ref="F282:F283"/>
    <mergeCell ref="L282:L283"/>
    <mergeCell ref="M282:M283"/>
    <mergeCell ref="N282:N283"/>
    <mergeCell ref="P282:P283"/>
    <mergeCell ref="R282:R283"/>
    <mergeCell ref="S271:T283"/>
    <mergeCell ref="O295:O296"/>
    <mergeCell ref="Q295:Q296"/>
    <mergeCell ref="F308:F309"/>
    <mergeCell ref="L308:L309"/>
    <mergeCell ref="M308:M309"/>
    <mergeCell ref="N308:N309"/>
    <mergeCell ref="P308:P309"/>
    <mergeCell ref="R308:R309"/>
    <mergeCell ref="S297:T309"/>
    <mergeCell ref="M321:M322"/>
    <mergeCell ref="N321:N322"/>
    <mergeCell ref="O308:O309"/>
    <mergeCell ref="Q308:Q309"/>
    <mergeCell ref="O321:O322"/>
    <mergeCell ref="Q321:Q322"/>
    <mergeCell ref="P321:P322"/>
    <mergeCell ref="R321:R322"/>
    <mergeCell ref="S310:T322"/>
    <mergeCell ref="F321:F322"/>
    <mergeCell ref="L321:L322"/>
    <mergeCell ref="P360:P361"/>
    <mergeCell ref="F373:F374"/>
    <mergeCell ref="L373:L374"/>
    <mergeCell ref="M373:M374"/>
    <mergeCell ref="N373:N374"/>
    <mergeCell ref="P373:P374"/>
    <mergeCell ref="F347:F348"/>
    <mergeCell ref="L347:L348"/>
    <mergeCell ref="M347:M348"/>
    <mergeCell ref="N347:N348"/>
    <mergeCell ref="P347:P348"/>
    <mergeCell ref="S375:T387"/>
    <mergeCell ref="Q386:Q387"/>
    <mergeCell ref="P399:P400"/>
    <mergeCell ref="O425:O426"/>
    <mergeCell ref="Q425:Q426"/>
    <mergeCell ref="R412:R413"/>
    <mergeCell ref="D414:E426"/>
    <mergeCell ref="F451:F452"/>
    <mergeCell ref="L451:L452"/>
    <mergeCell ref="M451:M452"/>
    <mergeCell ref="N451:N452"/>
    <mergeCell ref="P451:P452"/>
    <mergeCell ref="F425:F426"/>
    <mergeCell ref="L425:L426"/>
    <mergeCell ref="N425:N426"/>
    <mergeCell ref="P425:P426"/>
    <mergeCell ref="M438:M439"/>
    <mergeCell ref="N438:N439"/>
    <mergeCell ref="P438:P439"/>
    <mergeCell ref="F438:F439"/>
    <mergeCell ref="L438:L439"/>
    <mergeCell ref="O451:O452"/>
    <mergeCell ref="D401:E413"/>
    <mergeCell ref="Q412:Q413"/>
    <mergeCell ref="M425:M426"/>
    <mergeCell ref="Q438:Q439"/>
    <mergeCell ref="R425:R426"/>
    <mergeCell ref="D310:E322"/>
    <mergeCell ref="D323:E335"/>
    <mergeCell ref="D336:E348"/>
    <mergeCell ref="F334:F335"/>
    <mergeCell ref="L334:L335"/>
    <mergeCell ref="M334:M335"/>
    <mergeCell ref="N334:N335"/>
    <mergeCell ref="D388:E400"/>
    <mergeCell ref="R386:R387"/>
    <mergeCell ref="P412:P413"/>
    <mergeCell ref="F399:F400"/>
    <mergeCell ref="L399:L400"/>
    <mergeCell ref="M399:M400"/>
    <mergeCell ref="N399:N400"/>
    <mergeCell ref="D375:E387"/>
    <mergeCell ref="F386:F387"/>
    <mergeCell ref="L386:L387"/>
    <mergeCell ref="M386:M387"/>
    <mergeCell ref="N386:N387"/>
    <mergeCell ref="L412:L413"/>
    <mergeCell ref="N360:N361"/>
    <mergeCell ref="D466:E478"/>
    <mergeCell ref="D440:E452"/>
    <mergeCell ref="F360:F361"/>
    <mergeCell ref="L360:L361"/>
    <mergeCell ref="M360:M361"/>
    <mergeCell ref="N521:O521"/>
    <mergeCell ref="C518:M522"/>
    <mergeCell ref="P477:P478"/>
    <mergeCell ref="R477:R478"/>
    <mergeCell ref="D427:E439"/>
    <mergeCell ref="D453:E465"/>
    <mergeCell ref="F464:F465"/>
    <mergeCell ref="L464:L465"/>
    <mergeCell ref="F477:F478"/>
    <mergeCell ref="L477:L478"/>
    <mergeCell ref="M477:M478"/>
    <mergeCell ref="N477:N478"/>
    <mergeCell ref="M464:M465"/>
    <mergeCell ref="N464:N465"/>
    <mergeCell ref="M412:M413"/>
    <mergeCell ref="N412:N413"/>
    <mergeCell ref="P386:P387"/>
    <mergeCell ref="O386:O387"/>
    <mergeCell ref="F412:F413"/>
    <mergeCell ref="S466:T478"/>
    <mergeCell ref="S453:T465"/>
    <mergeCell ref="O438:O439"/>
    <mergeCell ref="Q451:Q452"/>
    <mergeCell ref="S440:T452"/>
    <mergeCell ref="O464:O465"/>
    <mergeCell ref="Q464:Q465"/>
    <mergeCell ref="P464:P465"/>
    <mergeCell ref="R464:R465"/>
    <mergeCell ref="R451:R452"/>
    <mergeCell ref="O477:O478"/>
    <mergeCell ref="R438:R439"/>
    <mergeCell ref="Q477:Q478"/>
    <mergeCell ref="S427:T439"/>
    <mergeCell ref="O22:O23"/>
    <mergeCell ref="AA8:AD11"/>
    <mergeCell ref="S180:T192"/>
    <mergeCell ref="S167:T179"/>
    <mergeCell ref="S154:T166"/>
    <mergeCell ref="S141:T153"/>
    <mergeCell ref="S128:T140"/>
    <mergeCell ref="S115:T127"/>
    <mergeCell ref="S102:T114"/>
    <mergeCell ref="P178:P179"/>
    <mergeCell ref="R178:R179"/>
    <mergeCell ref="P22:P23"/>
    <mergeCell ref="R22:R23"/>
    <mergeCell ref="S11:T23"/>
    <mergeCell ref="S50:T62"/>
    <mergeCell ref="S37:T49"/>
    <mergeCell ref="S24:T36"/>
    <mergeCell ref="R87:R88"/>
    <mergeCell ref="Q22:Q23"/>
    <mergeCell ref="R61:R62"/>
    <mergeCell ref="P61:P62"/>
    <mergeCell ref="R35:R36"/>
    <mergeCell ref="R48:R49"/>
    <mergeCell ref="P48:P49"/>
    <mergeCell ref="V463:V465"/>
    <mergeCell ref="W463:W465"/>
    <mergeCell ref="X463:X465"/>
    <mergeCell ref="V476:V478"/>
    <mergeCell ref="W476:W478"/>
    <mergeCell ref="X476:X478"/>
    <mergeCell ref="V424:V426"/>
    <mergeCell ref="W424:W426"/>
    <mergeCell ref="X424:X426"/>
    <mergeCell ref="V437:V439"/>
    <mergeCell ref="W437:W439"/>
    <mergeCell ref="X437:X439"/>
    <mergeCell ref="V450:V452"/>
    <mergeCell ref="W450:W452"/>
    <mergeCell ref="X450:X452"/>
  </mergeCells>
  <phoneticPr fontId="1" type="noConversion"/>
  <conditionalFormatting sqref="V11:V210 V479:V517">
    <cfRule type="expression" dxfId="336" priority="3">
      <formula>$V$11="Nein"</formula>
    </cfRule>
  </conditionalFormatting>
  <conditionalFormatting sqref="V211:V215">
    <cfRule type="expression" dxfId="334" priority="147">
      <formula>$V$211="Nein"</formula>
    </cfRule>
  </conditionalFormatting>
  <conditionalFormatting sqref="V219:V223">
    <cfRule type="expression" dxfId="333" priority="108">
      <formula>$V$11="Nein"</formula>
    </cfRule>
  </conditionalFormatting>
  <conditionalFormatting sqref="V224:V228">
    <cfRule type="expression" dxfId="331" priority="105">
      <formula>$V$211="Nein"</formula>
    </cfRule>
  </conditionalFormatting>
  <conditionalFormatting sqref="V232:V236">
    <cfRule type="expression" dxfId="330" priority="102">
      <formula>$V$11="Nein"</formula>
    </cfRule>
  </conditionalFormatting>
  <conditionalFormatting sqref="V237:V241">
    <cfRule type="expression" dxfId="329" priority="99">
      <formula>$V$211="Nein"</formula>
    </cfRule>
  </conditionalFormatting>
  <conditionalFormatting sqref="V245:V249">
    <cfRule type="expression" dxfId="328" priority="96">
      <formula>$V$11="Nein"</formula>
    </cfRule>
  </conditionalFormatting>
  <conditionalFormatting sqref="V250:V254">
    <cfRule type="expression" dxfId="327" priority="93">
      <formula>$V$211="Nein"</formula>
    </cfRule>
  </conditionalFormatting>
  <conditionalFormatting sqref="V258:V262">
    <cfRule type="expression" dxfId="326" priority="90">
      <formula>$V$11="Nein"</formula>
    </cfRule>
  </conditionalFormatting>
  <conditionalFormatting sqref="V263:V267">
    <cfRule type="expression" dxfId="325" priority="87">
      <formula>$V$211="Nein"</formula>
    </cfRule>
  </conditionalFormatting>
  <conditionalFormatting sqref="V271:V275">
    <cfRule type="expression" dxfId="324" priority="84">
      <formula>$V$11="Nein"</formula>
    </cfRule>
  </conditionalFormatting>
  <conditionalFormatting sqref="V276:V280">
    <cfRule type="expression" dxfId="323" priority="81">
      <formula>$V$211="Nein"</formula>
    </cfRule>
  </conditionalFormatting>
  <conditionalFormatting sqref="V284:V288">
    <cfRule type="expression" dxfId="322" priority="33">
      <formula>$V$11="Nein"</formula>
    </cfRule>
  </conditionalFormatting>
  <conditionalFormatting sqref="V289:V296">
    <cfRule type="expression" dxfId="321" priority="213">
      <formula>$V$284="Nein"</formula>
    </cfRule>
  </conditionalFormatting>
  <conditionalFormatting sqref="V297:V301">
    <cfRule type="expression" dxfId="320" priority="30">
      <formula>$V$11="Nein"</formula>
    </cfRule>
  </conditionalFormatting>
  <conditionalFormatting sqref="V302:V309">
    <cfRule type="expression" dxfId="319" priority="210">
      <formula>$V$297="Nein"</formula>
    </cfRule>
  </conditionalFormatting>
  <conditionalFormatting sqref="V310:V314">
    <cfRule type="expression" dxfId="318" priority="27">
      <formula>$V$11="Nein"</formula>
    </cfRule>
  </conditionalFormatting>
  <conditionalFormatting sqref="V315:V322">
    <cfRule type="expression" dxfId="317" priority="207">
      <formula>$V$310="Nein"</formula>
    </cfRule>
  </conditionalFormatting>
  <conditionalFormatting sqref="V323:V327">
    <cfRule type="expression" dxfId="316" priority="24">
      <formula>$V$11="Nein"</formula>
    </cfRule>
  </conditionalFormatting>
  <conditionalFormatting sqref="V328:V335">
    <cfRule type="expression" dxfId="315" priority="204">
      <formula>$V$323="Nein"</formula>
    </cfRule>
  </conditionalFormatting>
  <conditionalFormatting sqref="V336:V340">
    <cfRule type="expression" dxfId="314" priority="21">
      <formula>$V$11="Nein"</formula>
    </cfRule>
  </conditionalFormatting>
  <conditionalFormatting sqref="V341:V348">
    <cfRule type="expression" dxfId="313" priority="201">
      <formula>$V$336="Nein"</formula>
    </cfRule>
  </conditionalFormatting>
  <conditionalFormatting sqref="V349:V353">
    <cfRule type="expression" dxfId="312" priority="18">
      <formula>$V$11="Nein"</formula>
    </cfRule>
  </conditionalFormatting>
  <conditionalFormatting sqref="V354:V361">
    <cfRule type="expression" dxfId="311" priority="198">
      <formula>$V$349="Nein"</formula>
    </cfRule>
  </conditionalFormatting>
  <conditionalFormatting sqref="V362:V366">
    <cfRule type="expression" dxfId="310" priority="15">
      <formula>$V$11="Nein"</formula>
    </cfRule>
  </conditionalFormatting>
  <conditionalFormatting sqref="V367:V374">
    <cfRule type="expression" dxfId="309" priority="195">
      <formula>$V$362="Nein"</formula>
    </cfRule>
  </conditionalFormatting>
  <conditionalFormatting sqref="V375:V379">
    <cfRule type="expression" dxfId="308" priority="12">
      <formula>$V$11="Nein"</formula>
    </cfRule>
  </conditionalFormatting>
  <conditionalFormatting sqref="V380:V387">
    <cfRule type="expression" dxfId="307" priority="192">
      <formula>$V$375="Nein"</formula>
    </cfRule>
  </conditionalFormatting>
  <conditionalFormatting sqref="V388:V392">
    <cfRule type="expression" dxfId="306" priority="9">
      <formula>$V$11="Nein"</formula>
    </cfRule>
  </conditionalFormatting>
  <conditionalFormatting sqref="V393:V400">
    <cfRule type="expression" dxfId="305" priority="189">
      <formula>$V$388="Nein"</formula>
    </cfRule>
  </conditionalFormatting>
  <conditionalFormatting sqref="V401:V405">
    <cfRule type="expression" dxfId="304" priority="78">
      <formula>$V$11="Nein"</formula>
    </cfRule>
  </conditionalFormatting>
  <conditionalFormatting sqref="V406:V410">
    <cfRule type="expression" dxfId="303" priority="75">
      <formula>$V$211="Nein"</formula>
    </cfRule>
  </conditionalFormatting>
  <conditionalFormatting sqref="V414:V418">
    <cfRule type="expression" dxfId="302" priority="72">
      <formula>$V$11="Nein"</formula>
    </cfRule>
  </conditionalFormatting>
  <conditionalFormatting sqref="V419:V423">
    <cfRule type="expression" dxfId="301" priority="69">
      <formula>$V$211="Nein"</formula>
    </cfRule>
  </conditionalFormatting>
  <conditionalFormatting sqref="V427:V431">
    <cfRule type="expression" dxfId="300" priority="66">
      <formula>$V$11="Nein"</formula>
    </cfRule>
  </conditionalFormatting>
  <conditionalFormatting sqref="V432:V436">
    <cfRule type="expression" dxfId="299" priority="63">
      <formula>$V$211="Nein"</formula>
    </cfRule>
  </conditionalFormatting>
  <conditionalFormatting sqref="V440:V444">
    <cfRule type="expression" dxfId="298" priority="60">
      <formula>$V$11="Nein"</formula>
    </cfRule>
  </conditionalFormatting>
  <conditionalFormatting sqref="V445:V449">
    <cfRule type="expression" dxfId="297" priority="57">
      <formula>$V$211="Nein"</formula>
    </cfRule>
  </conditionalFormatting>
  <conditionalFormatting sqref="V453:V457">
    <cfRule type="expression" dxfId="296" priority="54">
      <formula>$V$11="Nein"</formula>
    </cfRule>
  </conditionalFormatting>
  <conditionalFormatting sqref="V458:V462">
    <cfRule type="expression" dxfId="295" priority="51">
      <formula>$V$211="Nein"</formula>
    </cfRule>
  </conditionalFormatting>
  <conditionalFormatting sqref="V466:V470">
    <cfRule type="expression" dxfId="294" priority="48">
      <formula>$V$11="Nein"</formula>
    </cfRule>
  </conditionalFormatting>
  <conditionalFormatting sqref="V471:V475">
    <cfRule type="expression" dxfId="293" priority="45">
      <formula>$V$211="Nein"</formula>
    </cfRule>
  </conditionalFormatting>
  <conditionalFormatting sqref="W11:W210 W479:W517">
    <cfRule type="expression" dxfId="292" priority="2">
      <formula>$W$11="Nein"</formula>
    </cfRule>
  </conditionalFormatting>
  <conditionalFormatting sqref="W211:W215">
    <cfRule type="expression" dxfId="290" priority="146">
      <formula>$W$211="Nein"</formula>
    </cfRule>
  </conditionalFormatting>
  <conditionalFormatting sqref="W219:W223">
    <cfRule type="expression" dxfId="289" priority="107">
      <formula>$W$11="Nein"</formula>
    </cfRule>
  </conditionalFormatting>
  <conditionalFormatting sqref="W224:W228">
    <cfRule type="expression" dxfId="287" priority="104">
      <formula>$W$211="Nein"</formula>
    </cfRule>
  </conditionalFormatting>
  <conditionalFormatting sqref="W232:W236">
    <cfRule type="expression" dxfId="286" priority="101">
      <formula>$W$11="Nein"</formula>
    </cfRule>
  </conditionalFormatting>
  <conditionalFormatting sqref="W237:W241">
    <cfRule type="expression" dxfId="285" priority="98">
      <formula>$W$211="Nein"</formula>
    </cfRule>
  </conditionalFormatting>
  <conditionalFormatting sqref="W245:W249">
    <cfRule type="expression" dxfId="284" priority="95">
      <formula>$W$11="Nein"</formula>
    </cfRule>
  </conditionalFormatting>
  <conditionalFormatting sqref="W250:W254">
    <cfRule type="expression" dxfId="283" priority="92">
      <formula>$W$211="Nein"</formula>
    </cfRule>
  </conditionalFormatting>
  <conditionalFormatting sqref="W258:W262">
    <cfRule type="expression" dxfId="282" priority="89">
      <formula>$W$11="Nein"</formula>
    </cfRule>
  </conditionalFormatting>
  <conditionalFormatting sqref="W263:W267">
    <cfRule type="expression" dxfId="281" priority="86">
      <formula>$W$211="Nein"</formula>
    </cfRule>
  </conditionalFormatting>
  <conditionalFormatting sqref="W271:W275">
    <cfRule type="expression" dxfId="280" priority="83">
      <formula>$W$11="Nein"</formula>
    </cfRule>
  </conditionalFormatting>
  <conditionalFormatting sqref="W276:W280">
    <cfRule type="expression" dxfId="279" priority="80">
      <formula>$W$211="Nein"</formula>
    </cfRule>
  </conditionalFormatting>
  <conditionalFormatting sqref="W284:W288">
    <cfRule type="expression" dxfId="278" priority="32">
      <formula>$W$11="Nein"</formula>
    </cfRule>
  </conditionalFormatting>
  <conditionalFormatting sqref="W289:W296">
    <cfRule type="expression" dxfId="277" priority="212">
      <formula>$W$284="Nein"</formula>
    </cfRule>
  </conditionalFormatting>
  <conditionalFormatting sqref="W297:W301">
    <cfRule type="expression" dxfId="276" priority="29">
      <formula>$W$11="Nein"</formula>
    </cfRule>
  </conditionalFormatting>
  <conditionalFormatting sqref="W302:W309">
    <cfRule type="expression" dxfId="275" priority="209">
      <formula>$W$297="Nein"</formula>
    </cfRule>
  </conditionalFormatting>
  <conditionalFormatting sqref="W310:W314">
    <cfRule type="expression" dxfId="274" priority="26">
      <formula>$W$11="Nein"</formula>
    </cfRule>
  </conditionalFormatting>
  <conditionalFormatting sqref="W315:W322">
    <cfRule type="expression" dxfId="273" priority="206">
      <formula>$W$310="Nein"</formula>
    </cfRule>
  </conditionalFormatting>
  <conditionalFormatting sqref="W323:W327">
    <cfRule type="expression" dxfId="272" priority="23">
      <formula>$W$11="Nein"</formula>
    </cfRule>
  </conditionalFormatting>
  <conditionalFormatting sqref="W328:W335">
    <cfRule type="expression" dxfId="271" priority="203">
      <formula>$W$323="Nein"</formula>
    </cfRule>
  </conditionalFormatting>
  <conditionalFormatting sqref="W336:W340">
    <cfRule type="expression" dxfId="270" priority="20">
      <formula>$W$11="Nein"</formula>
    </cfRule>
  </conditionalFormatting>
  <conditionalFormatting sqref="W341:W348">
    <cfRule type="expression" dxfId="269" priority="200">
      <formula>$W$336="Nein"</formula>
    </cfRule>
  </conditionalFormatting>
  <conditionalFormatting sqref="W349:W353">
    <cfRule type="expression" dxfId="268" priority="17">
      <formula>$W$11="Nein"</formula>
    </cfRule>
  </conditionalFormatting>
  <conditionalFormatting sqref="W354:W361">
    <cfRule type="expression" dxfId="267" priority="197">
      <formula>$W$349="Nein"</formula>
    </cfRule>
  </conditionalFormatting>
  <conditionalFormatting sqref="W362:W366">
    <cfRule type="expression" dxfId="266" priority="14">
      <formula>$W$11="Nein"</formula>
    </cfRule>
  </conditionalFormatting>
  <conditionalFormatting sqref="W367:W374">
    <cfRule type="expression" dxfId="265" priority="194">
      <formula>$W$362="Nein"</formula>
    </cfRule>
  </conditionalFormatting>
  <conditionalFormatting sqref="W375:W379">
    <cfRule type="expression" dxfId="264" priority="11">
      <formula>$W$11="Nein"</formula>
    </cfRule>
  </conditionalFormatting>
  <conditionalFormatting sqref="W380:W387">
    <cfRule type="expression" dxfId="263" priority="191">
      <formula>$W$375="Nein"</formula>
    </cfRule>
  </conditionalFormatting>
  <conditionalFormatting sqref="W388:W392">
    <cfRule type="expression" dxfId="262" priority="8">
      <formula>$W$11="Nein"</formula>
    </cfRule>
  </conditionalFormatting>
  <conditionalFormatting sqref="W393:W400">
    <cfRule type="expression" dxfId="261" priority="188">
      <formula>$W$388="Nein"</formula>
    </cfRule>
  </conditionalFormatting>
  <conditionalFormatting sqref="W401:W405">
    <cfRule type="expression" dxfId="260" priority="77">
      <formula>$W$11="Nein"</formula>
    </cfRule>
  </conditionalFormatting>
  <conditionalFormatting sqref="W406:W410">
    <cfRule type="expression" dxfId="259" priority="74">
      <formula>$W$211="Nein"</formula>
    </cfRule>
  </conditionalFormatting>
  <conditionalFormatting sqref="W414:W418">
    <cfRule type="expression" dxfId="258" priority="71">
      <formula>$W$11="Nein"</formula>
    </cfRule>
  </conditionalFormatting>
  <conditionalFormatting sqref="W419:W423">
    <cfRule type="expression" dxfId="257" priority="68">
      <formula>$W$211="Nein"</formula>
    </cfRule>
  </conditionalFormatting>
  <conditionalFormatting sqref="W427:W431">
    <cfRule type="expression" dxfId="256" priority="65">
      <formula>$W$11="Nein"</formula>
    </cfRule>
  </conditionalFormatting>
  <conditionalFormatting sqref="W432:W436">
    <cfRule type="expression" dxfId="255" priority="62">
      <formula>$W$211="Nein"</formula>
    </cfRule>
  </conditionalFormatting>
  <conditionalFormatting sqref="W440:W444">
    <cfRule type="expression" dxfId="254" priority="59">
      <formula>$W$11="Nein"</formula>
    </cfRule>
  </conditionalFormatting>
  <conditionalFormatting sqref="W445:W449">
    <cfRule type="expression" dxfId="253" priority="56">
      <formula>$W$211="Nein"</formula>
    </cfRule>
  </conditionalFormatting>
  <conditionalFormatting sqref="W453:W457">
    <cfRule type="expression" dxfId="252" priority="53">
      <formula>$W$11="Nein"</formula>
    </cfRule>
  </conditionalFormatting>
  <conditionalFormatting sqref="W458:W462">
    <cfRule type="expression" dxfId="251" priority="50">
      <formula>$W$211="Nein"</formula>
    </cfRule>
  </conditionalFormatting>
  <conditionalFormatting sqref="W466:W470">
    <cfRule type="expression" dxfId="250" priority="47">
      <formula>$W$11="Nein"</formula>
    </cfRule>
  </conditionalFormatting>
  <conditionalFormatting sqref="W471:W475">
    <cfRule type="expression" dxfId="249" priority="44">
      <formula>$W$211="Nein"</formula>
    </cfRule>
  </conditionalFormatting>
  <conditionalFormatting sqref="X11:X210 X479:X517">
    <cfRule type="expression" dxfId="248" priority="1">
      <formula>$X$11="Nein"</formula>
    </cfRule>
  </conditionalFormatting>
  <conditionalFormatting sqref="X211:X215">
    <cfRule type="expression" dxfId="246" priority="145">
      <formula>$X$211="Nein"</formula>
    </cfRule>
  </conditionalFormatting>
  <conditionalFormatting sqref="X219:X223">
    <cfRule type="expression" dxfId="245" priority="106">
      <formula>$X$11="Nein"</formula>
    </cfRule>
  </conditionalFormatting>
  <conditionalFormatting sqref="X224:X228">
    <cfRule type="expression" dxfId="243" priority="103">
      <formula>$X$211="Nein"</formula>
    </cfRule>
  </conditionalFormatting>
  <conditionalFormatting sqref="X232:X236">
    <cfRule type="expression" dxfId="242" priority="100">
      <formula>$X$11="Nein"</formula>
    </cfRule>
  </conditionalFormatting>
  <conditionalFormatting sqref="X237:X241">
    <cfRule type="expression" dxfId="241" priority="97">
      <formula>$X$211="Nein"</formula>
    </cfRule>
  </conditionalFormatting>
  <conditionalFormatting sqref="X245:X249">
    <cfRule type="expression" dxfId="240" priority="94">
      <formula>$X$11="Nein"</formula>
    </cfRule>
  </conditionalFormatting>
  <conditionalFormatting sqref="X250:X254">
    <cfRule type="expression" dxfId="239" priority="91">
      <formula>$X$211="Nein"</formula>
    </cfRule>
  </conditionalFormatting>
  <conditionalFormatting sqref="X258:X262">
    <cfRule type="expression" dxfId="238" priority="88">
      <formula>$X$11="Nein"</formula>
    </cfRule>
  </conditionalFormatting>
  <conditionalFormatting sqref="X263:X267">
    <cfRule type="expression" dxfId="237" priority="85">
      <formula>$X$211="Nein"</formula>
    </cfRule>
  </conditionalFormatting>
  <conditionalFormatting sqref="X271:X275">
    <cfRule type="expression" dxfId="236" priority="82">
      <formula>$X$11="Nein"</formula>
    </cfRule>
  </conditionalFormatting>
  <conditionalFormatting sqref="X276:X280">
    <cfRule type="expression" dxfId="235" priority="79">
      <formula>$X$211="Nein"</formula>
    </cfRule>
  </conditionalFormatting>
  <conditionalFormatting sqref="X284:X288">
    <cfRule type="expression" dxfId="234" priority="31">
      <formula>$X$11="Nein"</formula>
    </cfRule>
  </conditionalFormatting>
  <conditionalFormatting sqref="X289:X296">
    <cfRule type="expression" dxfId="233" priority="211">
      <formula>$X$284="Nein"</formula>
    </cfRule>
  </conditionalFormatting>
  <conditionalFormatting sqref="X297:X301">
    <cfRule type="expression" dxfId="232" priority="28">
      <formula>$X$11="Nein"</formula>
    </cfRule>
  </conditionalFormatting>
  <conditionalFormatting sqref="X302:X309">
    <cfRule type="expression" dxfId="231" priority="208">
      <formula>$X$297="Nein"</formula>
    </cfRule>
  </conditionalFormatting>
  <conditionalFormatting sqref="X310:X314">
    <cfRule type="expression" dxfId="230" priority="25">
      <formula>$X$11="Nein"</formula>
    </cfRule>
  </conditionalFormatting>
  <conditionalFormatting sqref="X315:X322">
    <cfRule type="expression" dxfId="229" priority="205">
      <formula>$X$310="Nein"</formula>
    </cfRule>
  </conditionalFormatting>
  <conditionalFormatting sqref="X323:X327">
    <cfRule type="expression" dxfId="228" priority="22">
      <formula>$X$11="Nein"</formula>
    </cfRule>
  </conditionalFormatting>
  <conditionalFormatting sqref="X328:X335">
    <cfRule type="expression" dxfId="227" priority="202">
      <formula>$X$323="Nein"</formula>
    </cfRule>
  </conditionalFormatting>
  <conditionalFormatting sqref="X336:X340">
    <cfRule type="expression" dxfId="226" priority="19">
      <formula>$X$11="Nein"</formula>
    </cfRule>
  </conditionalFormatting>
  <conditionalFormatting sqref="X341:X348">
    <cfRule type="expression" dxfId="225" priority="199">
      <formula>$X$336="Nein"</formula>
    </cfRule>
  </conditionalFormatting>
  <conditionalFormatting sqref="X349:X353">
    <cfRule type="expression" dxfId="224" priority="16">
      <formula>$X$11="Nein"</formula>
    </cfRule>
  </conditionalFormatting>
  <conditionalFormatting sqref="X354:X361">
    <cfRule type="expression" dxfId="223" priority="196">
      <formula>$X$349="Nein"</formula>
    </cfRule>
  </conditionalFormatting>
  <conditionalFormatting sqref="X362:X366">
    <cfRule type="expression" dxfId="222" priority="13">
      <formula>$X$11="Nein"</formula>
    </cfRule>
  </conditionalFormatting>
  <conditionalFormatting sqref="X367:X374">
    <cfRule type="expression" dxfId="221" priority="193">
      <formula>$X$362="Nein"</formula>
    </cfRule>
  </conditionalFormatting>
  <conditionalFormatting sqref="X375:X379">
    <cfRule type="expression" dxfId="220" priority="10">
      <formula>$X$11="Nein"</formula>
    </cfRule>
  </conditionalFormatting>
  <conditionalFormatting sqref="X380:X387">
    <cfRule type="expression" dxfId="219" priority="190">
      <formula>$X$375="Nein"</formula>
    </cfRule>
  </conditionalFormatting>
  <conditionalFormatting sqref="X388:X392">
    <cfRule type="expression" dxfId="218" priority="7">
      <formula>$X$11="Nein"</formula>
    </cfRule>
  </conditionalFormatting>
  <conditionalFormatting sqref="X393:X400">
    <cfRule type="expression" dxfId="217" priority="187">
      <formula>$X$388="Nein"</formula>
    </cfRule>
  </conditionalFormatting>
  <conditionalFormatting sqref="X401:X405">
    <cfRule type="expression" dxfId="216" priority="76">
      <formula>$X$11="Nein"</formula>
    </cfRule>
  </conditionalFormatting>
  <conditionalFormatting sqref="X406:X410">
    <cfRule type="expression" dxfId="215" priority="73">
      <formula>$X$211="Nein"</formula>
    </cfRule>
  </conditionalFormatting>
  <conditionalFormatting sqref="X414:X418">
    <cfRule type="expression" dxfId="214" priority="70">
      <formula>$X$11="Nein"</formula>
    </cfRule>
  </conditionalFormatting>
  <conditionalFormatting sqref="X419:X423">
    <cfRule type="expression" dxfId="213" priority="67">
      <formula>$X$211="Nein"</formula>
    </cfRule>
  </conditionalFormatting>
  <conditionalFormatting sqref="X427:X431">
    <cfRule type="expression" dxfId="212" priority="64">
      <formula>$X$11="Nein"</formula>
    </cfRule>
  </conditionalFormatting>
  <conditionalFormatting sqref="X432:X436">
    <cfRule type="expression" dxfId="211" priority="61">
      <formula>$X$211="Nein"</formula>
    </cfRule>
  </conditionalFormatting>
  <conditionalFormatting sqref="X440:X444">
    <cfRule type="expression" dxfId="210" priority="58">
      <formula>$X$11="Nein"</formula>
    </cfRule>
  </conditionalFormatting>
  <conditionalFormatting sqref="X445:X449">
    <cfRule type="expression" dxfId="209" priority="55">
      <formula>$X$211="Nein"</formula>
    </cfRule>
  </conditionalFormatting>
  <conditionalFormatting sqref="X453:X457">
    <cfRule type="expression" dxfId="208" priority="52">
      <formula>$X$11="Nein"</formula>
    </cfRule>
  </conditionalFormatting>
  <conditionalFormatting sqref="X458:X462">
    <cfRule type="expression" dxfId="207" priority="49">
      <formula>$X$211="Nein"</formula>
    </cfRule>
  </conditionalFormatting>
  <conditionalFormatting sqref="X466:X470">
    <cfRule type="expression" dxfId="206" priority="46">
      <formula>$X$11="Nein"</formula>
    </cfRule>
  </conditionalFormatting>
  <conditionalFormatting sqref="X471:X475">
    <cfRule type="expression" dxfId="205" priority="43">
      <formula>$X$211="Nein"</formula>
    </cfRule>
  </conditionalFormatting>
  <pageMargins left="0.7" right="0.7" top="0.78740157499999996" bottom="0.78740157499999996" header="0.3" footer="0.3"/>
  <pageSetup paperSize="9" scale="37" orientation="landscape" r:id="rId1"/>
  <headerFooter>
    <oddHeader>&amp;L
&amp;C&amp;"-,Fett"Maßnahmenpaket Fenster und Türen&amp;R&amp;"-,Fett"&amp;D</oddHeader>
    <oddFooter>&amp;R&amp;"-,Fett"&amp;P</oddFooter>
  </headerFooter>
  <extLst>
    <ext xmlns:x14="http://schemas.microsoft.com/office/spreadsheetml/2009/9/main" uri="{78C0D931-6437-407d-A8EE-F0AAD7539E65}">
      <x14:conditionalFormattings>
        <x14:conditionalFormatting xmlns:xm="http://schemas.microsoft.com/office/excel/2006/main">
          <x14:cfRule type="expression" priority="6" id="{08488CEC-C7FF-418E-A47B-A84AB03987CB}">
            <xm:f>Allgemein!$C$91=$V$10</xm:f>
            <x14:dxf>
              <fill>
                <patternFill>
                  <bgColor theme="9" tint="0.79998168889431442"/>
                </patternFill>
              </fill>
            </x14:dxf>
          </x14:cfRule>
          <xm:sqref>V11:V216 V232:V242 V245:V255 V258:V268 V271:V281 V284:V411 V414:V424 V427:V437 V440:V450 V453:V463 V466:V476 V479:V517</xm:sqref>
        </x14:conditionalFormatting>
        <x14:conditionalFormatting xmlns:xm="http://schemas.microsoft.com/office/excel/2006/main">
          <x14:cfRule type="expression" priority="315" id="{87E78310-D4E0-40A5-B7D8-F5B4FB81DB89}">
            <xm:f>Allgemein!$C$91=$V$10</xm:f>
            <x14:dxf>
              <fill>
                <patternFill>
                  <bgColor theme="9" tint="0.79998168889431442"/>
                </patternFill>
              </fill>
            </x14:dxf>
          </x14:cfRule>
          <xm:sqref>V219:V229</xm:sqref>
        </x14:conditionalFormatting>
        <x14:conditionalFormatting xmlns:xm="http://schemas.microsoft.com/office/excel/2006/main">
          <x14:cfRule type="expression" priority="5" id="{70D438B7-B5E0-4EDA-84BF-31F52D04A616}">
            <xm:f>Allgemein!$C$91=$W$10</xm:f>
            <x14:dxf>
              <fill>
                <patternFill>
                  <bgColor theme="9" tint="0.79998168889431442"/>
                </patternFill>
              </fill>
            </x14:dxf>
          </x14:cfRule>
          <xm:sqref>W11:W216 W232:W242 W245:W255 W258:W268 W271:W281 W284:W411 W414:W424 W427:W437 W440:W450 W453:W463 W466:W476 W479:W517</xm:sqref>
        </x14:conditionalFormatting>
        <x14:conditionalFormatting xmlns:xm="http://schemas.microsoft.com/office/excel/2006/main">
          <x14:cfRule type="expression" priority="314" id="{6019F865-7693-4119-A359-1727A168773F}">
            <xm:f>Allgemein!$C$91=$W$10</xm:f>
            <x14:dxf>
              <fill>
                <patternFill>
                  <bgColor theme="9" tint="0.79998168889431442"/>
                </patternFill>
              </fill>
            </x14:dxf>
          </x14:cfRule>
          <xm:sqref>W219:W229</xm:sqref>
        </x14:conditionalFormatting>
        <x14:conditionalFormatting xmlns:xm="http://schemas.microsoft.com/office/excel/2006/main">
          <x14:cfRule type="expression" priority="4" id="{C824B73B-87E0-41AA-AC61-B3C2E6B8D942}">
            <xm:f>Allgemein!$C$91=$X$10</xm:f>
            <x14:dxf>
              <fill>
                <patternFill>
                  <bgColor theme="9" tint="0.79998168889431442"/>
                </patternFill>
              </fill>
            </x14:dxf>
          </x14:cfRule>
          <xm:sqref>X11:X216 X232:X242 X245:X255 X258:X268 X271:X281 X284:X411 X414:X424 X427:X437 X440:X450 X453:X463 X466:X476 X479:X517</xm:sqref>
        </x14:conditionalFormatting>
        <x14:conditionalFormatting xmlns:xm="http://schemas.microsoft.com/office/excel/2006/main">
          <x14:cfRule type="expression" priority="313" id="{CEAD4607-27CB-4F28-919A-2B30B162292C}">
            <xm:f>Allgemein!$C$91=$X$10</xm:f>
            <x14:dxf>
              <fill>
                <patternFill>
                  <bgColor theme="9" tint="0.79998168889431442"/>
                </patternFill>
              </fill>
            </x14:dxf>
          </x14:cfRule>
          <xm:sqref>X219:X229</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showErrorMessage="1" xr:uid="{96E789BD-9CC2-4D49-8DCD-24B212C9F3A8}">
          <x14:formula1>
            <xm:f>Datenbank!$S$3:$S$4</xm:f>
          </x14:formula1>
          <xm:sqref>T4 V11:X11 V458:X458 V24:X24 V37:X37 V50:X50 V63:X63 V76:X76 V89:X89 V102:X102 V115:X115 V128:X128 V141:X141 V154:X154 V167:X167 V180:X180 V466:X466 V297:X297 V284:X284 V310:X310 V323:X323 V336:X336 V349:X349 V362:X362 V375:X375 V193:X193 V211:X211 V206:X206 V453:X453 V219:X219 V224:X224 V232:X232 V237:X237 V245:X245 V250:X250 V258:X258 V263:X263 V271:X271 V276:X276 V401:X401 V406:X406 V414:X414 V419:X419 V427:X427 V432:X432 V440:X440 V445:X445 V471:X471 V388:X388 V479:X479 V492:X492 V505:X505</xm:sqref>
        </x14:dataValidation>
        <x14:dataValidation type="list" allowBlank="1" showInputMessage="1" showErrorMessage="1" xr:uid="{464997F4-4D23-4BFF-9AC0-94164BDB60E5}">
          <x14:formula1>
            <xm:f>'Datenbank-Preise'!$G$168:$G$182</xm:f>
          </x14:formula1>
          <xm:sqref>V15:X15 V521:X521 V457:X457 V28:X28 V41:X41 V54:X54 V67:X67 V80:X80 V93:X93 V106:X106 V119:X119 V132:X132 V145:X145 V158:X158 V171:X171 V184:X184 V470:X470 V301:X301 V288:X288 V314:X314 V327:X327 V340:X340 V353:X353 V366:X366 V379:X379 V197:X197 V210:X210 V223:X223 V236:X236 V249:X249 V262:X262 V275:X275 V405:X405 V418:X418 V431:X431 V444:X444 V392:X392 V483:X483 V496:X496 V509:X509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BDFA9-477F-4821-861D-4193759828E1}">
  <dimension ref="A1:AD163"/>
  <sheetViews>
    <sheetView showGridLines="0" topLeftCell="A39" zoomScale="70" zoomScaleNormal="70" workbookViewId="0">
      <selection activeCell="E26" sqref="E26"/>
    </sheetView>
  </sheetViews>
  <sheetFormatPr baseColWidth="10" defaultColWidth="11.5546875" defaultRowHeight="16.8"/>
  <cols>
    <col min="1" max="1" width="11.5546875" style="10"/>
    <col min="2" max="2" width="37" style="10" customWidth="1"/>
    <col min="3" max="3" width="16.5546875" style="10" customWidth="1"/>
    <col min="4" max="4" width="18.44140625" style="10" customWidth="1"/>
    <col min="5" max="5" width="24.33203125" style="10" customWidth="1"/>
    <col min="6" max="6" width="24.6640625" style="10" customWidth="1"/>
    <col min="7" max="7" width="17.6640625" style="10" customWidth="1"/>
    <col min="8" max="8" width="21.5546875" style="10" customWidth="1"/>
    <col min="9" max="9" width="14.44140625" style="10" customWidth="1"/>
    <col min="10" max="10" width="14.5546875" style="10" customWidth="1"/>
    <col min="11" max="11" width="20" style="10" customWidth="1"/>
    <col min="12" max="12" width="26.5546875" style="10" customWidth="1"/>
    <col min="13" max="13" width="19.33203125" style="10" customWidth="1"/>
    <col min="14" max="14" width="24.44140625" style="246" customWidth="1"/>
    <col min="15" max="15" width="22.6640625" style="10" customWidth="1"/>
    <col min="16" max="16" width="19.6640625" style="10" customWidth="1"/>
    <col min="17" max="17" width="22.6640625" style="10" customWidth="1"/>
    <col min="18" max="18" width="21.33203125" style="10" customWidth="1"/>
    <col min="19" max="19" width="24.44140625" style="10" customWidth="1"/>
    <col min="20" max="20" width="21.44140625" style="10" customWidth="1"/>
    <col min="21" max="21" width="26.44140625" style="10" customWidth="1"/>
    <col min="22" max="22" width="29" style="10" customWidth="1"/>
    <col min="23" max="23" width="23.44140625" style="10" customWidth="1"/>
    <col min="24" max="24" width="19.5546875" style="10" bestFit="1" customWidth="1"/>
    <col min="25" max="26" width="14.5546875" style="10" customWidth="1"/>
    <col min="27" max="27" width="15" style="10" customWidth="1"/>
    <col min="28" max="28" width="14.5546875" style="10" customWidth="1"/>
    <col min="29" max="29" width="13" style="10" customWidth="1"/>
    <col min="30" max="30" width="16.44140625" style="10" customWidth="1"/>
    <col min="31" max="31" width="12.5546875" style="10" customWidth="1"/>
    <col min="32" max="16384" width="11.5546875" style="10"/>
  </cols>
  <sheetData>
    <row r="1" spans="1:27" ht="17.399999999999999" thickBot="1">
      <c r="B1" s="217"/>
      <c r="N1" s="218"/>
      <c r="O1" s="217"/>
      <c r="P1" s="217"/>
      <c r="Q1" s="217"/>
    </row>
    <row r="2" spans="1:27" ht="30.75" customHeight="1" thickTop="1">
      <c r="A2" s="219"/>
      <c r="B2" s="127" t="s">
        <v>0</v>
      </c>
      <c r="C2" s="1629">
        <f>Allgemein!C2</f>
        <v>0</v>
      </c>
      <c r="D2" s="1629"/>
      <c r="E2" s="1629"/>
      <c r="F2" s="1629"/>
      <c r="G2" s="1630"/>
      <c r="H2" s="1558" t="s">
        <v>254</v>
      </c>
      <c r="I2" s="1559"/>
      <c r="J2" s="1559"/>
      <c r="K2" s="1559"/>
      <c r="L2" s="1559"/>
      <c r="M2" s="1559"/>
      <c r="N2" s="1559"/>
      <c r="O2" s="1559"/>
      <c r="P2" s="1559"/>
      <c r="Q2" s="1560"/>
      <c r="R2" s="1652" t="e" vm="1">
        <v>#VALUE!</v>
      </c>
      <c r="S2" s="1653"/>
      <c r="T2" s="1654"/>
      <c r="U2" s="1178"/>
      <c r="V2" s="220"/>
    </row>
    <row r="3" spans="1:27" ht="19.350000000000001" customHeight="1">
      <c r="A3" s="219"/>
      <c r="B3" s="127" t="s">
        <v>4</v>
      </c>
      <c r="C3" s="1477">
        <f>Allgemein!C3</f>
        <v>0</v>
      </c>
      <c r="D3" s="1477"/>
      <c r="E3" s="1477"/>
      <c r="F3" s="1477"/>
      <c r="G3" s="1631"/>
      <c r="H3" s="200"/>
      <c r="I3" s="110"/>
      <c r="J3" s="110" t="s">
        <v>255</v>
      </c>
      <c r="K3" s="110"/>
      <c r="L3" s="110"/>
      <c r="M3" s="110"/>
      <c r="N3" s="110"/>
      <c r="O3" s="206"/>
      <c r="P3" s="110"/>
      <c r="Q3" s="110"/>
      <c r="R3" s="1655"/>
      <c r="S3" s="1623"/>
      <c r="T3" s="1656"/>
      <c r="U3" s="220"/>
      <c r="V3" s="220"/>
      <c r="AA3" s="220"/>
    </row>
    <row r="4" spans="1:27" ht="19.350000000000001" customHeight="1">
      <c r="A4" s="219"/>
      <c r="B4" s="127" t="s">
        <v>5</v>
      </c>
      <c r="C4" s="1477">
        <f>Allgemein!C4</f>
        <v>0</v>
      </c>
      <c r="D4" s="1477"/>
      <c r="E4" s="1477"/>
      <c r="F4" s="1477"/>
      <c r="G4" s="1631"/>
      <c r="H4" s="1668" t="s">
        <v>256</v>
      </c>
      <c r="I4" s="1669"/>
      <c r="J4" s="1632">
        <f>Allgemein!C96</f>
        <v>0</v>
      </c>
      <c r="K4" s="1632"/>
      <c r="L4" s="1632"/>
      <c r="M4" s="1632"/>
      <c r="N4" s="1632"/>
      <c r="O4" s="1632"/>
      <c r="P4" s="1632"/>
      <c r="Q4" s="1660"/>
      <c r="R4" s="1655"/>
      <c r="S4" s="1623"/>
      <c r="T4" s="1656"/>
      <c r="U4" s="220"/>
      <c r="V4" s="220"/>
      <c r="AA4" s="220"/>
    </row>
    <row r="5" spans="1:27" ht="17.850000000000001" customHeight="1">
      <c r="A5" s="219"/>
      <c r="B5" s="127" t="s">
        <v>8</v>
      </c>
      <c r="C5" s="1477">
        <f>Allgemein!C5</f>
        <v>0</v>
      </c>
      <c r="D5" s="1477"/>
      <c r="E5" s="1477"/>
      <c r="F5" s="1477"/>
      <c r="G5" s="1631"/>
      <c r="H5" s="1670" t="s">
        <v>257</v>
      </c>
      <c r="I5" s="1671"/>
      <c r="J5" s="1661">
        <f>Allgemein!G96</f>
        <v>0</v>
      </c>
      <c r="K5" s="1661"/>
      <c r="L5" s="1661"/>
      <c r="M5" s="1661"/>
      <c r="N5" s="1661"/>
      <c r="O5" s="1661"/>
      <c r="P5" s="1661"/>
      <c r="Q5" s="1662"/>
      <c r="R5" s="1655"/>
      <c r="S5" s="1623"/>
      <c r="T5" s="1656"/>
      <c r="U5" s="220"/>
      <c r="V5" s="220"/>
      <c r="AA5" s="19"/>
    </row>
    <row r="6" spans="1:27">
      <c r="A6" s="219"/>
      <c r="B6" s="127" t="s">
        <v>258</v>
      </c>
      <c r="C6" s="1477">
        <f>Allgemein!C6</f>
        <v>0</v>
      </c>
      <c r="D6" s="1477"/>
      <c r="E6" s="1477"/>
      <c r="F6" s="1477"/>
      <c r="G6" s="1631"/>
      <c r="H6" s="1650" t="s">
        <v>259</v>
      </c>
      <c r="I6" s="1633"/>
      <c r="J6" s="1663" t="str">
        <f>Allgemein!C46</f>
        <v>-</v>
      </c>
      <c r="K6" s="1663"/>
      <c r="L6" s="1663"/>
      <c r="M6" s="1663"/>
      <c r="N6" s="1663"/>
      <c r="O6" s="1663"/>
      <c r="P6" s="1663"/>
      <c r="Q6" s="1664"/>
      <c r="R6" s="1655"/>
      <c r="S6" s="1623"/>
      <c r="T6" s="1656"/>
      <c r="U6" s="220"/>
      <c r="V6" s="220"/>
      <c r="AA6" s="19"/>
    </row>
    <row r="7" spans="1:27" ht="16.5" customHeight="1">
      <c r="A7" s="219"/>
      <c r="B7" s="127" t="s">
        <v>12</v>
      </c>
      <c r="C7" s="1477">
        <f>Allgemein!C7</f>
        <v>0</v>
      </c>
      <c r="D7" s="1477"/>
      <c r="E7" s="1477"/>
      <c r="F7" s="1477"/>
      <c r="G7" s="1631"/>
      <c r="H7" s="1651" t="s">
        <v>260</v>
      </c>
      <c r="I7" s="1503"/>
      <c r="J7" s="1634" t="str">
        <f>Allgemein!C62</f>
        <v>-</v>
      </c>
      <c r="K7" s="1634"/>
      <c r="L7" s="1634"/>
      <c r="M7" s="1634"/>
      <c r="N7" s="1634"/>
      <c r="O7" s="1634"/>
      <c r="P7" s="1634"/>
      <c r="Q7" s="1665"/>
      <c r="R7" s="1655"/>
      <c r="S7" s="1623"/>
      <c r="T7" s="1656"/>
      <c r="U7" s="220"/>
      <c r="V7" s="220"/>
      <c r="AA7" s="19"/>
    </row>
    <row r="8" spans="1:27" ht="17.399999999999999" thickBot="1">
      <c r="A8" s="219"/>
      <c r="B8" s="127" t="s">
        <v>14</v>
      </c>
      <c r="C8" s="1477">
        <f>Allgemein!C8</f>
        <v>0</v>
      </c>
      <c r="D8" s="1477"/>
      <c r="E8" s="1477"/>
      <c r="F8" s="1477"/>
      <c r="G8" s="1631"/>
      <c r="H8" s="1651" t="s">
        <v>261</v>
      </c>
      <c r="I8" s="1667"/>
      <c r="J8" s="1635" t="str">
        <f>Allgemein!C78</f>
        <v>-</v>
      </c>
      <c r="K8" s="1635"/>
      <c r="L8" s="1635"/>
      <c r="M8" s="1635"/>
      <c r="N8" s="1635"/>
      <c r="O8" s="1635"/>
      <c r="P8" s="1635"/>
      <c r="Q8" s="1666"/>
      <c r="R8" s="1657"/>
      <c r="S8" s="1658"/>
      <c r="T8" s="1659"/>
      <c r="U8" s="1178"/>
      <c r="V8" s="220"/>
      <c r="AA8" s="19"/>
    </row>
    <row r="9" spans="1:27" ht="34.950000000000003" customHeight="1" thickTop="1">
      <c r="B9" s="324" t="s">
        <v>262</v>
      </c>
      <c r="C9" s="1148"/>
      <c r="D9" s="1148"/>
      <c r="E9" s="1148"/>
      <c r="F9" s="1148"/>
      <c r="G9" s="1148"/>
      <c r="H9" s="1149"/>
      <c r="I9" s="1150"/>
      <c r="J9" s="1151"/>
      <c r="K9" s="1151"/>
      <c r="L9" s="1151"/>
      <c r="M9" s="1151"/>
      <c r="N9" s="1151"/>
      <c r="O9" s="1151"/>
      <c r="P9" s="1151"/>
      <c r="Q9" s="1151"/>
      <c r="R9" s="1151"/>
      <c r="S9" s="444"/>
      <c r="T9" s="1165"/>
      <c r="U9" s="19"/>
      <c r="V9" s="19"/>
      <c r="AA9" s="19"/>
    </row>
    <row r="10" spans="1:27" ht="16.95" customHeight="1">
      <c r="B10" s="424" t="s">
        <v>263</v>
      </c>
      <c r="C10" s="1159"/>
      <c r="D10" s="223"/>
      <c r="E10" s="223"/>
      <c r="F10" s="1159"/>
      <c r="G10" s="223"/>
      <c r="H10" s="1180"/>
      <c r="I10" s="1180"/>
      <c r="J10" s="1187" t="s">
        <v>264</v>
      </c>
      <c r="K10" s="1188"/>
      <c r="L10" s="1181" t="s">
        <v>265</v>
      </c>
      <c r="M10" s="1181"/>
      <c r="N10" s="1181"/>
      <c r="O10" s="1181"/>
      <c r="P10" s="1181"/>
      <c r="Q10" s="1181"/>
      <c r="R10" s="1195"/>
      <c r="S10" s="1195"/>
      <c r="T10" s="1195"/>
      <c r="U10" s="1179"/>
      <c r="V10" s="19"/>
      <c r="AA10" s="19"/>
    </row>
    <row r="11" spans="1:27">
      <c r="B11" s="1152" t="s">
        <v>266</v>
      </c>
      <c r="C11" s="243" t="s">
        <v>267</v>
      </c>
      <c r="D11" s="229" t="s">
        <v>268</v>
      </c>
      <c r="E11" s="229" t="s">
        <v>269</v>
      </c>
      <c r="F11" s="243" t="s">
        <v>270</v>
      </c>
      <c r="G11" s="229" t="s">
        <v>271</v>
      </c>
      <c r="H11" s="1675" t="s">
        <v>272</v>
      </c>
      <c r="I11" s="1675"/>
      <c r="J11" s="1476" t="s">
        <v>273</v>
      </c>
      <c r="K11" s="1477"/>
      <c r="L11" s="757"/>
      <c r="M11" s="1161" t="s">
        <v>106</v>
      </c>
      <c r="N11" s="1161" t="s">
        <v>159</v>
      </c>
      <c r="O11" s="1161" t="s">
        <v>171</v>
      </c>
      <c r="P11" s="1161"/>
      <c r="Q11" s="1186"/>
      <c r="R11" s="1161" t="s">
        <v>106</v>
      </c>
      <c r="S11" s="1161" t="s">
        <v>159</v>
      </c>
      <c r="T11" s="1162" t="s">
        <v>171</v>
      </c>
      <c r="U11" s="19"/>
      <c r="V11" s="19"/>
      <c r="AA11" s="19"/>
    </row>
    <row r="12" spans="1:27" ht="18.600000000000001">
      <c r="B12" s="234" t="s">
        <v>274</v>
      </c>
      <c r="C12" s="364"/>
      <c r="D12" s="18"/>
      <c r="E12" s="364"/>
      <c r="F12" s="18"/>
      <c r="G12" s="364"/>
      <c r="H12" s="1676"/>
      <c r="I12" s="1676"/>
      <c r="J12" s="1672" cm="1">
        <f t="array" ref="J12">SUMPRODUCT(IF(IF($C$25:$C$74&lt;&gt;"",_xlfn.TEXTBEFORE($C$25:$C$74,"_")="Fenster",),$M$25:$M$74,0))</f>
        <v>0</v>
      </c>
      <c r="K12" s="1483"/>
      <c r="L12" s="1182" t="s">
        <v>275</v>
      </c>
      <c r="M12" s="1183" t="str" cm="1">
        <f t="array" ref="M12">_xlfn.XLOOKUP(L12&amp;Allgemein!C46,Tabelle2527[[#Headers],[Fensteraustausch:]]&amp;Tabelle2527[Position Fenster],Tabelle2527[Fensteraustausch:],"",0,1)</f>
        <v>Nein</v>
      </c>
      <c r="N12" s="1183" t="str" cm="1">
        <f t="array" ref="N12">_xlfn.XLOOKUP(L12&amp;Allgemein!C62,Tabelle2527[[#Headers],[Fensteraustausch:]]&amp;Tabelle2527[Position Fenster],Tabelle2527[Fensteraustausch:],"",0,1)</f>
        <v>Nein</v>
      </c>
      <c r="O12" s="1183" t="str" cm="1">
        <f t="array" ref="O12">_xlfn.XLOOKUP(L12&amp;Allgemein!C78,Tabelle2527[[#Headers],[Fensteraustausch:]]&amp;Tabelle2527[Position Fenster],Tabelle2527[Fensteraustausch:],"",0,1)</f>
        <v>Nein</v>
      </c>
      <c r="P12" s="1183"/>
      <c r="Q12" s="756" t="s">
        <v>276</v>
      </c>
      <c r="R12" s="1184" t="str" cm="1">
        <f t="array" ref="R12">_xlfn.XLOOKUP(Q12&amp;Allgemein!C46,Tabelle2527[[#Headers],[Türaustausch:]]&amp;Tabelle2527[Position Fenster],Tabelle2527[Türaustausch:],"",0,1)</f>
        <v>Nein</v>
      </c>
      <c r="S12" s="1168" t="str" cm="1">
        <f t="array" ref="S12">_xlfn.XLOOKUP(Q12&amp;Allgemein!C62,Tabelle2527[[#Headers],[Türaustausch:]]&amp;Tabelle2527[Position Fenster],Tabelle2527[Türaustausch:],"",0,1)</f>
        <v>Nein</v>
      </c>
      <c r="T12" s="999" t="str" cm="1">
        <f t="array" ref="T12">_xlfn.XLOOKUP(Q12&amp;Allgemein!C78,Tabelle2527[[#Headers],[Türaustausch:]]&amp;Tabelle2527[Position Fenster],Tabelle2527[Türaustausch:],"",0,1)</f>
        <v>Nein</v>
      </c>
      <c r="U12" s="19"/>
      <c r="V12" s="19"/>
      <c r="AA12" s="19"/>
    </row>
    <row r="13" spans="1:27">
      <c r="B13" s="234" t="s">
        <v>277</v>
      </c>
      <c r="C13" s="208"/>
      <c r="D13" s="18"/>
      <c r="E13" s="208"/>
      <c r="F13" s="18"/>
      <c r="G13" s="208"/>
      <c r="H13" s="1676"/>
      <c r="I13" s="1677"/>
      <c r="J13" s="123"/>
      <c r="K13" s="299"/>
      <c r="L13" s="648" t="s">
        <v>278</v>
      </c>
      <c r="M13" s="1168">
        <f>SUMIF(R25:R74,"Ja",$O$25:$O$74)</f>
        <v>0</v>
      </c>
      <c r="N13" s="1168">
        <f>SUMIF(S25:S74,"Ja",$O$25:$O$74)</f>
        <v>0</v>
      </c>
      <c r="O13" s="1168">
        <f>SUMIF(T25:T74,"Ja",$O$25:$O$74)</f>
        <v>0</v>
      </c>
      <c r="P13" s="1168"/>
      <c r="Q13" s="648" t="s">
        <v>279</v>
      </c>
      <c r="R13" s="1168" cm="1">
        <f t="array" ref="R13">SUMPRODUCT(IF(IF($C$25:$C$74&lt;&gt;"",IF(R25:R74="Ja",_xlfn.TEXTBEFORE($C$25:$C$74,"_")="Tür",)),$J$25:$J$74,0))</f>
        <v>0</v>
      </c>
      <c r="S13" s="1168" cm="1">
        <f t="array" ref="S13">SUMPRODUCT(IF(IF($C$25:$C$74&lt;&gt;"",IF(S25:S74="Ja",_xlfn.TEXTBEFORE($C$25:$C$74,"_")="Tür",)),$J$25:$J$74,0))</f>
        <v>0</v>
      </c>
      <c r="T13" s="989" cm="1">
        <f t="array" ref="T13">SUMPRODUCT(IF(IF($C$25:$C$74&lt;&gt;"",IF(T25:T74="Ja",_xlfn.TEXTBEFORE($C$25:$C$74,"_")="Tür",)),$J$25:$J$74,0))</f>
        <v>0</v>
      </c>
      <c r="U13" s="19"/>
      <c r="V13" s="19"/>
      <c r="AA13" s="19"/>
    </row>
    <row r="14" spans="1:27">
      <c r="B14" s="234" t="s">
        <v>280</v>
      </c>
      <c r="C14" s="364"/>
      <c r="D14" s="18"/>
      <c r="E14" s="364"/>
      <c r="F14" s="18"/>
      <c r="G14" s="364"/>
      <c r="H14" s="1477"/>
      <c r="I14" s="1483"/>
      <c r="J14" s="1476" t="s">
        <v>281</v>
      </c>
      <c r="K14" s="1477"/>
      <c r="L14" s="757" t="s">
        <v>282</v>
      </c>
      <c r="M14" s="1184">
        <f>IF(M12="Nein",0,SUMIF(R25:R74,"Ja",$J$25:$J$74))</f>
        <v>0</v>
      </c>
      <c r="N14" s="1168">
        <f>IF(N12="Nein",0,SUMIF(S25:S74,"Ja",$J$25:$J$74))</f>
        <v>0</v>
      </c>
      <c r="O14" s="1168">
        <f>IF(O12="Nein",0,SUMIF(T25:T74,"Ja",$J$25:$J$74))</f>
        <v>0</v>
      </c>
      <c r="P14" s="1168"/>
      <c r="Q14" s="648" t="s">
        <v>283</v>
      </c>
      <c r="R14" s="1168"/>
      <c r="S14" s="1168"/>
      <c r="T14" s="989"/>
      <c r="U14" s="19"/>
      <c r="V14" s="19"/>
      <c r="AA14" s="19"/>
    </row>
    <row r="15" spans="1:27">
      <c r="B15" s="234" t="s">
        <v>284</v>
      </c>
      <c r="C15" s="208"/>
      <c r="D15" s="18"/>
      <c r="E15" s="208"/>
      <c r="F15" s="18"/>
      <c r="G15" s="208"/>
      <c r="H15" s="1477"/>
      <c r="I15" s="1483"/>
      <c r="J15" s="1476" cm="1">
        <f t="array" ref="J15">SUMPRODUCT(IF(IF($C$25:$C$74&lt;&gt;"",_xlfn.TEXTBEFORE($C$25:$C$74,"_")="Tür",),$J$25:$J$74,0))</f>
        <v>0</v>
      </c>
      <c r="K15" s="1483"/>
      <c r="L15" s="648" t="s">
        <v>283</v>
      </c>
      <c r="M15" s="1168"/>
      <c r="N15" s="1168"/>
      <c r="O15" s="1168"/>
      <c r="P15" s="1168"/>
      <c r="Q15" s="648" t="s">
        <v>285</v>
      </c>
      <c r="R15" s="1673"/>
      <c r="S15" s="1673"/>
      <c r="T15" s="1678"/>
      <c r="U15" s="19"/>
      <c r="V15" s="19"/>
      <c r="AA15" s="19"/>
    </row>
    <row r="16" spans="1:27">
      <c r="B16" s="234" t="s">
        <v>286</v>
      </c>
      <c r="C16" s="1102"/>
      <c r="D16" s="259"/>
      <c r="E16" s="1102"/>
      <c r="F16" s="259"/>
      <c r="G16" s="1102"/>
      <c r="H16" s="1480"/>
      <c r="I16" s="1484"/>
      <c r="J16" s="127"/>
      <c r="K16" s="299"/>
      <c r="L16" s="648" t="s">
        <v>287</v>
      </c>
      <c r="M16" s="1168" cm="1">
        <f t="array" ref="M16">SUMPRODUCT(IF(IF($C$25:$C$74&lt;&gt;"",IF(R25:R74="Ja",_xlfn.TEXTBEFORE($C$25:$C$74,"_")="Fenster",)),$H$25:$H$74*$J$25:$J$74,0))</f>
        <v>0</v>
      </c>
      <c r="N16" s="1168" cm="1">
        <f t="array" ref="N16">SUMPRODUCT(IF(IF($C$25:$C$74&lt;&gt;"",IF(S25:S74="Ja",_xlfn.TEXTBEFORE($C$25:$C$74,"_")="Fenster",)),$H$25:$H$74*$J$25:$J$74,0))</f>
        <v>0</v>
      </c>
      <c r="O16" s="1168" cm="1">
        <f t="array" ref="O16">SUMPRODUCT(IF(IF($C$25:$C$74&lt;&gt;"",IF(T25:T74="Ja",_xlfn.TEXTBEFORE($C$25:$C$74,"_")="Fenster",)),$H$25:$H$74*$J$25:$J$74,0))</f>
        <v>0</v>
      </c>
      <c r="P16" s="1168"/>
      <c r="Q16" s="134"/>
      <c r="R16" s="1673"/>
      <c r="S16" s="1673"/>
      <c r="T16" s="1678"/>
      <c r="U16" s="19"/>
      <c r="V16" s="19"/>
      <c r="X16" s="317"/>
      <c r="AA16" s="19"/>
    </row>
    <row r="17" spans="1:30">
      <c r="B17" s="1152" t="s">
        <v>288</v>
      </c>
      <c r="C17" s="208"/>
      <c r="D17" s="18"/>
      <c r="E17" s="208"/>
      <c r="F17" s="18"/>
      <c r="G17" s="208"/>
      <c r="H17" s="1477"/>
      <c r="I17" s="1483"/>
      <c r="J17" s="127"/>
      <c r="K17" s="299"/>
      <c r="L17" s="1185" t="s">
        <v>285</v>
      </c>
      <c r="M17" s="1673"/>
      <c r="N17" s="1673"/>
      <c r="O17" s="1673"/>
      <c r="P17" s="1168"/>
      <c r="Q17" s="134"/>
      <c r="R17" s="1673"/>
      <c r="S17" s="1673"/>
      <c r="T17" s="1678"/>
      <c r="U17" s="19"/>
      <c r="V17" s="19"/>
      <c r="AA17" s="19"/>
    </row>
    <row r="18" spans="1:30">
      <c r="B18" s="234" t="s">
        <v>289</v>
      </c>
      <c r="C18" s="208"/>
      <c r="D18" s="18"/>
      <c r="E18" s="208"/>
      <c r="F18" s="18"/>
      <c r="G18" s="208"/>
      <c r="H18" s="1477"/>
      <c r="I18" s="1483"/>
      <c r="J18" s="127"/>
      <c r="K18" s="299"/>
      <c r="L18" s="134"/>
      <c r="M18" s="1673"/>
      <c r="N18" s="1673"/>
      <c r="O18" s="1673"/>
      <c r="P18" s="134"/>
      <c r="Q18" s="134"/>
      <c r="R18" s="1673"/>
      <c r="S18" s="1673"/>
      <c r="T18" s="1678"/>
      <c r="U18" s="19"/>
      <c r="V18" s="19"/>
      <c r="AA18" s="19"/>
    </row>
    <row r="19" spans="1:30">
      <c r="B19" s="234" t="s">
        <v>290</v>
      </c>
      <c r="C19" s="208"/>
      <c r="D19" s="18"/>
      <c r="E19" s="208"/>
      <c r="F19" s="18"/>
      <c r="G19" s="208"/>
      <c r="H19" s="1477"/>
      <c r="I19" s="1483"/>
      <c r="J19" s="127"/>
      <c r="K19" s="299"/>
      <c r="L19" s="134"/>
      <c r="M19" s="1673"/>
      <c r="N19" s="1673"/>
      <c r="O19" s="1673"/>
      <c r="P19" s="134"/>
      <c r="Q19" s="134"/>
      <c r="R19" s="1673"/>
      <c r="S19" s="1673"/>
      <c r="T19" s="1678"/>
      <c r="U19" s="19"/>
      <c r="V19" s="19"/>
      <c r="AA19" s="19"/>
    </row>
    <row r="20" spans="1:30">
      <c r="B20" s="234" t="s">
        <v>291</v>
      </c>
      <c r="C20" s="208"/>
      <c r="D20" s="18"/>
      <c r="E20" s="208"/>
      <c r="F20" s="18"/>
      <c r="G20" s="208"/>
      <c r="H20" s="1477"/>
      <c r="I20" s="1483"/>
      <c r="J20" s="127"/>
      <c r="K20" s="299"/>
      <c r="L20" s="134"/>
      <c r="M20" s="1673"/>
      <c r="N20" s="1673"/>
      <c r="O20" s="1673"/>
      <c r="P20" s="134"/>
      <c r="Q20" s="134"/>
      <c r="R20" s="1673"/>
      <c r="S20" s="1673"/>
      <c r="T20" s="1678"/>
      <c r="U20" s="19"/>
      <c r="V20" s="19"/>
      <c r="AA20" s="19"/>
    </row>
    <row r="21" spans="1:30">
      <c r="B21" s="254" t="s">
        <v>292</v>
      </c>
      <c r="C21" s="208"/>
      <c r="D21" s="259"/>
      <c r="E21" s="1102"/>
      <c r="F21" s="259"/>
      <c r="G21" s="208"/>
      <c r="H21" s="259"/>
      <c r="I21" s="281"/>
      <c r="J21" s="280"/>
      <c r="K21" s="281"/>
      <c r="L21" s="1125"/>
      <c r="M21" s="1674"/>
      <c r="N21" s="1674"/>
      <c r="O21" s="1674"/>
      <c r="P21" s="1125"/>
      <c r="Q21" s="1125"/>
      <c r="R21" s="1674"/>
      <c r="S21" s="1674"/>
      <c r="T21" s="1679"/>
      <c r="U21" s="19"/>
      <c r="V21" s="19"/>
      <c r="AA21" s="19"/>
    </row>
    <row r="22" spans="1:30" ht="27">
      <c r="B22" s="247" t="s">
        <v>293</v>
      </c>
      <c r="C22" s="248"/>
      <c r="G22" s="248"/>
      <c r="H22" s="249"/>
      <c r="I22" s="249"/>
      <c r="J22" s="249"/>
      <c r="K22" s="249"/>
      <c r="L22" s="249"/>
      <c r="M22" s="249"/>
      <c r="N22" s="249"/>
      <c r="O22" s="249"/>
      <c r="P22" s="249"/>
      <c r="Q22" s="249"/>
      <c r="R22" s="1192"/>
      <c r="S22" s="1193"/>
      <c r="T22" s="1196"/>
      <c r="U22" s="298"/>
    </row>
    <row r="23" spans="1:30">
      <c r="A23" s="219"/>
      <c r="B23" s="224"/>
      <c r="C23" s="223"/>
      <c r="D23" s="223"/>
      <c r="E23" s="223"/>
      <c r="F23" s="223"/>
      <c r="G23" s="223"/>
      <c r="H23" s="223"/>
      <c r="I23" s="223"/>
      <c r="J23" s="223"/>
      <c r="K23" s="223"/>
      <c r="L23" s="223"/>
      <c r="M23" s="287"/>
      <c r="N23" s="251" t="s">
        <v>294</v>
      </c>
      <c r="O23" s="225"/>
      <c r="P23" s="225"/>
      <c r="Q23" s="1167"/>
      <c r="R23" s="985" t="s">
        <v>106</v>
      </c>
      <c r="S23" s="985" t="s">
        <v>159</v>
      </c>
      <c r="T23" s="987" t="s">
        <v>171</v>
      </c>
    </row>
    <row r="24" spans="1:30">
      <c r="A24" s="219"/>
      <c r="B24" s="1175" t="s">
        <v>295</v>
      </c>
      <c r="C24" s="229" t="s">
        <v>296</v>
      </c>
      <c r="D24" s="229" t="s">
        <v>297</v>
      </c>
      <c r="E24" s="229" t="s">
        <v>298</v>
      </c>
      <c r="F24" s="229" t="s">
        <v>29</v>
      </c>
      <c r="G24" s="229" t="s">
        <v>299</v>
      </c>
      <c r="H24" s="229" t="s">
        <v>300</v>
      </c>
      <c r="I24" s="229" t="s">
        <v>301</v>
      </c>
      <c r="J24" s="229" t="s">
        <v>30</v>
      </c>
      <c r="K24" s="229" t="s">
        <v>302</v>
      </c>
      <c r="L24" s="229" t="s">
        <v>303</v>
      </c>
      <c r="M24" s="710" t="s">
        <v>304</v>
      </c>
      <c r="N24" s="229" t="s">
        <v>305</v>
      </c>
      <c r="O24" s="229" t="s">
        <v>306</v>
      </c>
      <c r="P24" s="229" t="s">
        <v>307</v>
      </c>
      <c r="Q24" s="710" t="s">
        <v>308</v>
      </c>
      <c r="R24" s="1163" t="s">
        <v>309</v>
      </c>
      <c r="S24" s="1163" t="s">
        <v>310</v>
      </c>
      <c r="T24" s="1166" t="s">
        <v>311</v>
      </c>
    </row>
    <row r="25" spans="1:30">
      <c r="A25" s="219"/>
      <c r="B25" s="18"/>
      <c r="C25" s="208"/>
      <c r="D25" s="18"/>
      <c r="E25" s="18" t="str">
        <f>IF(D25="","",_xlfn.XLOOKUP(D25,Fassade!$F$10:$F$515,Fassade!$G$10:$G$515,"",0,1))</f>
        <v/>
      </c>
      <c r="F25" s="18"/>
      <c r="G25" s="18"/>
      <c r="H25" s="232"/>
      <c r="I25" s="232"/>
      <c r="J25" s="244"/>
      <c r="K25" s="232">
        <f>(2*H25+2*I25)*J25</f>
        <v>0</v>
      </c>
      <c r="L25" s="232">
        <f>H25*I25</f>
        <v>0</v>
      </c>
      <c r="M25" s="187">
        <f t="shared" ref="M25:M26" si="0">PRODUCT(H25*I25*J25)</f>
        <v>0</v>
      </c>
      <c r="N25" s="18"/>
      <c r="O25" s="18">
        <f>IF(B25="",0,IF(AND(N25="Ja",_xlfn.TEXTBEFORE(Tabelle36[[#This Row],[Benennung]],"_")="Fenster"),H25*I25*J25,0))</f>
        <v>0</v>
      </c>
      <c r="P25" s="18"/>
      <c r="Q25" s="187"/>
      <c r="R25" s="1168" t="e">
        <f>IF(AND(_xlfn.TEXTBEFORE(Tabelle36[[#This Row],[Benennung]],"_")="Fenster",$M$12="Nein"),"Nein",IF(AND(_xlfn.TEXTBEFORE(Tabelle36[[#This Row],[Benennung]],"_")="Tür",$R$12="Nein"),"Nein",IF(Tabelle36[[#This Row],[Austausch gewünscht?]]="Ja","Ja",IF(Tabelle36[[#This Row],[Austausch gewünscht?]]="Nein","Nein",""))))</f>
        <v>#N/A</v>
      </c>
      <c r="S25" s="1168" t="e">
        <f>IF(AND(_xlfn.TEXTBEFORE(Tabelle36[[#This Row],[Benennung]],"_")="Fenster",$N$12="Nein"),"Nein",IF(AND(_xlfn.TEXTBEFORE(Tabelle36[[#This Row],[Benennung]],"_")="Tür",$S$12="Nein"),"Nein",IF(Tabelle36[[#This Row],[Austausch gewünscht?]]="Ja","Ja",IF(Tabelle36[[#This Row],[Austausch gewünscht?]]="Nein","Nein",""))))</f>
        <v>#N/A</v>
      </c>
      <c r="T25" s="989" t="e">
        <f>IF(AND(_xlfn.TEXTBEFORE(Tabelle36[[#This Row],[Benennung]],"_")="Fenster",$O$12="Nein"),"Nein",IF(AND(_xlfn.TEXTBEFORE(Tabelle36[[#This Row],[Benennung]],"_")="Tür",$T$12="Nein"),"Nein",IF(Tabelle36[[#This Row],[Austausch gewünscht?]]="Ja","Ja",IF(Tabelle36[[#This Row],[Austausch gewünscht?]]="Nein","Nein",""))))</f>
        <v>#N/A</v>
      </c>
    </row>
    <row r="26" spans="1:30" ht="17.100000000000001" customHeight="1">
      <c r="A26" s="219"/>
      <c r="B26" s="18"/>
      <c r="C26" s="208"/>
      <c r="D26" s="18"/>
      <c r="E26" s="18" t="str">
        <f>IF(D26="","",_xlfn.XLOOKUP(D26,Fassade!$F$10:$F$515,Fassade!$G$10:$G$515,"",0,1))</f>
        <v/>
      </c>
      <c r="F26" s="18"/>
      <c r="G26" s="18"/>
      <c r="H26" s="232"/>
      <c r="I26" s="232"/>
      <c r="J26" s="244"/>
      <c r="K26" s="232">
        <f>(2*H26+2*I26)*J26</f>
        <v>0</v>
      </c>
      <c r="L26" s="232">
        <f>H26*I26</f>
        <v>0</v>
      </c>
      <c r="M26" s="187">
        <f t="shared" si="0"/>
        <v>0</v>
      </c>
      <c r="N26" s="18"/>
      <c r="O26" s="18">
        <f>IF(B26="",0,IF(AND(N26="Ja",_xlfn.TEXTBEFORE(Tabelle36[[#This Row],[Benennung]],"_")="Fenster"),H26*I26*J26,0))</f>
        <v>0</v>
      </c>
      <c r="P26" s="18"/>
      <c r="Q26" s="187"/>
      <c r="R26" s="1168" t="e">
        <f>IF(AND(_xlfn.TEXTBEFORE(Tabelle36[[#This Row],[Benennung]],"_")="Fenster",$M$12="Nein"),"Nein",IF(AND(_xlfn.TEXTBEFORE(Tabelle36[[#This Row],[Benennung]],"_")="Tür",$R$12="Nein"),"Nein",IF(Tabelle36[[#This Row],[Austausch gewünscht?]]="Ja","Ja",IF(Tabelle36[[#This Row],[Austausch gewünscht?]]="Nein","Nein",""))))</f>
        <v>#N/A</v>
      </c>
      <c r="S26" s="1168" t="e">
        <f>IF(AND(_xlfn.TEXTBEFORE(Tabelle36[[#This Row],[Benennung]],"_")="Fenster",$N$12="Nein"),"Nein",IF(AND(_xlfn.TEXTBEFORE(Tabelle36[[#This Row],[Benennung]],"_")="Tür",$S$12="Nein"),"Nein",IF(Tabelle36[[#This Row],[Austausch gewünscht?]]="Ja","Ja",IF(Tabelle36[[#This Row],[Austausch gewünscht?]]="Nein","Nein",""))))</f>
        <v>#N/A</v>
      </c>
      <c r="T26" s="989" t="e">
        <f>IF(AND(_xlfn.TEXTBEFORE(Tabelle36[[#This Row],[Benennung]],"_")="Fenster",$O$12="Nein"),"Nein",IF(AND(_xlfn.TEXTBEFORE(Tabelle36[[#This Row],[Benennung]],"_")="Tür",$T$12="Nein"),"Nein",IF(Tabelle36[[#This Row],[Austausch gewünscht?]]="Ja","Ja",IF(Tabelle36[[#This Row],[Austausch gewünscht?]]="Nein","Nein",""))))</f>
        <v>#N/A</v>
      </c>
    </row>
    <row r="27" spans="1:30" ht="17.100000000000001" customHeight="1">
      <c r="A27" s="219"/>
      <c r="B27" s="364"/>
      <c r="C27" s="208"/>
      <c r="D27" s="18"/>
      <c r="E27" s="18" t="str">
        <f>IF(D27="","",_xlfn.XLOOKUP(D27,Fassade!$F$10:$F$515,Fassade!$G$10:$G$515,"",0,1))</f>
        <v/>
      </c>
      <c r="F27" s="18"/>
      <c r="G27" s="18"/>
      <c r="H27" s="18"/>
      <c r="I27" s="232"/>
      <c r="J27" s="244"/>
      <c r="K27" s="232">
        <f t="shared" ref="K27:K74" si="1">(2*H27+2*I27)*J27</f>
        <v>0</v>
      </c>
      <c r="L27" s="232">
        <f t="shared" ref="L27:L74" si="2">H27*I27</f>
        <v>0</v>
      </c>
      <c r="M27" s="187">
        <f t="shared" ref="M27:M74" si="3">PRODUCT(H27*I27*J27)</f>
        <v>0</v>
      </c>
      <c r="N27" s="18"/>
      <c r="O27" s="18">
        <f>IF(B27="",0,IF(AND(N27="Ja",_xlfn.TEXTBEFORE(Tabelle36[[#This Row],[Benennung]],"_")="Fenster"),H27*I27*J27,0))</f>
        <v>0</v>
      </c>
      <c r="P27" s="18"/>
      <c r="Q27" s="187"/>
      <c r="R27" s="1168" t="e">
        <f>IF(AND(_xlfn.TEXTBEFORE(Tabelle36[[#This Row],[Benennung]],"_")="Fenster",$M$12="Nein"),"Nein",IF(AND(_xlfn.TEXTBEFORE(Tabelle36[[#This Row],[Benennung]],"_")="Tür",$R$12="Nein"),"Nein",IF(Tabelle36[[#This Row],[Austausch gewünscht?]]="Ja","Ja",IF(Tabelle36[[#This Row],[Austausch gewünscht?]]="Nein","Nein",""))))</f>
        <v>#N/A</v>
      </c>
      <c r="S27" s="1168" t="e">
        <f>IF(AND(_xlfn.TEXTBEFORE(Tabelle36[[#This Row],[Benennung]],"_")="Fenster",$N$12="Nein"),"Nein",IF(AND(_xlfn.TEXTBEFORE(Tabelle36[[#This Row],[Benennung]],"_")="Tür",$S$12="Nein"),"Nein",IF(Tabelle36[[#This Row],[Austausch gewünscht?]]="Ja","Ja",IF(Tabelle36[[#This Row],[Austausch gewünscht?]]="Nein","Nein",""))))</f>
        <v>#N/A</v>
      </c>
      <c r="T27" s="989" t="e">
        <f>IF(AND(_xlfn.TEXTBEFORE(Tabelle36[[#This Row],[Benennung]],"_")="Fenster",$O$12="Nein"),"Nein",IF(AND(_xlfn.TEXTBEFORE(Tabelle36[[#This Row],[Benennung]],"_")="Tür",$T$12="Nein"),"Nein",IF(Tabelle36[[#This Row],[Austausch gewünscht?]]="Ja","Ja",IF(Tabelle36[[#This Row],[Austausch gewünscht?]]="Nein","Nein",""))))</f>
        <v>#N/A</v>
      </c>
    </row>
    <row r="28" spans="1:30" ht="17.100000000000001" customHeight="1">
      <c r="A28" s="219"/>
      <c r="B28" s="364"/>
      <c r="C28" s="208"/>
      <c r="D28" s="18"/>
      <c r="E28" s="18" t="str">
        <f>IF(D28="","",_xlfn.XLOOKUP(D28,Fassade!$F$10:$F$515,Fassade!$G$10:$G$515,"",0,1))</f>
        <v/>
      </c>
      <c r="F28" s="232"/>
      <c r="G28" s="1164"/>
      <c r="H28" s="18"/>
      <c r="I28" s="18"/>
      <c r="J28" s="244"/>
      <c r="K28" s="232">
        <f t="shared" si="1"/>
        <v>0</v>
      </c>
      <c r="L28" s="232">
        <f t="shared" si="2"/>
        <v>0</v>
      </c>
      <c r="M28" s="187">
        <f t="shared" si="3"/>
        <v>0</v>
      </c>
      <c r="N28" s="18"/>
      <c r="O28" s="18">
        <f>IF(B28="",0,IF(AND(N28="Ja",_xlfn.TEXTBEFORE(Tabelle36[[#This Row],[Benennung]],"_")="Fenster"),H28*I28*J28,0))</f>
        <v>0</v>
      </c>
      <c r="P28" s="364"/>
      <c r="Q28" s="187"/>
      <c r="R28" s="1168" t="e">
        <f>IF(AND(_xlfn.TEXTBEFORE(Tabelle36[[#This Row],[Benennung]],"_")="Fenster",$M$12="Nein"),"Nein",IF(AND(_xlfn.TEXTBEFORE(Tabelle36[[#This Row],[Benennung]],"_")="Tür",$R$12="Nein"),"Nein",IF(Tabelle36[[#This Row],[Austausch gewünscht?]]="Ja","Ja",IF(Tabelle36[[#This Row],[Austausch gewünscht?]]="Nein","Nein",""))))</f>
        <v>#N/A</v>
      </c>
      <c r="S28" s="1168" t="e">
        <f>IF(AND(_xlfn.TEXTBEFORE(Tabelle36[[#This Row],[Benennung]],"_")="Fenster",$N$12="Nein"),"Nein",IF(AND(_xlfn.TEXTBEFORE(Tabelle36[[#This Row],[Benennung]],"_")="Tür",$S$12="Nein"),"Nein",IF(Tabelle36[[#This Row],[Austausch gewünscht?]]="Ja","Ja",IF(Tabelle36[[#This Row],[Austausch gewünscht?]]="Nein","Nein",""))))</f>
        <v>#N/A</v>
      </c>
      <c r="T28" s="989" t="e">
        <f>IF(AND(_xlfn.TEXTBEFORE(Tabelle36[[#This Row],[Benennung]],"_")="Fenster",$O$12="Nein"),"Nein",IF(AND(_xlfn.TEXTBEFORE(Tabelle36[[#This Row],[Benennung]],"_")="Tür",$T$12="Nein"),"Nein",IF(Tabelle36[[#This Row],[Austausch gewünscht?]]="Ja","Ja",IF(Tabelle36[[#This Row],[Austausch gewünscht?]]="Nein","Nein",""))))</f>
        <v>#N/A</v>
      </c>
      <c r="AA28" s="1277"/>
      <c r="AB28" s="1278"/>
      <c r="AC28" s="1278"/>
      <c r="AD28" s="1278"/>
    </row>
    <row r="29" spans="1:30" ht="17.100000000000001" customHeight="1">
      <c r="A29" s="219"/>
      <c r="B29" s="364"/>
      <c r="C29" s="208"/>
      <c r="D29" s="18"/>
      <c r="E29" s="18" t="str">
        <f>IF(D29="","",_xlfn.XLOOKUP(D29,Fassade!$F$10:$F$515,Fassade!$G$10:$G$515,"",0,1))</f>
        <v/>
      </c>
      <c r="F29" s="232"/>
      <c r="G29" s="18"/>
      <c r="H29" s="18"/>
      <c r="I29" s="18"/>
      <c r="J29" s="244"/>
      <c r="K29" s="232">
        <f t="shared" si="1"/>
        <v>0</v>
      </c>
      <c r="L29" s="232">
        <f t="shared" si="2"/>
        <v>0</v>
      </c>
      <c r="M29" s="187">
        <f t="shared" si="3"/>
        <v>0</v>
      </c>
      <c r="N29" s="18"/>
      <c r="O29" s="18">
        <f>IF(B29="",0,IF(AND(N29="Ja",_xlfn.TEXTBEFORE(Tabelle36[[#This Row],[Benennung]],"_")="Fenster"),H29*I29*J29,0))</f>
        <v>0</v>
      </c>
      <c r="P29" s="364"/>
      <c r="Q29" s="187"/>
      <c r="R29" s="1168" t="e">
        <f>IF(AND(_xlfn.TEXTBEFORE(Tabelle36[[#This Row],[Benennung]],"_")="Fenster",$M$12="Nein"),"Nein",IF(AND(_xlfn.TEXTBEFORE(Tabelle36[[#This Row],[Benennung]],"_")="Tür",$R$12="Nein"),"Nein",IF(Tabelle36[[#This Row],[Austausch gewünscht?]]="Ja","Ja",IF(Tabelle36[[#This Row],[Austausch gewünscht?]]="Nein","Nein",""))))</f>
        <v>#N/A</v>
      </c>
      <c r="S29" s="1168" t="e">
        <f>IF(AND(_xlfn.TEXTBEFORE(Tabelle36[[#This Row],[Benennung]],"_")="Fenster",$N$12="Nein"),"Nein",IF(AND(_xlfn.TEXTBEFORE(Tabelle36[[#This Row],[Benennung]],"_")="Tür",$S$12="Nein"),"Nein",IF(Tabelle36[[#This Row],[Austausch gewünscht?]]="Ja","Ja",IF(Tabelle36[[#This Row],[Austausch gewünscht?]]="Nein","Nein",""))))</f>
        <v>#N/A</v>
      </c>
      <c r="T29" s="989" t="e">
        <f>IF(AND(_xlfn.TEXTBEFORE(Tabelle36[[#This Row],[Benennung]],"_")="Fenster",$O$12="Nein"),"Nein",IF(AND(_xlfn.TEXTBEFORE(Tabelle36[[#This Row],[Benennung]],"_")="Tür",$T$12="Nein"),"Nein",IF(Tabelle36[[#This Row],[Austausch gewünscht?]]="Ja","Ja",IF(Tabelle36[[#This Row],[Austausch gewünscht?]]="Nein","Nein",""))))</f>
        <v>#N/A</v>
      </c>
      <c r="AA29" s="1277"/>
      <c r="AB29" s="1278"/>
      <c r="AC29" s="1278"/>
      <c r="AD29" s="1278"/>
    </row>
    <row r="30" spans="1:30" ht="15.75" customHeight="1">
      <c r="A30" s="219"/>
      <c r="B30" s="364"/>
      <c r="C30" s="208"/>
      <c r="D30" s="18"/>
      <c r="E30" s="18" t="str">
        <f>IF(D30="","",_xlfn.XLOOKUP(D30,Fassade!$F$10:$F$515,Fassade!$G$10:$G$515,"",0,1))</f>
        <v/>
      </c>
      <c r="F30" s="232"/>
      <c r="G30" s="18"/>
      <c r="H30" s="18"/>
      <c r="I30" s="18"/>
      <c r="J30" s="244"/>
      <c r="K30" s="232">
        <f t="shared" si="1"/>
        <v>0</v>
      </c>
      <c r="L30" s="232">
        <f t="shared" si="2"/>
        <v>0</v>
      </c>
      <c r="M30" s="187">
        <f t="shared" si="3"/>
        <v>0</v>
      </c>
      <c r="N30" s="18"/>
      <c r="O30" s="18">
        <f>IF(B30="",0,IF(AND(N30="Ja",_xlfn.TEXTBEFORE(Tabelle36[[#This Row],[Benennung]],"_")="Fenster"),H30*I30*J30,0))</f>
        <v>0</v>
      </c>
      <c r="P30" s="364"/>
      <c r="Q30" s="187"/>
      <c r="R30" s="1168" t="e">
        <f>IF(AND(_xlfn.TEXTBEFORE(Tabelle36[[#This Row],[Benennung]],"_")="Fenster",$M$12="Nein"),"Nein",IF(AND(_xlfn.TEXTBEFORE(Tabelle36[[#This Row],[Benennung]],"_")="Tür",$R$12="Nein"),"Nein",IF(Tabelle36[[#This Row],[Austausch gewünscht?]]="Ja","Ja",IF(Tabelle36[[#This Row],[Austausch gewünscht?]]="Nein","Nein",""))))</f>
        <v>#N/A</v>
      </c>
      <c r="S30" s="1168" t="e">
        <f>IF(AND(_xlfn.TEXTBEFORE(Tabelle36[[#This Row],[Benennung]],"_")="Fenster",$N$12="Nein"),"Nein",IF(AND(_xlfn.TEXTBEFORE(Tabelle36[[#This Row],[Benennung]],"_")="Tür",$S$12="Nein"),"Nein",IF(Tabelle36[[#This Row],[Austausch gewünscht?]]="Ja","Ja",IF(Tabelle36[[#This Row],[Austausch gewünscht?]]="Nein","Nein",""))))</f>
        <v>#N/A</v>
      </c>
      <c r="T30" s="989" t="e">
        <f>IF(AND(_xlfn.TEXTBEFORE(Tabelle36[[#This Row],[Benennung]],"_")="Fenster",$O$12="Nein"),"Nein",IF(AND(_xlfn.TEXTBEFORE(Tabelle36[[#This Row],[Benennung]],"_")="Tür",$T$12="Nein"),"Nein",IF(Tabelle36[[#This Row],[Austausch gewünscht?]]="Ja","Ja",IF(Tabelle36[[#This Row],[Austausch gewünscht?]]="Nein","Nein",""))))</f>
        <v>#N/A</v>
      </c>
      <c r="V30" s="1277"/>
      <c r="W30" s="1279"/>
      <c r="X30" s="1279"/>
      <c r="Y30" s="1279"/>
      <c r="AA30" s="1277"/>
      <c r="AB30" s="1278"/>
      <c r="AC30" s="1278"/>
      <c r="AD30" s="1278"/>
    </row>
    <row r="31" spans="1:30" ht="17.100000000000001" customHeight="1">
      <c r="A31" s="219"/>
      <c r="B31" s="364"/>
      <c r="C31" s="208"/>
      <c r="D31" s="18"/>
      <c r="E31" s="18" t="str">
        <f>IF(D31="","",_xlfn.XLOOKUP(D31,Fassade!$F$10:$F$515,Fassade!$G$10:$G$515,"",0,1))</f>
        <v/>
      </c>
      <c r="F31" s="232"/>
      <c r="G31" s="1164"/>
      <c r="H31" s="18"/>
      <c r="I31" s="18"/>
      <c r="J31" s="244"/>
      <c r="K31" s="232">
        <f t="shared" si="1"/>
        <v>0</v>
      </c>
      <c r="L31" s="232">
        <f t="shared" si="2"/>
        <v>0</v>
      </c>
      <c r="M31" s="187">
        <f t="shared" si="3"/>
        <v>0</v>
      </c>
      <c r="N31" s="18"/>
      <c r="O31" s="18">
        <f>IF(B31="",0,IF(AND(N31="Ja",_xlfn.TEXTBEFORE(Tabelle36[[#This Row],[Benennung]],"_")="Fenster"),H31*I31*J31,0))</f>
        <v>0</v>
      </c>
      <c r="P31" s="364"/>
      <c r="Q31" s="187"/>
      <c r="R31" s="1168" t="e">
        <f>IF(AND(_xlfn.TEXTBEFORE(Tabelle36[[#This Row],[Benennung]],"_")="Fenster",$M$12="Nein"),"Nein",IF(AND(_xlfn.TEXTBEFORE(Tabelle36[[#This Row],[Benennung]],"_")="Tür",$R$12="Nein"),"Nein",IF(Tabelle36[[#This Row],[Austausch gewünscht?]]="Ja","Ja",IF(Tabelle36[[#This Row],[Austausch gewünscht?]]="Nein","Nein",""))))</f>
        <v>#N/A</v>
      </c>
      <c r="S31" s="1168" t="e">
        <f>IF(AND(_xlfn.TEXTBEFORE(Tabelle36[[#This Row],[Benennung]],"_")="Fenster",$N$12="Nein"),"Nein",IF(AND(_xlfn.TEXTBEFORE(Tabelle36[[#This Row],[Benennung]],"_")="Tür",$S$12="Nein"),"Nein",IF(Tabelle36[[#This Row],[Austausch gewünscht?]]="Ja","Ja",IF(Tabelle36[[#This Row],[Austausch gewünscht?]]="Nein","Nein",""))))</f>
        <v>#N/A</v>
      </c>
      <c r="T31" s="989" t="e">
        <f>IF(AND(_xlfn.TEXTBEFORE(Tabelle36[[#This Row],[Benennung]],"_")="Fenster",$O$12="Nein"),"Nein",IF(AND(_xlfn.TEXTBEFORE(Tabelle36[[#This Row],[Benennung]],"_")="Tür",$T$12="Nein"),"Nein",IF(Tabelle36[[#This Row],[Austausch gewünscht?]]="Ja","Ja",IF(Tabelle36[[#This Row],[Austausch gewünscht?]]="Nein","Nein",""))))</f>
        <v>#N/A</v>
      </c>
      <c r="W31" s="1279"/>
      <c r="X31" s="1279"/>
      <c r="Y31" s="1279"/>
      <c r="AA31" s="1277"/>
      <c r="AB31" s="1278"/>
      <c r="AC31" s="1278"/>
      <c r="AD31" s="1278"/>
    </row>
    <row r="32" spans="1:30" ht="17.100000000000001" customHeight="1">
      <c r="A32" s="219"/>
      <c r="B32" s="364"/>
      <c r="C32" s="208"/>
      <c r="D32" s="18"/>
      <c r="E32" s="18" t="str">
        <f>IF(D32="","",_xlfn.XLOOKUP(D32,Fassade!$F$10:$F$515,Fassade!$G$10:$G$515,"",0,1))</f>
        <v/>
      </c>
      <c r="F32" s="232"/>
      <c r="G32" s="18"/>
      <c r="H32" s="18"/>
      <c r="I32" s="18"/>
      <c r="J32" s="244"/>
      <c r="K32" s="232">
        <f t="shared" si="1"/>
        <v>0</v>
      </c>
      <c r="L32" s="232">
        <f t="shared" si="2"/>
        <v>0</v>
      </c>
      <c r="M32" s="187">
        <f t="shared" si="3"/>
        <v>0</v>
      </c>
      <c r="N32" s="18"/>
      <c r="O32" s="18">
        <f>IF(B32="",0,IF(AND(N32="Ja",_xlfn.TEXTBEFORE(Tabelle36[[#This Row],[Benennung]],"_")="Fenster"),H32*I32*J32,0))</f>
        <v>0</v>
      </c>
      <c r="P32" s="364"/>
      <c r="Q32" s="187"/>
      <c r="R32" s="1168" t="e">
        <f>IF(AND(_xlfn.TEXTBEFORE(Tabelle36[[#This Row],[Benennung]],"_")="Fenster",$M$12="Nein"),"Nein",IF(AND(_xlfn.TEXTBEFORE(Tabelle36[[#This Row],[Benennung]],"_")="Tür",$R$12="Nein"),"Nein",IF(Tabelle36[[#This Row],[Austausch gewünscht?]]="Ja","Ja",IF(Tabelle36[[#This Row],[Austausch gewünscht?]]="Nein","Nein",""))))</f>
        <v>#N/A</v>
      </c>
      <c r="S32" s="1168" t="e">
        <f>IF(AND(_xlfn.TEXTBEFORE(Tabelle36[[#This Row],[Benennung]],"_")="Fenster",$N$12="Nein"),"Nein",IF(AND(_xlfn.TEXTBEFORE(Tabelle36[[#This Row],[Benennung]],"_")="Tür",$S$12="Nein"),"Nein",IF(Tabelle36[[#This Row],[Austausch gewünscht?]]="Ja","Ja",IF(Tabelle36[[#This Row],[Austausch gewünscht?]]="Nein","Nein",""))))</f>
        <v>#N/A</v>
      </c>
      <c r="T32" s="989" t="e">
        <f>IF(AND(_xlfn.TEXTBEFORE(Tabelle36[[#This Row],[Benennung]],"_")="Fenster",$O$12="Nein"),"Nein",IF(AND(_xlfn.TEXTBEFORE(Tabelle36[[#This Row],[Benennung]],"_")="Tür",$T$12="Nein"),"Nein",IF(Tabelle36[[#This Row],[Austausch gewünscht?]]="Ja","Ja",IF(Tabelle36[[#This Row],[Austausch gewünscht?]]="Nein","Nein",""))))</f>
        <v>#N/A</v>
      </c>
      <c r="V32" s="1277"/>
      <c r="W32" s="1279"/>
      <c r="X32" s="1279"/>
      <c r="Y32" s="1279"/>
      <c r="AA32" s="1277"/>
      <c r="AB32" s="1278"/>
      <c r="AC32" s="1278"/>
      <c r="AD32" s="1278"/>
    </row>
    <row r="33" spans="1:30" ht="17.100000000000001" customHeight="1">
      <c r="A33" s="219"/>
      <c r="B33" s="364"/>
      <c r="C33" s="364"/>
      <c r="D33" s="18"/>
      <c r="E33" s="18" t="str">
        <f>IF(D33="","",_xlfn.XLOOKUP(D33,Fassade!$F$10:$F$515,Fassade!$G$10:$G$515,"",0,1))</f>
        <v/>
      </c>
      <c r="F33" s="232"/>
      <c r="G33" s="18"/>
      <c r="H33" s="18"/>
      <c r="I33" s="18"/>
      <c r="J33" s="244"/>
      <c r="K33" s="232">
        <f t="shared" si="1"/>
        <v>0</v>
      </c>
      <c r="L33" s="232">
        <f t="shared" si="2"/>
        <v>0</v>
      </c>
      <c r="M33" s="187">
        <f t="shared" si="3"/>
        <v>0</v>
      </c>
      <c r="N33" s="18"/>
      <c r="O33" s="18">
        <f>IF(B33="",0,IF(AND(N33="Ja",_xlfn.TEXTBEFORE(Tabelle36[[#This Row],[Benennung]],"_")="Fenster"),H33*I33*J33,0))</f>
        <v>0</v>
      </c>
      <c r="P33" s="364"/>
      <c r="Q33" s="187"/>
      <c r="R33" s="1168" t="e">
        <f>IF(AND(_xlfn.TEXTBEFORE(Tabelle36[[#This Row],[Benennung]],"_")="Fenster",$M$12="Nein"),"Nein",IF(AND(_xlfn.TEXTBEFORE(Tabelle36[[#This Row],[Benennung]],"_")="Tür",$R$12="Nein"),"Nein",IF(Tabelle36[[#This Row],[Austausch gewünscht?]]="Ja","Ja",IF(Tabelle36[[#This Row],[Austausch gewünscht?]]="Nein","Nein",""))))</f>
        <v>#N/A</v>
      </c>
      <c r="S33" s="1168" t="e">
        <f>IF(AND(_xlfn.TEXTBEFORE(Tabelle36[[#This Row],[Benennung]],"_")="Fenster",$N$12="Nein"),"Nein",IF(AND(_xlfn.TEXTBEFORE(Tabelle36[[#This Row],[Benennung]],"_")="Tür",$S$12="Nein"),"Nein",IF(Tabelle36[[#This Row],[Austausch gewünscht?]]="Ja","Ja",IF(Tabelle36[[#This Row],[Austausch gewünscht?]]="Nein","Nein",""))))</f>
        <v>#N/A</v>
      </c>
      <c r="T33" s="989" t="e">
        <f>IF(AND(_xlfn.TEXTBEFORE(Tabelle36[[#This Row],[Benennung]],"_")="Fenster",$O$12="Nein"),"Nein",IF(AND(_xlfn.TEXTBEFORE(Tabelle36[[#This Row],[Benennung]],"_")="Tür",$T$12="Nein"),"Nein",IF(Tabelle36[[#This Row],[Austausch gewünscht?]]="Ja","Ja",IF(Tabelle36[[#This Row],[Austausch gewünscht?]]="Nein","Nein",""))))</f>
        <v>#N/A</v>
      </c>
      <c r="V33" s="1277"/>
      <c r="W33" s="1279"/>
      <c r="X33" s="1279"/>
      <c r="Y33" s="1279"/>
      <c r="AA33" s="1277"/>
      <c r="AB33" s="1278"/>
      <c r="AC33" s="1278"/>
      <c r="AD33" s="1278"/>
    </row>
    <row r="34" spans="1:30" ht="17.100000000000001" customHeight="1">
      <c r="A34" s="219"/>
      <c r="B34" s="364"/>
      <c r="C34" s="208"/>
      <c r="D34" s="18"/>
      <c r="E34" s="18" t="str">
        <f>IF(D34="","",_xlfn.XLOOKUP(D34,Fassade!$F$10:$F$515,Fassade!$G$10:$G$515,"",0,1))</f>
        <v/>
      </c>
      <c r="F34" s="232"/>
      <c r="G34" s="18"/>
      <c r="H34" s="232"/>
      <c r="I34" s="232"/>
      <c r="J34" s="244"/>
      <c r="K34" s="232">
        <f t="shared" si="1"/>
        <v>0</v>
      </c>
      <c r="L34" s="232">
        <f t="shared" si="2"/>
        <v>0</v>
      </c>
      <c r="M34" s="187">
        <f t="shared" si="3"/>
        <v>0</v>
      </c>
      <c r="N34" s="18"/>
      <c r="O34" s="18">
        <f>IF(B34="",0,IF(AND(N34="Ja",_xlfn.TEXTBEFORE(Tabelle36[[#This Row],[Benennung]],"_")="Fenster"),H34*I34*J34,0))</f>
        <v>0</v>
      </c>
      <c r="P34" s="364"/>
      <c r="Q34" s="187"/>
      <c r="R34" s="1168" t="e">
        <f>IF(AND(_xlfn.TEXTBEFORE(Tabelle36[[#This Row],[Benennung]],"_")="Fenster",$M$12="Nein"),"Nein",IF(AND(_xlfn.TEXTBEFORE(Tabelle36[[#This Row],[Benennung]],"_")="Tür",$R$12="Nein"),"Nein",IF(Tabelle36[[#This Row],[Austausch gewünscht?]]="Ja","Ja",IF(Tabelle36[[#This Row],[Austausch gewünscht?]]="Nein","Nein",""))))</f>
        <v>#N/A</v>
      </c>
      <c r="S34" s="1168" t="e">
        <f>IF(AND(_xlfn.TEXTBEFORE(Tabelle36[[#This Row],[Benennung]],"_")="Fenster",$N$12="Nein"),"Nein",IF(AND(_xlfn.TEXTBEFORE(Tabelle36[[#This Row],[Benennung]],"_")="Tür",$S$12="Nein"),"Nein",IF(Tabelle36[[#This Row],[Austausch gewünscht?]]="Ja","Ja",IF(Tabelle36[[#This Row],[Austausch gewünscht?]]="Nein","Nein",""))))</f>
        <v>#N/A</v>
      </c>
      <c r="T34" s="989" t="e">
        <f>IF(AND(_xlfn.TEXTBEFORE(Tabelle36[[#This Row],[Benennung]],"_")="Fenster",$O$12="Nein"),"Nein",IF(AND(_xlfn.TEXTBEFORE(Tabelle36[[#This Row],[Benennung]],"_")="Tür",$T$12="Nein"),"Nein",IF(Tabelle36[[#This Row],[Austausch gewünscht?]]="Ja","Ja",IF(Tabelle36[[#This Row],[Austausch gewünscht?]]="Nein","Nein",""))))</f>
        <v>#N/A</v>
      </c>
      <c r="V34" s="1277"/>
      <c r="W34" s="1279"/>
      <c r="X34" s="1279"/>
      <c r="Y34" s="1279"/>
      <c r="AA34" s="1277"/>
      <c r="AB34" s="1278"/>
      <c r="AC34" s="1278"/>
      <c r="AD34" s="1278"/>
    </row>
    <row r="35" spans="1:30" ht="17.100000000000001" customHeight="1">
      <c r="A35" s="219"/>
      <c r="B35" s="364"/>
      <c r="C35" s="208"/>
      <c r="D35" s="18"/>
      <c r="E35" s="18" t="str">
        <f>IF(D35="","",_xlfn.XLOOKUP(D35,Fassade!$F$10:$F$515,Fassade!$G$10:$G$515,"",0,1))</f>
        <v/>
      </c>
      <c r="F35" s="232"/>
      <c r="G35" s="18"/>
      <c r="H35" s="18"/>
      <c r="I35" s="18"/>
      <c r="J35" s="244"/>
      <c r="K35" s="232">
        <f t="shared" si="1"/>
        <v>0</v>
      </c>
      <c r="L35" s="232">
        <f t="shared" si="2"/>
        <v>0</v>
      </c>
      <c r="M35" s="187">
        <f t="shared" si="3"/>
        <v>0</v>
      </c>
      <c r="N35" s="18"/>
      <c r="O35" s="18">
        <f>IF(B35="",0,IF(AND(N35="Ja",_xlfn.TEXTBEFORE(Tabelle36[[#This Row],[Benennung]],"_")="Fenster"),H35*I35*J35,0))</f>
        <v>0</v>
      </c>
      <c r="P35" s="364"/>
      <c r="Q35" s="187"/>
      <c r="R35" s="1168" t="e">
        <f>IF(AND(_xlfn.TEXTBEFORE(Tabelle36[[#This Row],[Benennung]],"_")="Fenster",$M$12="Nein"),"Nein",IF(AND(_xlfn.TEXTBEFORE(Tabelle36[[#This Row],[Benennung]],"_")="Tür",$R$12="Nein"),"Nein",IF(Tabelle36[[#This Row],[Austausch gewünscht?]]="Ja","Ja",IF(Tabelle36[[#This Row],[Austausch gewünscht?]]="Nein","Nein",""))))</f>
        <v>#N/A</v>
      </c>
      <c r="S35" s="1168" t="e">
        <f>IF(AND(_xlfn.TEXTBEFORE(Tabelle36[[#This Row],[Benennung]],"_")="Fenster",$N$12="Nein"),"Nein",IF(AND(_xlfn.TEXTBEFORE(Tabelle36[[#This Row],[Benennung]],"_")="Tür",$S$12="Nein"),"Nein",IF(Tabelle36[[#This Row],[Austausch gewünscht?]]="Ja","Ja",IF(Tabelle36[[#This Row],[Austausch gewünscht?]]="Nein","Nein",""))))</f>
        <v>#N/A</v>
      </c>
      <c r="T35" s="989" t="e">
        <f>IF(AND(_xlfn.TEXTBEFORE(Tabelle36[[#This Row],[Benennung]],"_")="Fenster",$O$12="Nein"),"Nein",IF(AND(_xlfn.TEXTBEFORE(Tabelle36[[#This Row],[Benennung]],"_")="Tür",$T$12="Nein"),"Nein",IF(Tabelle36[[#This Row],[Austausch gewünscht?]]="Ja","Ja",IF(Tabelle36[[#This Row],[Austausch gewünscht?]]="Nein","Nein",""))))</f>
        <v>#N/A</v>
      </c>
      <c r="V35" s="1277"/>
      <c r="W35" s="1279"/>
      <c r="X35" s="1279"/>
      <c r="Y35" s="1279"/>
    </row>
    <row r="36" spans="1:30" ht="17.100000000000001" customHeight="1">
      <c r="A36" s="219"/>
      <c r="B36" s="364"/>
      <c r="C36" s="208"/>
      <c r="D36" s="18"/>
      <c r="E36" s="18" t="str">
        <f>IF(D36="","",_xlfn.XLOOKUP(D36,Fassade!$F$10:$F$515,Fassade!$G$10:$G$515,"",0,1))</f>
        <v/>
      </c>
      <c r="F36" s="232"/>
      <c r="G36" s="18"/>
      <c r="H36" s="18"/>
      <c r="I36" s="18"/>
      <c r="J36" s="244"/>
      <c r="K36" s="232">
        <f t="shared" si="1"/>
        <v>0</v>
      </c>
      <c r="L36" s="232">
        <f t="shared" si="2"/>
        <v>0</v>
      </c>
      <c r="M36" s="187">
        <f t="shared" si="3"/>
        <v>0</v>
      </c>
      <c r="N36" s="18"/>
      <c r="O36" s="18">
        <f>IF(B36="",0,IF(AND(N36="Ja",_xlfn.TEXTBEFORE(Tabelle36[[#This Row],[Benennung]],"_")="Fenster"),H36*I36*J36,0))</f>
        <v>0</v>
      </c>
      <c r="P36" s="364"/>
      <c r="Q36" s="187"/>
      <c r="R36" s="1168" t="e">
        <f>IF(AND(_xlfn.TEXTBEFORE(Tabelle36[[#This Row],[Benennung]],"_")="Fenster",$M$12="Nein"),"Nein",IF(AND(_xlfn.TEXTBEFORE(Tabelle36[[#This Row],[Benennung]],"_")="Tür",$R$12="Nein"),"Nein",IF(Tabelle36[[#This Row],[Austausch gewünscht?]]="Ja","Ja",IF(Tabelle36[[#This Row],[Austausch gewünscht?]]="Nein","Nein",""))))</f>
        <v>#N/A</v>
      </c>
      <c r="S36" s="1168" t="e">
        <f>IF(AND(_xlfn.TEXTBEFORE(Tabelle36[[#This Row],[Benennung]],"_")="Fenster",$N$12="Nein"),"Nein",IF(AND(_xlfn.TEXTBEFORE(Tabelle36[[#This Row],[Benennung]],"_")="Tür",$S$12="Nein"),"Nein",IF(Tabelle36[[#This Row],[Austausch gewünscht?]]="Ja","Ja",IF(Tabelle36[[#This Row],[Austausch gewünscht?]]="Nein","Nein",""))))</f>
        <v>#N/A</v>
      </c>
      <c r="T36" s="989" t="e">
        <f>IF(AND(_xlfn.TEXTBEFORE(Tabelle36[[#This Row],[Benennung]],"_")="Fenster",$O$12="Nein"),"Nein",IF(AND(_xlfn.TEXTBEFORE(Tabelle36[[#This Row],[Benennung]],"_")="Tür",$T$12="Nein"),"Nein",IF(Tabelle36[[#This Row],[Austausch gewünscht?]]="Ja","Ja",IF(Tabelle36[[#This Row],[Austausch gewünscht?]]="Nein","Nein",""))))</f>
        <v>#N/A</v>
      </c>
      <c r="V36" s="1277"/>
      <c r="W36" s="1279"/>
      <c r="X36" s="1279"/>
      <c r="Y36" s="1279"/>
    </row>
    <row r="37" spans="1:30" ht="17.100000000000001" customHeight="1">
      <c r="A37" s="219"/>
      <c r="B37" s="364"/>
      <c r="C37" s="364"/>
      <c r="D37" s="18"/>
      <c r="E37" s="18" t="str">
        <f>IF(D37="","",_xlfn.XLOOKUP(D37,Fassade!$F$10:$F$515,Fassade!$G$10:$G$515,"",0,1))</f>
        <v/>
      </c>
      <c r="F37" s="232"/>
      <c r="G37" s="18"/>
      <c r="H37" s="18"/>
      <c r="I37" s="18"/>
      <c r="J37" s="244"/>
      <c r="K37" s="232">
        <f t="shared" si="1"/>
        <v>0</v>
      </c>
      <c r="L37" s="232">
        <f t="shared" si="2"/>
        <v>0</v>
      </c>
      <c r="M37" s="187">
        <f t="shared" si="3"/>
        <v>0</v>
      </c>
      <c r="N37" s="18"/>
      <c r="O37" s="18">
        <f>IF(B37="",0,IF(AND(N37="Ja",_xlfn.TEXTBEFORE(Tabelle36[[#This Row],[Benennung]],"_")="Fenster"),H37*I37*J37,0))</f>
        <v>0</v>
      </c>
      <c r="P37" s="364"/>
      <c r="Q37" s="187"/>
      <c r="R37" s="1168" t="e">
        <f>IF(AND(_xlfn.TEXTBEFORE(Tabelle36[[#This Row],[Benennung]],"_")="Fenster",$M$12="Nein"),"Nein",IF(AND(_xlfn.TEXTBEFORE(Tabelle36[[#This Row],[Benennung]],"_")="Tür",$R$12="Nein"),"Nein",IF(Tabelle36[[#This Row],[Austausch gewünscht?]]="Ja","Ja",IF(Tabelle36[[#This Row],[Austausch gewünscht?]]="Nein","Nein",""))))</f>
        <v>#N/A</v>
      </c>
      <c r="S37" s="1168" t="e">
        <f>IF(AND(_xlfn.TEXTBEFORE(Tabelle36[[#This Row],[Benennung]],"_")="Fenster",$N$12="Nein"),"Nein",IF(AND(_xlfn.TEXTBEFORE(Tabelle36[[#This Row],[Benennung]],"_")="Tür",$S$12="Nein"),"Nein",IF(Tabelle36[[#This Row],[Austausch gewünscht?]]="Ja","Ja",IF(Tabelle36[[#This Row],[Austausch gewünscht?]]="Nein","Nein",""))))</f>
        <v>#N/A</v>
      </c>
      <c r="T37" s="989" t="e">
        <f>IF(AND(_xlfn.TEXTBEFORE(Tabelle36[[#This Row],[Benennung]],"_")="Fenster",$O$12="Nein"),"Nein",IF(AND(_xlfn.TEXTBEFORE(Tabelle36[[#This Row],[Benennung]],"_")="Tür",$T$12="Nein"),"Nein",IF(Tabelle36[[#This Row],[Austausch gewünscht?]]="Ja","Ja",IF(Tabelle36[[#This Row],[Austausch gewünscht?]]="Nein","Nein",""))))</f>
        <v>#N/A</v>
      </c>
      <c r="V37" s="1277"/>
      <c r="W37" s="1279"/>
      <c r="X37" s="1279"/>
      <c r="Y37" s="1279"/>
    </row>
    <row r="38" spans="1:30" ht="17.100000000000001" customHeight="1">
      <c r="A38" s="219"/>
      <c r="B38" s="364"/>
      <c r="C38" s="208"/>
      <c r="D38" s="18"/>
      <c r="E38" s="18" t="str">
        <f>IF(D38="","",_xlfn.XLOOKUP(D38,Fassade!$F$10:$F$515,Fassade!$G$10:$G$515,"",0,1))</f>
        <v/>
      </c>
      <c r="F38" s="232"/>
      <c r="G38" s="18"/>
      <c r="H38" s="18"/>
      <c r="I38" s="232"/>
      <c r="J38" s="244"/>
      <c r="K38" s="232">
        <f t="shared" si="1"/>
        <v>0</v>
      </c>
      <c r="L38" s="232">
        <f t="shared" si="2"/>
        <v>0</v>
      </c>
      <c r="M38" s="187">
        <f t="shared" si="3"/>
        <v>0</v>
      </c>
      <c r="N38" s="364"/>
      <c r="O38" s="18">
        <f>IF(B38="",0,IF(AND(N38="Ja",_xlfn.TEXTBEFORE(Tabelle36[[#This Row],[Benennung]],"_")="Fenster"),H38*I38*J38,0))</f>
        <v>0</v>
      </c>
      <c r="P38" s="364"/>
      <c r="Q38" s="187"/>
      <c r="R38" s="1168" t="e">
        <f>IF(AND(_xlfn.TEXTBEFORE(Tabelle36[[#This Row],[Benennung]],"_")="Fenster",$M$12="Nein"),"Nein",IF(AND(_xlfn.TEXTBEFORE(Tabelle36[[#This Row],[Benennung]],"_")="Tür",$R$12="Nein"),"Nein",IF(Tabelle36[[#This Row],[Austausch gewünscht?]]="Ja","Ja",IF(Tabelle36[[#This Row],[Austausch gewünscht?]]="Nein","Nein",""))))</f>
        <v>#N/A</v>
      </c>
      <c r="S38" s="1168" t="e">
        <f>IF(AND(_xlfn.TEXTBEFORE(Tabelle36[[#This Row],[Benennung]],"_")="Fenster",$N$12="Nein"),"Nein",IF(AND(_xlfn.TEXTBEFORE(Tabelle36[[#This Row],[Benennung]],"_")="Tür",$S$12="Nein"),"Nein",IF(Tabelle36[[#This Row],[Austausch gewünscht?]]="Ja","Ja",IF(Tabelle36[[#This Row],[Austausch gewünscht?]]="Nein","Nein",""))))</f>
        <v>#N/A</v>
      </c>
      <c r="T38" s="989" t="e">
        <f>IF(AND(_xlfn.TEXTBEFORE(Tabelle36[[#This Row],[Benennung]],"_")="Fenster",$O$12="Nein"),"Nein",IF(AND(_xlfn.TEXTBEFORE(Tabelle36[[#This Row],[Benennung]],"_")="Tür",$T$12="Nein"),"Nein",IF(Tabelle36[[#This Row],[Austausch gewünscht?]]="Ja","Ja",IF(Tabelle36[[#This Row],[Austausch gewünscht?]]="Nein","Nein",""))))</f>
        <v>#N/A</v>
      </c>
      <c r="V38" s="1277"/>
      <c r="W38" s="1279"/>
      <c r="X38" s="1279"/>
      <c r="Y38" s="1279"/>
    </row>
    <row r="39" spans="1:30" ht="17.100000000000001" customHeight="1">
      <c r="A39" s="219"/>
      <c r="B39" s="364"/>
      <c r="C39" s="208"/>
      <c r="D39" s="18"/>
      <c r="E39" s="18" t="str">
        <f>IF(D39="","",_xlfn.XLOOKUP(D39,Fassade!$F$10:$F$515,Fassade!$G$10:$G$515,"",0,1))</f>
        <v/>
      </c>
      <c r="F39" s="232"/>
      <c r="G39" s="18"/>
      <c r="H39" s="18"/>
      <c r="I39" s="232"/>
      <c r="J39" s="244"/>
      <c r="K39" s="232">
        <f t="shared" si="1"/>
        <v>0</v>
      </c>
      <c r="L39" s="232">
        <f t="shared" si="2"/>
        <v>0</v>
      </c>
      <c r="M39" s="187">
        <f t="shared" si="3"/>
        <v>0</v>
      </c>
      <c r="N39" s="364"/>
      <c r="O39" s="18">
        <f>IF(B39="",0,IF(AND(N39="Ja",_xlfn.TEXTBEFORE(Tabelle36[[#This Row],[Benennung]],"_")="Fenster"),H39*I39*J39,0))</f>
        <v>0</v>
      </c>
      <c r="P39" s="364"/>
      <c r="Q39" s="187"/>
      <c r="R39" s="1168" t="e">
        <f>IF(AND(_xlfn.TEXTBEFORE(Tabelle36[[#This Row],[Benennung]],"_")="Fenster",$M$12="Nein"),"Nein",IF(AND(_xlfn.TEXTBEFORE(Tabelle36[[#This Row],[Benennung]],"_")="Tür",$R$12="Nein"),"Nein",IF(Tabelle36[[#This Row],[Austausch gewünscht?]]="Ja","Ja",IF(Tabelle36[[#This Row],[Austausch gewünscht?]]="Nein","Nein",""))))</f>
        <v>#N/A</v>
      </c>
      <c r="S39" s="1168" t="e">
        <f>IF(AND(_xlfn.TEXTBEFORE(Tabelle36[[#This Row],[Benennung]],"_")="Fenster",$N$12="Nein"),"Nein",IF(AND(_xlfn.TEXTBEFORE(Tabelle36[[#This Row],[Benennung]],"_")="Tür",$S$12="Nein"),"Nein",IF(Tabelle36[[#This Row],[Austausch gewünscht?]]="Ja","Ja",IF(Tabelle36[[#This Row],[Austausch gewünscht?]]="Nein","Nein",""))))</f>
        <v>#N/A</v>
      </c>
      <c r="T39" s="989" t="e">
        <f>IF(AND(_xlfn.TEXTBEFORE(Tabelle36[[#This Row],[Benennung]],"_")="Fenster",$O$12="Nein"),"Nein",IF(AND(_xlfn.TEXTBEFORE(Tabelle36[[#This Row],[Benennung]],"_")="Tür",$T$12="Nein"),"Nein",IF(Tabelle36[[#This Row],[Austausch gewünscht?]]="Ja","Ja",IF(Tabelle36[[#This Row],[Austausch gewünscht?]]="Nein","Nein",""))))</f>
        <v>#N/A</v>
      </c>
      <c r="V39" s="1277"/>
      <c r="W39" s="1279"/>
      <c r="X39" s="1279"/>
      <c r="Y39" s="1279"/>
    </row>
    <row r="40" spans="1:30" ht="17.100000000000001" customHeight="1">
      <c r="A40" s="219"/>
      <c r="B40" s="364"/>
      <c r="C40" s="208"/>
      <c r="D40" s="18"/>
      <c r="E40" s="18" t="str">
        <f>IF(D40="","",_xlfn.XLOOKUP(D40,Fassade!$F$10:$F$515,Fassade!$G$10:$G$515,"",0,1))</f>
        <v/>
      </c>
      <c r="F40" s="232"/>
      <c r="G40" s="18"/>
      <c r="H40" s="18"/>
      <c r="I40" s="232"/>
      <c r="J40" s="244"/>
      <c r="K40" s="232">
        <f t="shared" si="1"/>
        <v>0</v>
      </c>
      <c r="L40" s="232">
        <f t="shared" si="2"/>
        <v>0</v>
      </c>
      <c r="M40" s="187">
        <f t="shared" si="3"/>
        <v>0</v>
      </c>
      <c r="N40" s="364"/>
      <c r="O40" s="18">
        <f>IF(B40="",0,IF(AND(N40="Ja",_xlfn.TEXTBEFORE(Tabelle36[[#This Row],[Benennung]],"_")="Fenster"),H40*I40*J40,0))</f>
        <v>0</v>
      </c>
      <c r="P40" s="364"/>
      <c r="Q40" s="187"/>
      <c r="R40" s="1168" t="e">
        <f>IF(AND(_xlfn.TEXTBEFORE(Tabelle36[[#This Row],[Benennung]],"_")="Fenster",$M$12="Nein"),"Nein",IF(AND(_xlfn.TEXTBEFORE(Tabelle36[[#This Row],[Benennung]],"_")="Tür",$R$12="Nein"),"Nein",IF(Tabelle36[[#This Row],[Austausch gewünscht?]]="Ja","Ja",IF(Tabelle36[[#This Row],[Austausch gewünscht?]]="Nein","Nein",""))))</f>
        <v>#N/A</v>
      </c>
      <c r="S40" s="1168" t="e">
        <f>IF(AND(_xlfn.TEXTBEFORE(Tabelle36[[#This Row],[Benennung]],"_")="Fenster",$N$12="Nein"),"Nein",IF(AND(_xlfn.TEXTBEFORE(Tabelle36[[#This Row],[Benennung]],"_")="Tür",$S$12="Nein"),"Nein",IF(Tabelle36[[#This Row],[Austausch gewünscht?]]="Ja","Ja",IF(Tabelle36[[#This Row],[Austausch gewünscht?]]="Nein","Nein",""))))</f>
        <v>#N/A</v>
      </c>
      <c r="T40" s="989" t="e">
        <f>IF(AND(_xlfn.TEXTBEFORE(Tabelle36[[#This Row],[Benennung]],"_")="Fenster",$O$12="Nein"),"Nein",IF(AND(_xlfn.TEXTBEFORE(Tabelle36[[#This Row],[Benennung]],"_")="Tür",$T$12="Nein"),"Nein",IF(Tabelle36[[#This Row],[Austausch gewünscht?]]="Ja","Ja",IF(Tabelle36[[#This Row],[Austausch gewünscht?]]="Nein","Nein",""))))</f>
        <v>#N/A</v>
      </c>
      <c r="V40" s="1277"/>
      <c r="W40" s="1279"/>
      <c r="X40" s="1279"/>
      <c r="Y40" s="1279"/>
    </row>
    <row r="41" spans="1:30" ht="17.100000000000001" customHeight="1">
      <c r="A41" s="219"/>
      <c r="B41" s="364"/>
      <c r="C41" s="208"/>
      <c r="D41" s="18"/>
      <c r="E41" s="18" t="str">
        <f>IF(D41="","",_xlfn.XLOOKUP(D41,Fassade!$F$10:$F$515,Fassade!$G$10:$G$515,"",0,1))</f>
        <v/>
      </c>
      <c r="F41" s="18"/>
      <c r="G41" s="18"/>
      <c r="H41" s="18"/>
      <c r="I41" s="232"/>
      <c r="J41" s="244"/>
      <c r="K41" s="232">
        <f t="shared" si="1"/>
        <v>0</v>
      </c>
      <c r="L41" s="232">
        <f t="shared" si="2"/>
        <v>0</v>
      </c>
      <c r="M41" s="187">
        <f t="shared" si="3"/>
        <v>0</v>
      </c>
      <c r="N41" s="364"/>
      <c r="O41" s="18">
        <f>IF(B41="",0,IF(AND(N41="Ja",_xlfn.TEXTBEFORE(Tabelle36[[#This Row],[Benennung]],"_")="Fenster"),H41*I41*J41,0))</f>
        <v>0</v>
      </c>
      <c r="P41" s="364"/>
      <c r="Q41" s="187"/>
      <c r="R41" s="1168" t="e">
        <f>IF(AND(_xlfn.TEXTBEFORE(Tabelle36[[#This Row],[Benennung]],"_")="Fenster",$M$12="Nein"),"Nein",IF(AND(_xlfn.TEXTBEFORE(Tabelle36[[#This Row],[Benennung]],"_")="Tür",$R$12="Nein"),"Nein",IF(Tabelle36[[#This Row],[Austausch gewünscht?]]="Ja","Ja",IF(Tabelle36[[#This Row],[Austausch gewünscht?]]="Nein","Nein",""))))</f>
        <v>#N/A</v>
      </c>
      <c r="S41" s="1168" t="e">
        <f>IF(AND(_xlfn.TEXTBEFORE(Tabelle36[[#This Row],[Benennung]],"_")="Fenster",$N$12="Nein"),"Nein",IF(AND(_xlfn.TEXTBEFORE(Tabelle36[[#This Row],[Benennung]],"_")="Tür",$S$12="Nein"),"Nein",IF(Tabelle36[[#This Row],[Austausch gewünscht?]]="Ja","Ja",IF(Tabelle36[[#This Row],[Austausch gewünscht?]]="Nein","Nein",""))))</f>
        <v>#N/A</v>
      </c>
      <c r="T41" s="989" t="e">
        <f>IF(AND(_xlfn.TEXTBEFORE(Tabelle36[[#This Row],[Benennung]],"_")="Fenster",$O$12="Nein"),"Nein",IF(AND(_xlfn.TEXTBEFORE(Tabelle36[[#This Row],[Benennung]],"_")="Tür",$T$12="Nein"),"Nein",IF(Tabelle36[[#This Row],[Austausch gewünscht?]]="Ja","Ja",IF(Tabelle36[[#This Row],[Austausch gewünscht?]]="Nein","Nein",""))))</f>
        <v>#N/A</v>
      </c>
      <c r="V41" s="1277"/>
      <c r="W41" s="1279"/>
      <c r="X41" s="1279"/>
      <c r="Y41" s="1279"/>
    </row>
    <row r="42" spans="1:30" ht="17.100000000000001" customHeight="1">
      <c r="A42" s="219"/>
      <c r="B42" s="364"/>
      <c r="C42" s="208"/>
      <c r="D42" s="18"/>
      <c r="E42" s="18" t="str">
        <f>IF(D42="","",_xlfn.XLOOKUP(D42,Fassade!$F$10:$F$515,Fassade!$G$10:$G$515,"",0,1))</f>
        <v/>
      </c>
      <c r="F42" s="18"/>
      <c r="G42" s="18"/>
      <c r="H42" s="232"/>
      <c r="I42" s="232"/>
      <c r="J42" s="244"/>
      <c r="K42" s="232">
        <f t="shared" si="1"/>
        <v>0</v>
      </c>
      <c r="L42" s="232">
        <f t="shared" si="2"/>
        <v>0</v>
      </c>
      <c r="M42" s="187">
        <f t="shared" si="3"/>
        <v>0</v>
      </c>
      <c r="N42" s="364"/>
      <c r="O42" s="18">
        <f>IF(B42="",0,IF(AND(N42="Ja",_xlfn.TEXTBEFORE(Tabelle36[[#This Row],[Benennung]],"_")="Fenster"),H42*I42*J42,0))</f>
        <v>0</v>
      </c>
      <c r="P42" s="364"/>
      <c r="Q42" s="187"/>
      <c r="R42" s="1168" t="e">
        <f>IF(AND(_xlfn.TEXTBEFORE(Tabelle36[[#This Row],[Benennung]],"_")="Fenster",$M$12="Nein"),"Nein",IF(AND(_xlfn.TEXTBEFORE(Tabelle36[[#This Row],[Benennung]],"_")="Tür",$R$12="Nein"),"Nein",IF(Tabelle36[[#This Row],[Austausch gewünscht?]]="Ja","Ja",IF(Tabelle36[[#This Row],[Austausch gewünscht?]]="Nein","Nein",""))))</f>
        <v>#N/A</v>
      </c>
      <c r="S42" s="1168" t="e">
        <f>IF(AND(_xlfn.TEXTBEFORE(Tabelle36[[#This Row],[Benennung]],"_")="Fenster",$N$12="Nein"),"Nein",IF(AND(_xlfn.TEXTBEFORE(Tabelle36[[#This Row],[Benennung]],"_")="Tür",$S$12="Nein"),"Nein",IF(Tabelle36[[#This Row],[Austausch gewünscht?]]="Ja","Ja",IF(Tabelle36[[#This Row],[Austausch gewünscht?]]="Nein","Nein",""))))</f>
        <v>#N/A</v>
      </c>
      <c r="T42" s="989" t="e">
        <f>IF(AND(_xlfn.TEXTBEFORE(Tabelle36[[#This Row],[Benennung]],"_")="Fenster",$O$12="Nein"),"Nein",IF(AND(_xlfn.TEXTBEFORE(Tabelle36[[#This Row],[Benennung]],"_")="Tür",$T$12="Nein"),"Nein",IF(Tabelle36[[#This Row],[Austausch gewünscht?]]="Ja","Ja",IF(Tabelle36[[#This Row],[Austausch gewünscht?]]="Nein","Nein",""))))</f>
        <v>#N/A</v>
      </c>
      <c r="V42" s="1277"/>
      <c r="W42" s="1279"/>
      <c r="X42" s="1279"/>
      <c r="Y42" s="1279"/>
    </row>
    <row r="43" spans="1:30" ht="17.25" customHeight="1">
      <c r="A43" s="219"/>
      <c r="B43" s="364"/>
      <c r="C43" s="208"/>
      <c r="D43" s="18"/>
      <c r="E43" s="18" t="str">
        <f>IF(D43="","",_xlfn.XLOOKUP(D43,Fassade!$F$10:$F$515,Fassade!$G$10:$G$515,"",0,1))</f>
        <v/>
      </c>
      <c r="F43" s="18"/>
      <c r="G43" s="18"/>
      <c r="H43" s="232"/>
      <c r="I43" s="232"/>
      <c r="J43" s="244"/>
      <c r="K43" s="232">
        <f t="shared" si="1"/>
        <v>0</v>
      </c>
      <c r="L43" s="232">
        <f t="shared" si="2"/>
        <v>0</v>
      </c>
      <c r="M43" s="187">
        <f t="shared" si="3"/>
        <v>0</v>
      </c>
      <c r="N43" s="364"/>
      <c r="O43" s="18">
        <f>IF(B43="",0,IF(AND(N43="Ja",_xlfn.TEXTBEFORE(Tabelle36[[#This Row],[Benennung]],"_")="Fenster"),H43*I43*J43,0))</f>
        <v>0</v>
      </c>
      <c r="P43" s="364"/>
      <c r="Q43" s="187"/>
      <c r="R43" s="1168" t="e">
        <f>IF(AND(_xlfn.TEXTBEFORE(Tabelle36[[#This Row],[Benennung]],"_")="Fenster",$M$12="Nein"),"Nein",IF(AND(_xlfn.TEXTBEFORE(Tabelle36[[#This Row],[Benennung]],"_")="Tür",$R$12="Nein"),"Nein",IF(Tabelle36[[#This Row],[Austausch gewünscht?]]="Ja","Ja",IF(Tabelle36[[#This Row],[Austausch gewünscht?]]="Nein","Nein",""))))</f>
        <v>#N/A</v>
      </c>
      <c r="S43" s="1168" t="e">
        <f>IF(AND(_xlfn.TEXTBEFORE(Tabelle36[[#This Row],[Benennung]],"_")="Fenster",$N$12="Nein"),"Nein",IF(AND(_xlfn.TEXTBEFORE(Tabelle36[[#This Row],[Benennung]],"_")="Tür",$S$12="Nein"),"Nein",IF(Tabelle36[[#This Row],[Austausch gewünscht?]]="Ja","Ja",IF(Tabelle36[[#This Row],[Austausch gewünscht?]]="Nein","Nein",""))))</f>
        <v>#N/A</v>
      </c>
      <c r="T43" s="989" t="e">
        <f>IF(AND(_xlfn.TEXTBEFORE(Tabelle36[[#This Row],[Benennung]],"_")="Fenster",$O$12="Nein"),"Nein",IF(AND(_xlfn.TEXTBEFORE(Tabelle36[[#This Row],[Benennung]],"_")="Tür",$T$12="Nein"),"Nein",IF(Tabelle36[[#This Row],[Austausch gewünscht?]]="Ja","Ja",IF(Tabelle36[[#This Row],[Austausch gewünscht?]]="Nein","Nein",""))))</f>
        <v>#N/A</v>
      </c>
      <c r="V43" s="1277"/>
      <c r="W43" s="1279"/>
      <c r="X43" s="1279"/>
      <c r="Y43" s="1279"/>
    </row>
    <row r="44" spans="1:30" ht="17.25" customHeight="1">
      <c r="A44" s="219"/>
      <c r="B44" s="364"/>
      <c r="C44" s="208"/>
      <c r="D44" s="18"/>
      <c r="E44" s="18" t="str">
        <f>IF(D44="","",_xlfn.XLOOKUP(D44,Fassade!$F$10:$F$515,Fassade!$G$10:$G$515,"",0,1))</f>
        <v/>
      </c>
      <c r="F44" s="18"/>
      <c r="G44" s="18"/>
      <c r="H44" s="232"/>
      <c r="I44" s="232"/>
      <c r="J44" s="244"/>
      <c r="K44" s="232">
        <f t="shared" si="1"/>
        <v>0</v>
      </c>
      <c r="L44" s="232">
        <f t="shared" si="2"/>
        <v>0</v>
      </c>
      <c r="M44" s="187">
        <f t="shared" si="3"/>
        <v>0</v>
      </c>
      <c r="N44" s="364"/>
      <c r="O44" s="18">
        <f>IF(B44="",0,IF(AND(N44="Ja",_xlfn.TEXTBEFORE(Tabelle36[[#This Row],[Benennung]],"_")="Fenster"),H44*I44*J44,0))</f>
        <v>0</v>
      </c>
      <c r="P44" s="364"/>
      <c r="Q44" s="187"/>
      <c r="R44" s="1168" t="e">
        <f>IF(AND(_xlfn.TEXTBEFORE(Tabelle36[[#This Row],[Benennung]],"_")="Fenster",$M$12="Nein"),"Nein",IF(AND(_xlfn.TEXTBEFORE(Tabelle36[[#This Row],[Benennung]],"_")="Tür",$R$12="Nein"),"Nein",IF(Tabelle36[[#This Row],[Austausch gewünscht?]]="Ja","Ja",IF(Tabelle36[[#This Row],[Austausch gewünscht?]]="Nein","Nein",""))))</f>
        <v>#N/A</v>
      </c>
      <c r="S44" s="1168" t="e">
        <f>IF(AND(_xlfn.TEXTBEFORE(Tabelle36[[#This Row],[Benennung]],"_")="Fenster",$N$12="Nein"),"Nein",IF(AND(_xlfn.TEXTBEFORE(Tabelle36[[#This Row],[Benennung]],"_")="Tür",$S$12="Nein"),"Nein",IF(Tabelle36[[#This Row],[Austausch gewünscht?]]="Ja","Ja",IF(Tabelle36[[#This Row],[Austausch gewünscht?]]="Nein","Nein",""))))</f>
        <v>#N/A</v>
      </c>
      <c r="T44" s="989" t="e">
        <f>IF(AND(_xlfn.TEXTBEFORE(Tabelle36[[#This Row],[Benennung]],"_")="Fenster",$O$12="Nein"),"Nein",IF(AND(_xlfn.TEXTBEFORE(Tabelle36[[#This Row],[Benennung]],"_")="Tür",$T$12="Nein"),"Nein",IF(Tabelle36[[#This Row],[Austausch gewünscht?]]="Ja","Ja",IF(Tabelle36[[#This Row],[Austausch gewünscht?]]="Nein","Nein",""))))</f>
        <v>#N/A</v>
      </c>
      <c r="V44" s="1277"/>
      <c r="W44" s="1279"/>
      <c r="X44" s="1279"/>
      <c r="Y44" s="1279"/>
    </row>
    <row r="45" spans="1:30">
      <c r="A45" s="219"/>
      <c r="B45" s="364"/>
      <c r="C45" s="208"/>
      <c r="D45" s="18"/>
      <c r="E45" s="18" t="str">
        <f>IF(D45="","",_xlfn.XLOOKUP(D45,Fassade!$F$10:$F$515,Fassade!$G$10:$G$515,"",0,1))</f>
        <v/>
      </c>
      <c r="F45" s="18"/>
      <c r="G45" s="18"/>
      <c r="H45" s="232"/>
      <c r="I45" s="232"/>
      <c r="J45" s="244"/>
      <c r="K45" s="232">
        <f t="shared" si="1"/>
        <v>0</v>
      </c>
      <c r="L45" s="232">
        <f t="shared" si="2"/>
        <v>0</v>
      </c>
      <c r="M45" s="187">
        <f t="shared" si="3"/>
        <v>0</v>
      </c>
      <c r="N45" s="364"/>
      <c r="O45" s="18">
        <f>IF(B45="",0,IF(AND(N45="Ja",_xlfn.TEXTBEFORE(Tabelle36[[#This Row],[Benennung]],"_")="Fenster"),H45*I45*J45,0))</f>
        <v>0</v>
      </c>
      <c r="P45" s="364"/>
      <c r="Q45" s="187"/>
      <c r="R45" s="1168" t="e">
        <f>IF(AND(_xlfn.TEXTBEFORE(Tabelle36[[#This Row],[Benennung]],"_")="Fenster",$M$12="Nein"),"Nein",IF(AND(_xlfn.TEXTBEFORE(Tabelle36[[#This Row],[Benennung]],"_")="Tür",$R$12="Nein"),"Nein",IF(Tabelle36[[#This Row],[Austausch gewünscht?]]="Ja","Ja",IF(Tabelle36[[#This Row],[Austausch gewünscht?]]="Nein","Nein",""))))</f>
        <v>#N/A</v>
      </c>
      <c r="S45" s="1168" t="e">
        <f>IF(AND(_xlfn.TEXTBEFORE(Tabelle36[[#This Row],[Benennung]],"_")="Fenster",$N$12="Nein"),"Nein",IF(AND(_xlfn.TEXTBEFORE(Tabelle36[[#This Row],[Benennung]],"_")="Tür",$S$12="Nein"),"Nein",IF(Tabelle36[[#This Row],[Austausch gewünscht?]]="Ja","Ja",IF(Tabelle36[[#This Row],[Austausch gewünscht?]]="Nein","Nein",""))))</f>
        <v>#N/A</v>
      </c>
      <c r="T45" s="989" t="e">
        <f>IF(AND(_xlfn.TEXTBEFORE(Tabelle36[[#This Row],[Benennung]],"_")="Fenster",$O$12="Nein"),"Nein",IF(AND(_xlfn.TEXTBEFORE(Tabelle36[[#This Row],[Benennung]],"_")="Tür",$T$12="Nein"),"Nein",IF(Tabelle36[[#This Row],[Austausch gewünscht?]]="Ja","Ja",IF(Tabelle36[[#This Row],[Austausch gewünscht?]]="Nein","Nein",""))))</f>
        <v>#N/A</v>
      </c>
      <c r="AA45" s="246"/>
      <c r="AB45" s="246"/>
    </row>
    <row r="46" spans="1:30">
      <c r="A46" s="219"/>
      <c r="B46" s="364"/>
      <c r="C46" s="208"/>
      <c r="D46" s="18"/>
      <c r="E46" s="18" t="str">
        <f>IF(D46="","",_xlfn.XLOOKUP(D46,Fassade!$F$10:$F$515,Fassade!$G$10:$G$515,"",0,1))</f>
        <v/>
      </c>
      <c r="F46" s="18"/>
      <c r="G46" s="18"/>
      <c r="H46" s="232"/>
      <c r="I46" s="232"/>
      <c r="J46" s="244"/>
      <c r="K46" s="232">
        <f t="shared" si="1"/>
        <v>0</v>
      </c>
      <c r="L46" s="232">
        <f t="shared" si="2"/>
        <v>0</v>
      </c>
      <c r="M46" s="187">
        <f t="shared" si="3"/>
        <v>0</v>
      </c>
      <c r="N46" s="364"/>
      <c r="O46" s="18">
        <f>IF(B46="",0,IF(AND(N46="Ja",_xlfn.TEXTBEFORE(Tabelle36[[#This Row],[Benennung]],"_")="Fenster"),H46*I46*J46,0))</f>
        <v>0</v>
      </c>
      <c r="P46" s="364"/>
      <c r="Q46" s="187"/>
      <c r="R46" s="1168" t="e">
        <f>IF(AND(_xlfn.TEXTBEFORE(Tabelle36[[#This Row],[Benennung]],"_")="Fenster",$M$12="Nein"),"Nein",IF(AND(_xlfn.TEXTBEFORE(Tabelle36[[#This Row],[Benennung]],"_")="Tür",$R$12="Nein"),"Nein",IF(Tabelle36[[#This Row],[Austausch gewünscht?]]="Ja","Ja",IF(Tabelle36[[#This Row],[Austausch gewünscht?]]="Nein","Nein",""))))</f>
        <v>#N/A</v>
      </c>
      <c r="S46" s="1168" t="e">
        <f>IF(AND(_xlfn.TEXTBEFORE(Tabelle36[[#This Row],[Benennung]],"_")="Fenster",$N$12="Nein"),"Nein",IF(AND(_xlfn.TEXTBEFORE(Tabelle36[[#This Row],[Benennung]],"_")="Tür",$S$12="Nein"),"Nein",IF(Tabelle36[[#This Row],[Austausch gewünscht?]]="Ja","Ja",IF(Tabelle36[[#This Row],[Austausch gewünscht?]]="Nein","Nein",""))))</f>
        <v>#N/A</v>
      </c>
      <c r="T46" s="989" t="e">
        <f>IF(AND(_xlfn.TEXTBEFORE(Tabelle36[[#This Row],[Benennung]],"_")="Fenster",$O$12="Nein"),"Nein",IF(AND(_xlfn.TEXTBEFORE(Tabelle36[[#This Row],[Benennung]],"_")="Tür",$T$12="Nein"),"Nein",IF(Tabelle36[[#This Row],[Austausch gewünscht?]]="Ja","Ja",IF(Tabelle36[[#This Row],[Austausch gewünscht?]]="Nein","Nein",""))))</f>
        <v>#N/A</v>
      </c>
    </row>
    <row r="47" spans="1:30">
      <c r="A47" s="219"/>
      <c r="B47" s="364"/>
      <c r="C47" s="208"/>
      <c r="D47" s="18"/>
      <c r="E47" s="18" t="str">
        <f>IF(D47="","",_xlfn.XLOOKUP(D47,Fassade!$F$10:$F$515,Fassade!$G$10:$G$515,"",0,1))</f>
        <v/>
      </c>
      <c r="F47" s="18"/>
      <c r="G47" s="18"/>
      <c r="H47" s="232"/>
      <c r="I47" s="232"/>
      <c r="J47" s="244"/>
      <c r="K47" s="232">
        <f t="shared" si="1"/>
        <v>0</v>
      </c>
      <c r="L47" s="232">
        <f t="shared" si="2"/>
        <v>0</v>
      </c>
      <c r="M47" s="187">
        <f t="shared" si="3"/>
        <v>0</v>
      </c>
      <c r="N47" s="364"/>
      <c r="O47" s="18">
        <f>IF(B47="",0,IF(AND(N47="Ja",_xlfn.TEXTBEFORE(Tabelle36[[#This Row],[Benennung]],"_")="Fenster"),H47*I47*J47,0))</f>
        <v>0</v>
      </c>
      <c r="P47" s="364"/>
      <c r="Q47" s="187"/>
      <c r="R47" s="1168" t="e">
        <f>IF(AND(_xlfn.TEXTBEFORE(Tabelle36[[#This Row],[Benennung]],"_")="Fenster",$M$12="Nein"),"Nein",IF(AND(_xlfn.TEXTBEFORE(Tabelle36[[#This Row],[Benennung]],"_")="Tür",$R$12="Nein"),"Nein",IF(Tabelle36[[#This Row],[Austausch gewünscht?]]="Ja","Ja",IF(Tabelle36[[#This Row],[Austausch gewünscht?]]="Nein","Nein",""))))</f>
        <v>#N/A</v>
      </c>
      <c r="S47" s="1168" t="e">
        <f>IF(AND(_xlfn.TEXTBEFORE(Tabelle36[[#This Row],[Benennung]],"_")="Fenster",$N$12="Nein"),"Nein",IF(AND(_xlfn.TEXTBEFORE(Tabelle36[[#This Row],[Benennung]],"_")="Tür",$S$12="Nein"),"Nein",IF(Tabelle36[[#This Row],[Austausch gewünscht?]]="Ja","Ja",IF(Tabelle36[[#This Row],[Austausch gewünscht?]]="Nein","Nein",""))))</f>
        <v>#N/A</v>
      </c>
      <c r="T47" s="989" t="e">
        <f>IF(AND(_xlfn.TEXTBEFORE(Tabelle36[[#This Row],[Benennung]],"_")="Fenster",$O$12="Nein"),"Nein",IF(AND(_xlfn.TEXTBEFORE(Tabelle36[[#This Row],[Benennung]],"_")="Tür",$T$12="Nein"),"Nein",IF(Tabelle36[[#This Row],[Austausch gewünscht?]]="Ja","Ja",IF(Tabelle36[[#This Row],[Austausch gewünscht?]]="Nein","Nein",""))))</f>
        <v>#N/A</v>
      </c>
    </row>
    <row r="48" spans="1:30">
      <c r="A48" s="219"/>
      <c r="B48" s="364"/>
      <c r="C48" s="208"/>
      <c r="D48" s="18"/>
      <c r="E48" s="18" t="str">
        <f>IF(D48="","",_xlfn.XLOOKUP(D48,Fassade!$F$10:$F$515,Fassade!$G$10:$G$515,"",0,1))</f>
        <v/>
      </c>
      <c r="F48" s="18"/>
      <c r="G48" s="18"/>
      <c r="H48" s="232"/>
      <c r="I48" s="232"/>
      <c r="J48" s="244"/>
      <c r="K48" s="232">
        <f t="shared" si="1"/>
        <v>0</v>
      </c>
      <c r="L48" s="232">
        <f t="shared" si="2"/>
        <v>0</v>
      </c>
      <c r="M48" s="187">
        <f t="shared" si="3"/>
        <v>0</v>
      </c>
      <c r="N48" s="364"/>
      <c r="O48" s="18">
        <f>IF(B48="",0,IF(AND(N48="Ja",_xlfn.TEXTBEFORE(Tabelle36[[#This Row],[Benennung]],"_")="Fenster"),H48*I48*J48,0))</f>
        <v>0</v>
      </c>
      <c r="P48" s="364"/>
      <c r="Q48" s="187"/>
      <c r="R48" s="1168" t="e">
        <f>IF(AND(_xlfn.TEXTBEFORE(Tabelle36[[#This Row],[Benennung]],"_")="Fenster",$M$12="Nein"),"Nein",IF(AND(_xlfn.TEXTBEFORE(Tabelle36[[#This Row],[Benennung]],"_")="Tür",$R$12="Nein"),"Nein",IF(Tabelle36[[#This Row],[Austausch gewünscht?]]="Ja","Ja",IF(Tabelle36[[#This Row],[Austausch gewünscht?]]="Nein","Nein",""))))</f>
        <v>#N/A</v>
      </c>
      <c r="S48" s="1168" t="e">
        <f>IF(AND(_xlfn.TEXTBEFORE(Tabelle36[[#This Row],[Benennung]],"_")="Fenster",$N$12="Nein"),"Nein",IF(AND(_xlfn.TEXTBEFORE(Tabelle36[[#This Row],[Benennung]],"_")="Tür",$S$12="Nein"),"Nein",IF(Tabelle36[[#This Row],[Austausch gewünscht?]]="Ja","Ja",IF(Tabelle36[[#This Row],[Austausch gewünscht?]]="Nein","Nein",""))))</f>
        <v>#N/A</v>
      </c>
      <c r="T48" s="989" t="e">
        <f>IF(AND(_xlfn.TEXTBEFORE(Tabelle36[[#This Row],[Benennung]],"_")="Fenster",$O$12="Nein"),"Nein",IF(AND(_xlfn.TEXTBEFORE(Tabelle36[[#This Row],[Benennung]],"_")="Tür",$T$12="Nein"),"Nein",IF(Tabelle36[[#This Row],[Austausch gewünscht?]]="Ja","Ja",IF(Tabelle36[[#This Row],[Austausch gewünscht?]]="Nein","Nein",""))))</f>
        <v>#N/A</v>
      </c>
    </row>
    <row r="49" spans="1:20">
      <c r="A49" s="219"/>
      <c r="B49" s="364"/>
      <c r="C49" s="208"/>
      <c r="D49" s="18"/>
      <c r="E49" s="18" t="str">
        <f>IF(D49="","",_xlfn.XLOOKUP(D49,Fassade!$F$10:$F$515,Fassade!$G$10:$G$515,"",0,1))</f>
        <v/>
      </c>
      <c r="F49" s="18"/>
      <c r="G49" s="18"/>
      <c r="H49" s="232"/>
      <c r="I49" s="232"/>
      <c r="J49" s="244"/>
      <c r="K49" s="232">
        <f t="shared" si="1"/>
        <v>0</v>
      </c>
      <c r="L49" s="232">
        <f t="shared" si="2"/>
        <v>0</v>
      </c>
      <c r="M49" s="187">
        <f t="shared" si="3"/>
        <v>0</v>
      </c>
      <c r="N49" s="364"/>
      <c r="O49" s="18">
        <f>IF(B49="",0,IF(AND(N49="Ja",_xlfn.TEXTBEFORE(Tabelle36[[#This Row],[Benennung]],"_")="Fenster"),H49*I49*J49,0))</f>
        <v>0</v>
      </c>
      <c r="P49" s="364"/>
      <c r="Q49" s="187"/>
      <c r="R49" s="1168" t="e">
        <f>IF(AND(_xlfn.TEXTBEFORE(Tabelle36[[#This Row],[Benennung]],"_")="Fenster",$M$12="Nein"),"Nein",IF(AND(_xlfn.TEXTBEFORE(Tabelle36[[#This Row],[Benennung]],"_")="Tür",$R$12="Nein"),"Nein",IF(Tabelle36[[#This Row],[Austausch gewünscht?]]="Ja","Ja",IF(Tabelle36[[#This Row],[Austausch gewünscht?]]="Nein","Nein",""))))</f>
        <v>#N/A</v>
      </c>
      <c r="S49" s="1168" t="e">
        <f>IF(AND(_xlfn.TEXTBEFORE(Tabelle36[[#This Row],[Benennung]],"_")="Fenster",$N$12="Nein"),"Nein",IF(AND(_xlfn.TEXTBEFORE(Tabelle36[[#This Row],[Benennung]],"_")="Tür",$S$12="Nein"),"Nein",IF(Tabelle36[[#This Row],[Austausch gewünscht?]]="Ja","Ja",IF(Tabelle36[[#This Row],[Austausch gewünscht?]]="Nein","Nein",""))))</f>
        <v>#N/A</v>
      </c>
      <c r="T49" s="989" t="e">
        <f>IF(AND(_xlfn.TEXTBEFORE(Tabelle36[[#This Row],[Benennung]],"_")="Fenster",$O$12="Nein"),"Nein",IF(AND(_xlfn.TEXTBEFORE(Tabelle36[[#This Row],[Benennung]],"_")="Tür",$T$12="Nein"),"Nein",IF(Tabelle36[[#This Row],[Austausch gewünscht?]]="Ja","Ja",IF(Tabelle36[[#This Row],[Austausch gewünscht?]]="Nein","Nein",""))))</f>
        <v>#N/A</v>
      </c>
    </row>
    <row r="50" spans="1:20">
      <c r="A50" s="219"/>
      <c r="B50" s="364"/>
      <c r="C50" s="208"/>
      <c r="D50" s="18"/>
      <c r="E50" s="18" t="str">
        <f>IF(D50="","",_xlfn.XLOOKUP(D50,Fassade!$F$10:$F$515,Fassade!$G$10:$G$515,"",0,1))</f>
        <v/>
      </c>
      <c r="F50" s="18"/>
      <c r="G50" s="18"/>
      <c r="H50" s="232"/>
      <c r="I50" s="232"/>
      <c r="J50" s="244"/>
      <c r="K50" s="232">
        <f t="shared" si="1"/>
        <v>0</v>
      </c>
      <c r="L50" s="232">
        <f t="shared" si="2"/>
        <v>0</v>
      </c>
      <c r="M50" s="187">
        <f t="shared" si="3"/>
        <v>0</v>
      </c>
      <c r="N50" s="364"/>
      <c r="O50" s="18">
        <f>IF(B50="",0,IF(AND(N50="Ja",_xlfn.TEXTBEFORE(Tabelle36[[#This Row],[Benennung]],"_")="Fenster"),H50*I50*J50,0))</f>
        <v>0</v>
      </c>
      <c r="P50" s="364"/>
      <c r="Q50" s="187"/>
      <c r="R50" s="1168" t="e">
        <f>IF(AND(_xlfn.TEXTBEFORE(Tabelle36[[#This Row],[Benennung]],"_")="Fenster",$M$12="Nein"),"Nein",IF(AND(_xlfn.TEXTBEFORE(Tabelle36[[#This Row],[Benennung]],"_")="Tür",$R$12="Nein"),"Nein",IF(Tabelle36[[#This Row],[Austausch gewünscht?]]="Ja","Ja",IF(Tabelle36[[#This Row],[Austausch gewünscht?]]="Nein","Nein",""))))</f>
        <v>#N/A</v>
      </c>
      <c r="S50" s="1168" t="e">
        <f>IF(AND(_xlfn.TEXTBEFORE(Tabelle36[[#This Row],[Benennung]],"_")="Fenster",$N$12="Nein"),"Nein",IF(AND(_xlfn.TEXTBEFORE(Tabelle36[[#This Row],[Benennung]],"_")="Tür",$S$12="Nein"),"Nein",IF(Tabelle36[[#This Row],[Austausch gewünscht?]]="Ja","Ja",IF(Tabelle36[[#This Row],[Austausch gewünscht?]]="Nein","Nein",""))))</f>
        <v>#N/A</v>
      </c>
      <c r="T50" s="989" t="e">
        <f>IF(AND(_xlfn.TEXTBEFORE(Tabelle36[[#This Row],[Benennung]],"_")="Fenster",$O$12="Nein"),"Nein",IF(AND(_xlfn.TEXTBEFORE(Tabelle36[[#This Row],[Benennung]],"_")="Tür",$T$12="Nein"),"Nein",IF(Tabelle36[[#This Row],[Austausch gewünscht?]]="Ja","Ja",IF(Tabelle36[[#This Row],[Austausch gewünscht?]]="Nein","Nein",""))))</f>
        <v>#N/A</v>
      </c>
    </row>
    <row r="51" spans="1:20">
      <c r="A51" s="219"/>
      <c r="B51" s="364"/>
      <c r="C51" s="208"/>
      <c r="D51" s="18"/>
      <c r="E51" s="18" t="str">
        <f>IF(D51="","",_xlfn.XLOOKUP(D51,Fassade!$F$10:$F$515,Fassade!$G$10:$G$515,"",0,1))</f>
        <v/>
      </c>
      <c r="F51" s="18"/>
      <c r="G51" s="18"/>
      <c r="H51" s="232"/>
      <c r="I51" s="232"/>
      <c r="J51" s="244"/>
      <c r="K51" s="232">
        <f t="shared" si="1"/>
        <v>0</v>
      </c>
      <c r="L51" s="232">
        <f t="shared" si="2"/>
        <v>0</v>
      </c>
      <c r="M51" s="187">
        <f t="shared" si="3"/>
        <v>0</v>
      </c>
      <c r="N51" s="364"/>
      <c r="O51" s="18">
        <f>IF(B51="",0,IF(AND(N51="Ja",_xlfn.TEXTBEFORE(Tabelle36[[#This Row],[Benennung]],"_")="Fenster"),H51*I51*J51,0))</f>
        <v>0</v>
      </c>
      <c r="P51" s="364"/>
      <c r="Q51" s="187"/>
      <c r="R51" s="1168" t="e">
        <f>IF(AND(_xlfn.TEXTBEFORE(Tabelle36[[#This Row],[Benennung]],"_")="Fenster",$M$12="Nein"),"Nein",IF(AND(_xlfn.TEXTBEFORE(Tabelle36[[#This Row],[Benennung]],"_")="Tür",$R$12="Nein"),"Nein",IF(Tabelle36[[#This Row],[Austausch gewünscht?]]="Ja","Ja",IF(Tabelle36[[#This Row],[Austausch gewünscht?]]="Nein","Nein",""))))</f>
        <v>#N/A</v>
      </c>
      <c r="S51" s="1168" t="e">
        <f>IF(AND(_xlfn.TEXTBEFORE(Tabelle36[[#This Row],[Benennung]],"_")="Fenster",$N$12="Nein"),"Nein",IF(AND(_xlfn.TEXTBEFORE(Tabelle36[[#This Row],[Benennung]],"_")="Tür",$S$12="Nein"),"Nein",IF(Tabelle36[[#This Row],[Austausch gewünscht?]]="Ja","Ja",IF(Tabelle36[[#This Row],[Austausch gewünscht?]]="Nein","Nein",""))))</f>
        <v>#N/A</v>
      </c>
      <c r="T51" s="989" t="e">
        <f>IF(AND(_xlfn.TEXTBEFORE(Tabelle36[[#This Row],[Benennung]],"_")="Fenster",$O$12="Nein"),"Nein",IF(AND(_xlfn.TEXTBEFORE(Tabelle36[[#This Row],[Benennung]],"_")="Tür",$T$12="Nein"),"Nein",IF(Tabelle36[[#This Row],[Austausch gewünscht?]]="Ja","Ja",IF(Tabelle36[[#This Row],[Austausch gewünscht?]]="Nein","Nein",""))))</f>
        <v>#N/A</v>
      </c>
    </row>
    <row r="52" spans="1:20">
      <c r="A52" s="219"/>
      <c r="B52" s="364"/>
      <c r="C52" s="208"/>
      <c r="D52" s="18"/>
      <c r="E52" s="18" t="str">
        <f>IF(D52="","",_xlfn.XLOOKUP(D52,Fassade!$F$10:$F$515,Fassade!$G$10:$G$515,"",0,1))</f>
        <v/>
      </c>
      <c r="F52" s="18"/>
      <c r="G52" s="18"/>
      <c r="H52" s="232"/>
      <c r="I52" s="232"/>
      <c r="J52" s="244"/>
      <c r="K52" s="232">
        <f t="shared" si="1"/>
        <v>0</v>
      </c>
      <c r="L52" s="232">
        <f t="shared" si="2"/>
        <v>0</v>
      </c>
      <c r="M52" s="187">
        <f t="shared" si="3"/>
        <v>0</v>
      </c>
      <c r="N52" s="364"/>
      <c r="O52" s="18">
        <f>IF(B52="",0,IF(AND(N52="Ja",_xlfn.TEXTBEFORE(Tabelle36[[#This Row],[Benennung]],"_")="Fenster"),H52*I52*J52,0))</f>
        <v>0</v>
      </c>
      <c r="P52" s="364"/>
      <c r="Q52" s="187"/>
      <c r="R52" s="1168" t="e">
        <f>IF(AND(_xlfn.TEXTBEFORE(Tabelle36[[#This Row],[Benennung]],"_")="Fenster",$M$12="Nein"),"Nein",IF(AND(_xlfn.TEXTBEFORE(Tabelle36[[#This Row],[Benennung]],"_")="Tür",$R$12="Nein"),"Nein",IF(Tabelle36[[#This Row],[Austausch gewünscht?]]="Ja","Ja",IF(Tabelle36[[#This Row],[Austausch gewünscht?]]="Nein","Nein",""))))</f>
        <v>#N/A</v>
      </c>
      <c r="S52" s="1168" t="e">
        <f>IF(AND(_xlfn.TEXTBEFORE(Tabelle36[[#This Row],[Benennung]],"_")="Fenster",$N$12="Nein"),"Nein",IF(AND(_xlfn.TEXTBEFORE(Tabelle36[[#This Row],[Benennung]],"_")="Tür",$S$12="Nein"),"Nein",IF(Tabelle36[[#This Row],[Austausch gewünscht?]]="Ja","Ja",IF(Tabelle36[[#This Row],[Austausch gewünscht?]]="Nein","Nein",""))))</f>
        <v>#N/A</v>
      </c>
      <c r="T52" s="989" t="e">
        <f>IF(AND(_xlfn.TEXTBEFORE(Tabelle36[[#This Row],[Benennung]],"_")="Fenster",$O$12="Nein"),"Nein",IF(AND(_xlfn.TEXTBEFORE(Tabelle36[[#This Row],[Benennung]],"_")="Tür",$T$12="Nein"),"Nein",IF(Tabelle36[[#This Row],[Austausch gewünscht?]]="Ja","Ja",IF(Tabelle36[[#This Row],[Austausch gewünscht?]]="Nein","Nein",""))))</f>
        <v>#N/A</v>
      </c>
    </row>
    <row r="53" spans="1:20">
      <c r="A53" s="219"/>
      <c r="B53" s="364"/>
      <c r="C53" s="208"/>
      <c r="D53" s="18"/>
      <c r="E53" s="18" t="str">
        <f>IF(D53="","",_xlfn.XLOOKUP(D53,Fassade!$F$10:$F$515,Fassade!$G$10:$G$515,"",0,1))</f>
        <v/>
      </c>
      <c r="F53" s="18"/>
      <c r="G53" s="18"/>
      <c r="H53" s="232"/>
      <c r="I53" s="232"/>
      <c r="J53" s="244"/>
      <c r="K53" s="232">
        <f t="shared" si="1"/>
        <v>0</v>
      </c>
      <c r="L53" s="232">
        <f t="shared" si="2"/>
        <v>0</v>
      </c>
      <c r="M53" s="187">
        <f t="shared" si="3"/>
        <v>0</v>
      </c>
      <c r="N53" s="364"/>
      <c r="O53" s="18">
        <f>IF(B53="",0,IF(AND(N53="Ja",_xlfn.TEXTBEFORE(Tabelle36[[#This Row],[Benennung]],"_")="Fenster"),H53*I53*J53,0))</f>
        <v>0</v>
      </c>
      <c r="P53" s="364"/>
      <c r="Q53" s="187"/>
      <c r="R53" s="1168" t="e">
        <f>IF(AND(_xlfn.TEXTBEFORE(Tabelle36[[#This Row],[Benennung]],"_")="Fenster",$M$12="Nein"),"Nein",IF(AND(_xlfn.TEXTBEFORE(Tabelle36[[#This Row],[Benennung]],"_")="Tür",$R$12="Nein"),"Nein",IF(Tabelle36[[#This Row],[Austausch gewünscht?]]="Ja","Ja",IF(Tabelle36[[#This Row],[Austausch gewünscht?]]="Nein","Nein",""))))</f>
        <v>#N/A</v>
      </c>
      <c r="S53" s="1168" t="e">
        <f>IF(AND(_xlfn.TEXTBEFORE(Tabelle36[[#This Row],[Benennung]],"_")="Fenster",$N$12="Nein"),"Nein",IF(AND(_xlfn.TEXTBEFORE(Tabelle36[[#This Row],[Benennung]],"_")="Tür",$S$12="Nein"),"Nein",IF(Tabelle36[[#This Row],[Austausch gewünscht?]]="Ja","Ja",IF(Tabelle36[[#This Row],[Austausch gewünscht?]]="Nein","Nein",""))))</f>
        <v>#N/A</v>
      </c>
      <c r="T53" s="989" t="e">
        <f>IF(AND(_xlfn.TEXTBEFORE(Tabelle36[[#This Row],[Benennung]],"_")="Fenster",$O$12="Nein"),"Nein",IF(AND(_xlfn.TEXTBEFORE(Tabelle36[[#This Row],[Benennung]],"_")="Tür",$T$12="Nein"),"Nein",IF(Tabelle36[[#This Row],[Austausch gewünscht?]]="Ja","Ja",IF(Tabelle36[[#This Row],[Austausch gewünscht?]]="Nein","Nein",""))))</f>
        <v>#N/A</v>
      </c>
    </row>
    <row r="54" spans="1:20">
      <c r="A54" s="219"/>
      <c r="B54" s="364"/>
      <c r="C54" s="208"/>
      <c r="D54" s="18"/>
      <c r="E54" s="18" t="str">
        <f>IF(D54="","",_xlfn.XLOOKUP(D54,Fassade!$F$10:$F$515,Fassade!$G$10:$G$515,"",0,1))</f>
        <v/>
      </c>
      <c r="F54" s="18"/>
      <c r="G54" s="18"/>
      <c r="H54" s="232"/>
      <c r="I54" s="232"/>
      <c r="J54" s="244"/>
      <c r="K54" s="232">
        <f t="shared" si="1"/>
        <v>0</v>
      </c>
      <c r="L54" s="232">
        <f t="shared" si="2"/>
        <v>0</v>
      </c>
      <c r="M54" s="187">
        <f t="shared" si="3"/>
        <v>0</v>
      </c>
      <c r="N54" s="364"/>
      <c r="O54" s="18">
        <f>IF(B54="",0,IF(AND(N54="Ja",_xlfn.TEXTBEFORE(Tabelle36[[#This Row],[Benennung]],"_")="Fenster"),H54*I54*J54,0))</f>
        <v>0</v>
      </c>
      <c r="P54" s="364"/>
      <c r="Q54" s="187"/>
      <c r="R54" s="1168" t="e">
        <f>IF(AND(_xlfn.TEXTBEFORE(Tabelle36[[#This Row],[Benennung]],"_")="Fenster",$M$12="Nein"),"Nein",IF(AND(_xlfn.TEXTBEFORE(Tabelle36[[#This Row],[Benennung]],"_")="Tür",$R$12="Nein"),"Nein",IF(Tabelle36[[#This Row],[Austausch gewünscht?]]="Ja","Ja",IF(Tabelle36[[#This Row],[Austausch gewünscht?]]="Nein","Nein",""))))</f>
        <v>#N/A</v>
      </c>
      <c r="S54" s="1168" t="e">
        <f>IF(AND(_xlfn.TEXTBEFORE(Tabelle36[[#This Row],[Benennung]],"_")="Fenster",$N$12="Nein"),"Nein",IF(AND(_xlfn.TEXTBEFORE(Tabelle36[[#This Row],[Benennung]],"_")="Tür",$S$12="Nein"),"Nein",IF(Tabelle36[[#This Row],[Austausch gewünscht?]]="Ja","Ja",IF(Tabelle36[[#This Row],[Austausch gewünscht?]]="Nein","Nein",""))))</f>
        <v>#N/A</v>
      </c>
      <c r="T54" s="989" t="e">
        <f>IF(AND(_xlfn.TEXTBEFORE(Tabelle36[[#This Row],[Benennung]],"_")="Fenster",$O$12="Nein"),"Nein",IF(AND(_xlfn.TEXTBEFORE(Tabelle36[[#This Row],[Benennung]],"_")="Tür",$T$12="Nein"),"Nein",IF(Tabelle36[[#This Row],[Austausch gewünscht?]]="Ja","Ja",IF(Tabelle36[[#This Row],[Austausch gewünscht?]]="Nein","Nein",""))))</f>
        <v>#N/A</v>
      </c>
    </row>
    <row r="55" spans="1:20">
      <c r="A55" s="219"/>
      <c r="B55" s="364"/>
      <c r="C55" s="208"/>
      <c r="D55" s="18"/>
      <c r="E55" s="18" t="str">
        <f>IF(D55="","",_xlfn.XLOOKUP(D55,Fassade!$F$10:$F$515,Fassade!$G$10:$G$515,"",0,1))</f>
        <v/>
      </c>
      <c r="F55" s="18"/>
      <c r="G55" s="18"/>
      <c r="H55" s="232"/>
      <c r="I55" s="232"/>
      <c r="J55" s="244"/>
      <c r="K55" s="232">
        <f t="shared" si="1"/>
        <v>0</v>
      </c>
      <c r="L55" s="232">
        <f t="shared" si="2"/>
        <v>0</v>
      </c>
      <c r="M55" s="187">
        <f t="shared" si="3"/>
        <v>0</v>
      </c>
      <c r="N55" s="364"/>
      <c r="O55" s="18">
        <f>IF(B55="",0,IF(AND(N55="Ja",_xlfn.TEXTBEFORE(Tabelle36[[#This Row],[Benennung]],"_")="Fenster"),H55*I55*J55,0))</f>
        <v>0</v>
      </c>
      <c r="P55" s="364"/>
      <c r="Q55" s="187"/>
      <c r="R55" s="1168" t="e">
        <f>IF(AND(_xlfn.TEXTBEFORE(Tabelle36[[#This Row],[Benennung]],"_")="Fenster",$M$12="Nein"),"Nein",IF(AND(_xlfn.TEXTBEFORE(Tabelle36[[#This Row],[Benennung]],"_")="Tür",$R$12="Nein"),"Nein",IF(Tabelle36[[#This Row],[Austausch gewünscht?]]="Ja","Ja",IF(Tabelle36[[#This Row],[Austausch gewünscht?]]="Nein","Nein",""))))</f>
        <v>#N/A</v>
      </c>
      <c r="S55" s="1168" t="e">
        <f>IF(AND(_xlfn.TEXTBEFORE(Tabelle36[[#This Row],[Benennung]],"_")="Fenster",$N$12="Nein"),"Nein",IF(AND(_xlfn.TEXTBEFORE(Tabelle36[[#This Row],[Benennung]],"_")="Tür",$S$12="Nein"),"Nein",IF(Tabelle36[[#This Row],[Austausch gewünscht?]]="Ja","Ja",IF(Tabelle36[[#This Row],[Austausch gewünscht?]]="Nein","Nein",""))))</f>
        <v>#N/A</v>
      </c>
      <c r="T55" s="989" t="e">
        <f>IF(AND(_xlfn.TEXTBEFORE(Tabelle36[[#This Row],[Benennung]],"_")="Fenster",$O$12="Nein"),"Nein",IF(AND(_xlfn.TEXTBEFORE(Tabelle36[[#This Row],[Benennung]],"_")="Tür",$T$12="Nein"),"Nein",IF(Tabelle36[[#This Row],[Austausch gewünscht?]]="Ja","Ja",IF(Tabelle36[[#This Row],[Austausch gewünscht?]]="Nein","Nein",""))))</f>
        <v>#N/A</v>
      </c>
    </row>
    <row r="56" spans="1:20">
      <c r="A56" s="219"/>
      <c r="B56" s="364"/>
      <c r="C56" s="208"/>
      <c r="D56" s="18"/>
      <c r="E56" s="18" t="str">
        <f>IF(D56="","",_xlfn.XLOOKUP(D56,Fassade!$F$10:$F$515,Fassade!$G$10:$G$515,"",0,1))</f>
        <v/>
      </c>
      <c r="F56" s="18"/>
      <c r="G56" s="18"/>
      <c r="H56" s="232"/>
      <c r="I56" s="232"/>
      <c r="J56" s="244"/>
      <c r="K56" s="232">
        <f t="shared" si="1"/>
        <v>0</v>
      </c>
      <c r="L56" s="232">
        <f t="shared" si="2"/>
        <v>0</v>
      </c>
      <c r="M56" s="187">
        <f t="shared" si="3"/>
        <v>0</v>
      </c>
      <c r="N56" s="364"/>
      <c r="O56" s="18">
        <f>IF(B56="",0,IF(AND(N56="Ja",_xlfn.TEXTBEFORE(Tabelle36[[#This Row],[Benennung]],"_")="Fenster"),H56*I56*J56,0))</f>
        <v>0</v>
      </c>
      <c r="P56" s="364"/>
      <c r="Q56" s="187"/>
      <c r="R56" s="1168" t="e">
        <f>IF(AND(_xlfn.TEXTBEFORE(Tabelle36[[#This Row],[Benennung]],"_")="Fenster",$M$12="Nein"),"Nein",IF(AND(_xlfn.TEXTBEFORE(Tabelle36[[#This Row],[Benennung]],"_")="Tür",$R$12="Nein"),"Nein",IF(Tabelle36[[#This Row],[Austausch gewünscht?]]="Ja","Ja",IF(Tabelle36[[#This Row],[Austausch gewünscht?]]="Nein","Nein",""))))</f>
        <v>#N/A</v>
      </c>
      <c r="S56" s="1168" t="e">
        <f>IF(AND(_xlfn.TEXTBEFORE(Tabelle36[[#This Row],[Benennung]],"_")="Fenster",$N$12="Nein"),"Nein",IF(AND(_xlfn.TEXTBEFORE(Tabelle36[[#This Row],[Benennung]],"_")="Tür",$S$12="Nein"),"Nein",IF(Tabelle36[[#This Row],[Austausch gewünscht?]]="Ja","Ja",IF(Tabelle36[[#This Row],[Austausch gewünscht?]]="Nein","Nein",""))))</f>
        <v>#N/A</v>
      </c>
      <c r="T56" s="989" t="e">
        <f>IF(AND(_xlfn.TEXTBEFORE(Tabelle36[[#This Row],[Benennung]],"_")="Fenster",$O$12="Nein"),"Nein",IF(AND(_xlfn.TEXTBEFORE(Tabelle36[[#This Row],[Benennung]],"_")="Tür",$T$12="Nein"),"Nein",IF(Tabelle36[[#This Row],[Austausch gewünscht?]]="Ja","Ja",IF(Tabelle36[[#This Row],[Austausch gewünscht?]]="Nein","Nein",""))))</f>
        <v>#N/A</v>
      </c>
    </row>
    <row r="57" spans="1:20">
      <c r="A57" s="219"/>
      <c r="B57" s="364"/>
      <c r="C57" s="208"/>
      <c r="D57" s="18"/>
      <c r="E57" s="18" t="str">
        <f>IF(D57="","",_xlfn.XLOOKUP(D57,Fassade!$F$10:$F$515,Fassade!$G$10:$G$515,"",0,1))</f>
        <v/>
      </c>
      <c r="F57" s="18"/>
      <c r="G57" s="18"/>
      <c r="H57" s="232"/>
      <c r="I57" s="232"/>
      <c r="J57" s="244"/>
      <c r="K57" s="232">
        <f t="shared" si="1"/>
        <v>0</v>
      </c>
      <c r="L57" s="232">
        <f t="shared" si="2"/>
        <v>0</v>
      </c>
      <c r="M57" s="187">
        <f t="shared" si="3"/>
        <v>0</v>
      </c>
      <c r="N57" s="364"/>
      <c r="O57" s="18">
        <f>IF(B57="",0,IF(AND(N57="Ja",_xlfn.TEXTBEFORE(Tabelle36[[#This Row],[Benennung]],"_")="Fenster"),H57*I57*J57,0))</f>
        <v>0</v>
      </c>
      <c r="P57" s="364"/>
      <c r="Q57" s="187"/>
      <c r="R57" s="1168" t="e">
        <f>IF(AND(_xlfn.TEXTBEFORE(Tabelle36[[#This Row],[Benennung]],"_")="Fenster",$M$12="Nein"),"Nein",IF(AND(_xlfn.TEXTBEFORE(Tabelle36[[#This Row],[Benennung]],"_")="Tür",$R$12="Nein"),"Nein",IF(Tabelle36[[#This Row],[Austausch gewünscht?]]="Ja","Ja",IF(Tabelle36[[#This Row],[Austausch gewünscht?]]="Nein","Nein",""))))</f>
        <v>#N/A</v>
      </c>
      <c r="S57" s="1168" t="e">
        <f>IF(AND(_xlfn.TEXTBEFORE(Tabelle36[[#This Row],[Benennung]],"_")="Fenster",$N$12="Nein"),"Nein",IF(AND(_xlfn.TEXTBEFORE(Tabelle36[[#This Row],[Benennung]],"_")="Tür",$S$12="Nein"),"Nein",IF(Tabelle36[[#This Row],[Austausch gewünscht?]]="Ja","Ja",IF(Tabelle36[[#This Row],[Austausch gewünscht?]]="Nein","Nein",""))))</f>
        <v>#N/A</v>
      </c>
      <c r="T57" s="989" t="e">
        <f>IF(AND(_xlfn.TEXTBEFORE(Tabelle36[[#This Row],[Benennung]],"_")="Fenster",$O$12="Nein"),"Nein",IF(AND(_xlfn.TEXTBEFORE(Tabelle36[[#This Row],[Benennung]],"_")="Tür",$T$12="Nein"),"Nein",IF(Tabelle36[[#This Row],[Austausch gewünscht?]]="Ja","Ja",IF(Tabelle36[[#This Row],[Austausch gewünscht?]]="Nein","Nein",""))))</f>
        <v>#N/A</v>
      </c>
    </row>
    <row r="58" spans="1:20">
      <c r="A58" s="219"/>
      <c r="B58" s="364"/>
      <c r="C58" s="208"/>
      <c r="D58" s="18"/>
      <c r="E58" s="18" t="str">
        <f>IF(D58="","",_xlfn.XLOOKUP(D58,Fassade!$F$10:$F$515,Fassade!$G$10:$G$515,"",0,1))</f>
        <v/>
      </c>
      <c r="F58" s="18"/>
      <c r="G58" s="18"/>
      <c r="H58" s="232"/>
      <c r="I58" s="232"/>
      <c r="J58" s="244"/>
      <c r="K58" s="232">
        <f t="shared" si="1"/>
        <v>0</v>
      </c>
      <c r="L58" s="232">
        <f t="shared" si="2"/>
        <v>0</v>
      </c>
      <c r="M58" s="187">
        <f t="shared" si="3"/>
        <v>0</v>
      </c>
      <c r="N58" s="364"/>
      <c r="O58" s="18">
        <f>IF(B58="",0,IF(AND(N58="Ja",_xlfn.TEXTBEFORE(Tabelle36[[#This Row],[Benennung]],"_")="Fenster"),H58*I58*J58,0))</f>
        <v>0</v>
      </c>
      <c r="P58" s="364"/>
      <c r="Q58" s="187"/>
      <c r="R58" s="1168" t="e">
        <f>IF(AND(_xlfn.TEXTBEFORE(Tabelle36[[#This Row],[Benennung]],"_")="Fenster",$M$12="Nein"),"Nein",IF(AND(_xlfn.TEXTBEFORE(Tabelle36[[#This Row],[Benennung]],"_")="Tür",$R$12="Nein"),"Nein",IF(Tabelle36[[#This Row],[Austausch gewünscht?]]="Ja","Ja",IF(Tabelle36[[#This Row],[Austausch gewünscht?]]="Nein","Nein",""))))</f>
        <v>#N/A</v>
      </c>
      <c r="S58" s="1168" t="e">
        <f>IF(AND(_xlfn.TEXTBEFORE(Tabelle36[[#This Row],[Benennung]],"_")="Fenster",$N$12="Nein"),"Nein",IF(AND(_xlfn.TEXTBEFORE(Tabelle36[[#This Row],[Benennung]],"_")="Tür",$S$12="Nein"),"Nein",IF(Tabelle36[[#This Row],[Austausch gewünscht?]]="Ja","Ja",IF(Tabelle36[[#This Row],[Austausch gewünscht?]]="Nein","Nein",""))))</f>
        <v>#N/A</v>
      </c>
      <c r="T58" s="989" t="e">
        <f>IF(AND(_xlfn.TEXTBEFORE(Tabelle36[[#This Row],[Benennung]],"_")="Fenster",$O$12="Nein"),"Nein",IF(AND(_xlfn.TEXTBEFORE(Tabelle36[[#This Row],[Benennung]],"_")="Tür",$T$12="Nein"),"Nein",IF(Tabelle36[[#This Row],[Austausch gewünscht?]]="Ja","Ja",IF(Tabelle36[[#This Row],[Austausch gewünscht?]]="Nein","Nein",""))))</f>
        <v>#N/A</v>
      </c>
    </row>
    <row r="59" spans="1:20">
      <c r="A59" s="219"/>
      <c r="B59" s="364"/>
      <c r="C59" s="208"/>
      <c r="D59" s="18"/>
      <c r="E59" s="18" t="str">
        <f>IF(D59="","",_xlfn.XLOOKUP(D59,Fassade!$F$10:$F$515,Fassade!$G$10:$G$515,"",0,1))</f>
        <v/>
      </c>
      <c r="F59" s="18"/>
      <c r="G59" s="18"/>
      <c r="H59" s="232"/>
      <c r="I59" s="232"/>
      <c r="J59" s="244"/>
      <c r="K59" s="232">
        <f t="shared" si="1"/>
        <v>0</v>
      </c>
      <c r="L59" s="232">
        <f t="shared" si="2"/>
        <v>0</v>
      </c>
      <c r="M59" s="187">
        <f t="shared" si="3"/>
        <v>0</v>
      </c>
      <c r="N59" s="364"/>
      <c r="O59" s="18">
        <f>IF(B59="",0,IF(AND(N59="Ja",_xlfn.TEXTBEFORE(Tabelle36[[#This Row],[Benennung]],"_")="Fenster"),H59*I59*J59,0))</f>
        <v>0</v>
      </c>
      <c r="P59" s="364"/>
      <c r="Q59" s="187"/>
      <c r="R59" s="1168" t="e">
        <f>IF(AND(_xlfn.TEXTBEFORE(Tabelle36[[#This Row],[Benennung]],"_")="Fenster",$M$12="Nein"),"Nein",IF(AND(_xlfn.TEXTBEFORE(Tabelle36[[#This Row],[Benennung]],"_")="Tür",$R$12="Nein"),"Nein",IF(Tabelle36[[#This Row],[Austausch gewünscht?]]="Ja","Ja",IF(Tabelle36[[#This Row],[Austausch gewünscht?]]="Nein","Nein",""))))</f>
        <v>#N/A</v>
      </c>
      <c r="S59" s="1168" t="e">
        <f>IF(AND(_xlfn.TEXTBEFORE(Tabelle36[[#This Row],[Benennung]],"_")="Fenster",$N$12="Nein"),"Nein",IF(AND(_xlfn.TEXTBEFORE(Tabelle36[[#This Row],[Benennung]],"_")="Tür",$S$12="Nein"),"Nein",IF(Tabelle36[[#This Row],[Austausch gewünscht?]]="Ja","Ja",IF(Tabelle36[[#This Row],[Austausch gewünscht?]]="Nein","Nein",""))))</f>
        <v>#N/A</v>
      </c>
      <c r="T59" s="989" t="e">
        <f>IF(AND(_xlfn.TEXTBEFORE(Tabelle36[[#This Row],[Benennung]],"_")="Fenster",$O$12="Nein"),"Nein",IF(AND(_xlfn.TEXTBEFORE(Tabelle36[[#This Row],[Benennung]],"_")="Tür",$T$12="Nein"),"Nein",IF(Tabelle36[[#This Row],[Austausch gewünscht?]]="Ja","Ja",IF(Tabelle36[[#This Row],[Austausch gewünscht?]]="Nein","Nein",""))))</f>
        <v>#N/A</v>
      </c>
    </row>
    <row r="60" spans="1:20">
      <c r="A60" s="219"/>
      <c r="B60" s="364"/>
      <c r="C60" s="208"/>
      <c r="D60" s="18"/>
      <c r="E60" s="18" t="str">
        <f>IF(D60="","",_xlfn.XLOOKUP(D60,Fassade!$F$10:$F$515,Fassade!$G$10:$G$515,"",0,1))</f>
        <v/>
      </c>
      <c r="F60" s="18"/>
      <c r="G60" s="18"/>
      <c r="H60" s="232"/>
      <c r="I60" s="232"/>
      <c r="J60" s="244"/>
      <c r="K60" s="232">
        <f t="shared" si="1"/>
        <v>0</v>
      </c>
      <c r="L60" s="232">
        <f t="shared" si="2"/>
        <v>0</v>
      </c>
      <c r="M60" s="187">
        <f t="shared" si="3"/>
        <v>0</v>
      </c>
      <c r="N60" s="364"/>
      <c r="O60" s="18">
        <f>IF(B60="",0,IF(AND(N60="Ja",_xlfn.TEXTBEFORE(Tabelle36[[#This Row],[Benennung]],"_")="Fenster"),H60*I60*J60,0))</f>
        <v>0</v>
      </c>
      <c r="P60" s="364"/>
      <c r="Q60" s="187"/>
      <c r="R60" s="1168" t="e">
        <f>IF(AND(_xlfn.TEXTBEFORE(Tabelle36[[#This Row],[Benennung]],"_")="Fenster",$M$12="Nein"),"Nein",IF(AND(_xlfn.TEXTBEFORE(Tabelle36[[#This Row],[Benennung]],"_")="Tür",$R$12="Nein"),"Nein",IF(Tabelle36[[#This Row],[Austausch gewünscht?]]="Ja","Ja",IF(Tabelle36[[#This Row],[Austausch gewünscht?]]="Nein","Nein",""))))</f>
        <v>#N/A</v>
      </c>
      <c r="S60" s="1168" t="e">
        <f>IF(AND(_xlfn.TEXTBEFORE(Tabelle36[[#This Row],[Benennung]],"_")="Fenster",$N$12="Nein"),"Nein",IF(AND(_xlfn.TEXTBEFORE(Tabelle36[[#This Row],[Benennung]],"_")="Tür",$S$12="Nein"),"Nein",IF(Tabelle36[[#This Row],[Austausch gewünscht?]]="Ja","Ja",IF(Tabelle36[[#This Row],[Austausch gewünscht?]]="Nein","Nein",""))))</f>
        <v>#N/A</v>
      </c>
      <c r="T60" s="989" t="e">
        <f>IF(AND(_xlfn.TEXTBEFORE(Tabelle36[[#This Row],[Benennung]],"_")="Fenster",$O$12="Nein"),"Nein",IF(AND(_xlfn.TEXTBEFORE(Tabelle36[[#This Row],[Benennung]],"_")="Tür",$T$12="Nein"),"Nein",IF(Tabelle36[[#This Row],[Austausch gewünscht?]]="Ja","Ja",IF(Tabelle36[[#This Row],[Austausch gewünscht?]]="Nein","Nein",""))))</f>
        <v>#N/A</v>
      </c>
    </row>
    <row r="61" spans="1:20">
      <c r="A61" s="219"/>
      <c r="B61" s="364"/>
      <c r="C61" s="208"/>
      <c r="D61" s="18"/>
      <c r="E61" s="18" t="str">
        <f>IF(D61="","",_xlfn.XLOOKUP(D61,Fassade!$F$10:$F$515,Fassade!$G$10:$G$515,"",0,1))</f>
        <v/>
      </c>
      <c r="F61" s="18"/>
      <c r="G61" s="18"/>
      <c r="H61" s="232"/>
      <c r="I61" s="232"/>
      <c r="J61" s="244"/>
      <c r="K61" s="232">
        <f t="shared" si="1"/>
        <v>0</v>
      </c>
      <c r="L61" s="232">
        <f t="shared" si="2"/>
        <v>0</v>
      </c>
      <c r="M61" s="187">
        <f t="shared" si="3"/>
        <v>0</v>
      </c>
      <c r="N61" s="364"/>
      <c r="O61" s="18">
        <f>IF(B61="",0,IF(AND(N61="Ja",_xlfn.TEXTBEFORE(Tabelle36[[#This Row],[Benennung]],"_")="Fenster"),H61*I61*J61,0))</f>
        <v>0</v>
      </c>
      <c r="P61" s="364"/>
      <c r="Q61" s="187"/>
      <c r="R61" s="1168" t="e">
        <f>IF(AND(_xlfn.TEXTBEFORE(Tabelle36[[#This Row],[Benennung]],"_")="Fenster",$M$12="Nein"),"Nein",IF(AND(_xlfn.TEXTBEFORE(Tabelle36[[#This Row],[Benennung]],"_")="Tür",$R$12="Nein"),"Nein",IF(Tabelle36[[#This Row],[Austausch gewünscht?]]="Ja","Ja",IF(Tabelle36[[#This Row],[Austausch gewünscht?]]="Nein","Nein",""))))</f>
        <v>#N/A</v>
      </c>
      <c r="S61" s="1168" t="e">
        <f>IF(AND(_xlfn.TEXTBEFORE(Tabelle36[[#This Row],[Benennung]],"_")="Fenster",$N$12="Nein"),"Nein",IF(AND(_xlfn.TEXTBEFORE(Tabelle36[[#This Row],[Benennung]],"_")="Tür",$S$12="Nein"),"Nein",IF(Tabelle36[[#This Row],[Austausch gewünscht?]]="Ja","Ja",IF(Tabelle36[[#This Row],[Austausch gewünscht?]]="Nein","Nein",""))))</f>
        <v>#N/A</v>
      </c>
      <c r="T61" s="989" t="e">
        <f>IF(AND(_xlfn.TEXTBEFORE(Tabelle36[[#This Row],[Benennung]],"_")="Fenster",$O$12="Nein"),"Nein",IF(AND(_xlfn.TEXTBEFORE(Tabelle36[[#This Row],[Benennung]],"_")="Tür",$T$12="Nein"),"Nein",IF(Tabelle36[[#This Row],[Austausch gewünscht?]]="Ja","Ja",IF(Tabelle36[[#This Row],[Austausch gewünscht?]]="Nein","Nein",""))))</f>
        <v>#N/A</v>
      </c>
    </row>
    <row r="62" spans="1:20">
      <c r="A62" s="219"/>
      <c r="B62" s="364"/>
      <c r="C62" s="208"/>
      <c r="D62" s="18"/>
      <c r="E62" s="18" t="str">
        <f>IF(D62="","",_xlfn.XLOOKUP(D62,Fassade!$F$10:$F$515,Fassade!$G$10:$G$515,"",0,1))</f>
        <v/>
      </c>
      <c r="F62" s="18"/>
      <c r="G62" s="18"/>
      <c r="H62" s="232"/>
      <c r="I62" s="232"/>
      <c r="J62" s="244"/>
      <c r="K62" s="232">
        <f t="shared" si="1"/>
        <v>0</v>
      </c>
      <c r="L62" s="232">
        <f t="shared" si="2"/>
        <v>0</v>
      </c>
      <c r="M62" s="187">
        <f t="shared" si="3"/>
        <v>0</v>
      </c>
      <c r="N62" s="364"/>
      <c r="O62" s="18">
        <f>IF(B62="",0,IF(AND(N62="Ja",_xlfn.TEXTBEFORE(Tabelle36[[#This Row],[Benennung]],"_")="Fenster"),H62*I62*J62,0))</f>
        <v>0</v>
      </c>
      <c r="P62" s="364"/>
      <c r="Q62" s="187"/>
      <c r="R62" s="1168" t="e">
        <f>IF(AND(_xlfn.TEXTBEFORE(Tabelle36[[#This Row],[Benennung]],"_")="Fenster",$M$12="Nein"),"Nein",IF(AND(_xlfn.TEXTBEFORE(Tabelle36[[#This Row],[Benennung]],"_")="Tür",$R$12="Nein"),"Nein",IF(Tabelle36[[#This Row],[Austausch gewünscht?]]="Ja","Ja",IF(Tabelle36[[#This Row],[Austausch gewünscht?]]="Nein","Nein",""))))</f>
        <v>#N/A</v>
      </c>
      <c r="S62" s="1168" t="e">
        <f>IF(AND(_xlfn.TEXTBEFORE(Tabelle36[[#This Row],[Benennung]],"_")="Fenster",$N$12="Nein"),"Nein",IF(AND(_xlfn.TEXTBEFORE(Tabelle36[[#This Row],[Benennung]],"_")="Tür",$S$12="Nein"),"Nein",IF(Tabelle36[[#This Row],[Austausch gewünscht?]]="Ja","Ja",IF(Tabelle36[[#This Row],[Austausch gewünscht?]]="Nein","Nein",""))))</f>
        <v>#N/A</v>
      </c>
      <c r="T62" s="989" t="e">
        <f>IF(AND(_xlfn.TEXTBEFORE(Tabelle36[[#This Row],[Benennung]],"_")="Fenster",$O$12="Nein"),"Nein",IF(AND(_xlfn.TEXTBEFORE(Tabelle36[[#This Row],[Benennung]],"_")="Tür",$T$12="Nein"),"Nein",IF(Tabelle36[[#This Row],[Austausch gewünscht?]]="Ja","Ja",IF(Tabelle36[[#This Row],[Austausch gewünscht?]]="Nein","Nein",""))))</f>
        <v>#N/A</v>
      </c>
    </row>
    <row r="63" spans="1:20">
      <c r="A63" s="219"/>
      <c r="B63" s="364"/>
      <c r="C63" s="208"/>
      <c r="D63" s="18"/>
      <c r="E63" s="18" t="str">
        <f>IF(D63="","",_xlfn.XLOOKUP(D63,Fassade!$F$10:$F$515,Fassade!$G$10:$G$515,"",0,1))</f>
        <v/>
      </c>
      <c r="F63" s="18"/>
      <c r="G63" s="18"/>
      <c r="H63" s="232"/>
      <c r="I63" s="232"/>
      <c r="J63" s="244"/>
      <c r="K63" s="232">
        <f t="shared" si="1"/>
        <v>0</v>
      </c>
      <c r="L63" s="232">
        <f t="shared" si="2"/>
        <v>0</v>
      </c>
      <c r="M63" s="187">
        <f t="shared" si="3"/>
        <v>0</v>
      </c>
      <c r="N63" s="364"/>
      <c r="O63" s="18">
        <f>IF(B63="",0,IF(AND(N63="Ja",_xlfn.TEXTBEFORE(Tabelle36[[#This Row],[Benennung]],"_")="Fenster"),H63*I63*J63,0))</f>
        <v>0</v>
      </c>
      <c r="P63" s="364"/>
      <c r="Q63" s="187"/>
      <c r="R63" s="1168" t="e">
        <f>IF(AND(_xlfn.TEXTBEFORE(Tabelle36[[#This Row],[Benennung]],"_")="Fenster",$M$12="Nein"),"Nein",IF(AND(_xlfn.TEXTBEFORE(Tabelle36[[#This Row],[Benennung]],"_")="Tür",$R$12="Nein"),"Nein",IF(Tabelle36[[#This Row],[Austausch gewünscht?]]="Ja","Ja",IF(Tabelle36[[#This Row],[Austausch gewünscht?]]="Nein","Nein",""))))</f>
        <v>#N/A</v>
      </c>
      <c r="S63" s="1168" t="e">
        <f>IF(AND(_xlfn.TEXTBEFORE(Tabelle36[[#This Row],[Benennung]],"_")="Fenster",$N$12="Nein"),"Nein",IF(AND(_xlfn.TEXTBEFORE(Tabelle36[[#This Row],[Benennung]],"_")="Tür",$S$12="Nein"),"Nein",IF(Tabelle36[[#This Row],[Austausch gewünscht?]]="Ja","Ja",IF(Tabelle36[[#This Row],[Austausch gewünscht?]]="Nein","Nein",""))))</f>
        <v>#N/A</v>
      </c>
      <c r="T63" s="989" t="e">
        <f>IF(AND(_xlfn.TEXTBEFORE(Tabelle36[[#This Row],[Benennung]],"_")="Fenster",$O$12="Nein"),"Nein",IF(AND(_xlfn.TEXTBEFORE(Tabelle36[[#This Row],[Benennung]],"_")="Tür",$T$12="Nein"),"Nein",IF(Tabelle36[[#This Row],[Austausch gewünscht?]]="Ja","Ja",IF(Tabelle36[[#This Row],[Austausch gewünscht?]]="Nein","Nein",""))))</f>
        <v>#N/A</v>
      </c>
    </row>
    <row r="64" spans="1:20">
      <c r="A64" s="219"/>
      <c r="B64" s="364"/>
      <c r="C64" s="208"/>
      <c r="D64" s="18"/>
      <c r="E64" s="18" t="str">
        <f>IF(D64="","",_xlfn.XLOOKUP(D64,Fassade!$F$10:$F$515,Fassade!$G$10:$G$515,"",0,1))</f>
        <v/>
      </c>
      <c r="F64" s="18"/>
      <c r="G64" s="18"/>
      <c r="H64" s="232"/>
      <c r="I64" s="232"/>
      <c r="J64" s="244"/>
      <c r="K64" s="232">
        <f t="shared" si="1"/>
        <v>0</v>
      </c>
      <c r="L64" s="232">
        <f t="shared" si="2"/>
        <v>0</v>
      </c>
      <c r="M64" s="187">
        <f t="shared" si="3"/>
        <v>0</v>
      </c>
      <c r="N64" s="364"/>
      <c r="O64" s="18">
        <f>IF(B64="",0,IF(AND(N64="Ja",_xlfn.TEXTBEFORE(Tabelle36[[#This Row],[Benennung]],"_")="Fenster"),H64*I64*J64,0))</f>
        <v>0</v>
      </c>
      <c r="P64" s="364"/>
      <c r="Q64" s="187"/>
      <c r="R64" s="1168" t="e">
        <f>IF(AND(_xlfn.TEXTBEFORE(Tabelle36[[#This Row],[Benennung]],"_")="Fenster",$M$12="Nein"),"Nein",IF(AND(_xlfn.TEXTBEFORE(Tabelle36[[#This Row],[Benennung]],"_")="Tür",$R$12="Nein"),"Nein",IF(Tabelle36[[#This Row],[Austausch gewünscht?]]="Ja","Ja",IF(Tabelle36[[#This Row],[Austausch gewünscht?]]="Nein","Nein",""))))</f>
        <v>#N/A</v>
      </c>
      <c r="S64" s="1168" t="e">
        <f>IF(AND(_xlfn.TEXTBEFORE(Tabelle36[[#This Row],[Benennung]],"_")="Fenster",$N$12="Nein"),"Nein",IF(AND(_xlfn.TEXTBEFORE(Tabelle36[[#This Row],[Benennung]],"_")="Tür",$S$12="Nein"),"Nein",IF(Tabelle36[[#This Row],[Austausch gewünscht?]]="Ja","Ja",IF(Tabelle36[[#This Row],[Austausch gewünscht?]]="Nein","Nein",""))))</f>
        <v>#N/A</v>
      </c>
      <c r="T64" s="989" t="e">
        <f>IF(AND(_xlfn.TEXTBEFORE(Tabelle36[[#This Row],[Benennung]],"_")="Fenster",$O$12="Nein"),"Nein",IF(AND(_xlfn.TEXTBEFORE(Tabelle36[[#This Row],[Benennung]],"_")="Tür",$T$12="Nein"),"Nein",IF(Tabelle36[[#This Row],[Austausch gewünscht?]]="Ja","Ja",IF(Tabelle36[[#This Row],[Austausch gewünscht?]]="Nein","Nein",""))))</f>
        <v>#N/A</v>
      </c>
    </row>
    <row r="65" spans="1:20">
      <c r="A65" s="219"/>
      <c r="B65" s="364"/>
      <c r="C65" s="208"/>
      <c r="D65" s="18"/>
      <c r="E65" s="18" t="str">
        <f>IF(D65="","",_xlfn.XLOOKUP(D65,Fassade!$F$10:$F$515,Fassade!$G$10:$G$515,"",0,1))</f>
        <v/>
      </c>
      <c r="F65" s="18"/>
      <c r="G65" s="18"/>
      <c r="H65" s="232"/>
      <c r="I65" s="232"/>
      <c r="J65" s="244"/>
      <c r="K65" s="232">
        <f t="shared" si="1"/>
        <v>0</v>
      </c>
      <c r="L65" s="232">
        <f t="shared" si="2"/>
        <v>0</v>
      </c>
      <c r="M65" s="187">
        <f t="shared" si="3"/>
        <v>0</v>
      </c>
      <c r="N65" s="364"/>
      <c r="O65" s="18">
        <f>IF(B65="",0,IF(AND(N65="Ja",_xlfn.TEXTBEFORE(Tabelle36[[#This Row],[Benennung]],"_")="Fenster"),H65*I65*J65,0))</f>
        <v>0</v>
      </c>
      <c r="P65" s="364"/>
      <c r="Q65" s="187"/>
      <c r="R65" s="1168" t="e">
        <f>IF(AND(_xlfn.TEXTBEFORE(Tabelle36[[#This Row],[Benennung]],"_")="Fenster",$M$12="Nein"),"Nein",IF(AND(_xlfn.TEXTBEFORE(Tabelle36[[#This Row],[Benennung]],"_")="Tür",$R$12="Nein"),"Nein",IF(Tabelle36[[#This Row],[Austausch gewünscht?]]="Ja","Ja",IF(Tabelle36[[#This Row],[Austausch gewünscht?]]="Nein","Nein",""))))</f>
        <v>#N/A</v>
      </c>
      <c r="S65" s="1168" t="e">
        <f>IF(AND(_xlfn.TEXTBEFORE(Tabelle36[[#This Row],[Benennung]],"_")="Fenster",$N$12="Nein"),"Nein",IF(AND(_xlfn.TEXTBEFORE(Tabelle36[[#This Row],[Benennung]],"_")="Tür",$S$12="Nein"),"Nein",IF(Tabelle36[[#This Row],[Austausch gewünscht?]]="Ja","Ja",IF(Tabelle36[[#This Row],[Austausch gewünscht?]]="Nein","Nein",""))))</f>
        <v>#N/A</v>
      </c>
      <c r="T65" s="989" t="e">
        <f>IF(AND(_xlfn.TEXTBEFORE(Tabelle36[[#This Row],[Benennung]],"_")="Fenster",$O$12="Nein"),"Nein",IF(AND(_xlfn.TEXTBEFORE(Tabelle36[[#This Row],[Benennung]],"_")="Tür",$T$12="Nein"),"Nein",IF(Tabelle36[[#This Row],[Austausch gewünscht?]]="Ja","Ja",IF(Tabelle36[[#This Row],[Austausch gewünscht?]]="Nein","Nein",""))))</f>
        <v>#N/A</v>
      </c>
    </row>
    <row r="66" spans="1:20">
      <c r="A66" s="219"/>
      <c r="B66" s="364"/>
      <c r="C66" s="208"/>
      <c r="D66" s="18"/>
      <c r="E66" s="18" t="str">
        <f>IF(D66="","",_xlfn.XLOOKUP(D66,Fassade!$F$10:$F$515,Fassade!$G$10:$G$515,"",0,1))</f>
        <v/>
      </c>
      <c r="F66" s="18"/>
      <c r="G66" s="18"/>
      <c r="H66" s="232"/>
      <c r="I66" s="232"/>
      <c r="J66" s="244"/>
      <c r="K66" s="232">
        <f t="shared" si="1"/>
        <v>0</v>
      </c>
      <c r="L66" s="232">
        <f t="shared" si="2"/>
        <v>0</v>
      </c>
      <c r="M66" s="187">
        <f t="shared" si="3"/>
        <v>0</v>
      </c>
      <c r="N66" s="364"/>
      <c r="O66" s="18">
        <f>IF(B66="",0,IF(AND(N66="Ja",_xlfn.TEXTBEFORE(Tabelle36[[#This Row],[Benennung]],"_")="Fenster"),H66*I66*J66,0))</f>
        <v>0</v>
      </c>
      <c r="P66" s="364"/>
      <c r="Q66" s="187"/>
      <c r="R66" s="1168" t="e">
        <f>IF(AND(_xlfn.TEXTBEFORE(Tabelle36[[#This Row],[Benennung]],"_")="Fenster",$M$12="Nein"),"Nein",IF(AND(_xlfn.TEXTBEFORE(Tabelle36[[#This Row],[Benennung]],"_")="Tür",$R$12="Nein"),"Nein",IF(Tabelle36[[#This Row],[Austausch gewünscht?]]="Ja","Ja",IF(Tabelle36[[#This Row],[Austausch gewünscht?]]="Nein","Nein",""))))</f>
        <v>#N/A</v>
      </c>
      <c r="S66" s="1168" t="e">
        <f>IF(AND(_xlfn.TEXTBEFORE(Tabelle36[[#This Row],[Benennung]],"_")="Fenster",$N$12="Nein"),"Nein",IF(AND(_xlfn.TEXTBEFORE(Tabelle36[[#This Row],[Benennung]],"_")="Tür",$S$12="Nein"),"Nein",IF(Tabelle36[[#This Row],[Austausch gewünscht?]]="Ja","Ja",IF(Tabelle36[[#This Row],[Austausch gewünscht?]]="Nein","Nein",""))))</f>
        <v>#N/A</v>
      </c>
      <c r="T66" s="989" t="e">
        <f>IF(AND(_xlfn.TEXTBEFORE(Tabelle36[[#This Row],[Benennung]],"_")="Fenster",$O$12="Nein"),"Nein",IF(AND(_xlfn.TEXTBEFORE(Tabelle36[[#This Row],[Benennung]],"_")="Tür",$T$12="Nein"),"Nein",IF(Tabelle36[[#This Row],[Austausch gewünscht?]]="Ja","Ja",IF(Tabelle36[[#This Row],[Austausch gewünscht?]]="Nein","Nein",""))))</f>
        <v>#N/A</v>
      </c>
    </row>
    <row r="67" spans="1:20">
      <c r="A67" s="219"/>
      <c r="B67" s="364"/>
      <c r="C67" s="208"/>
      <c r="D67" s="18"/>
      <c r="E67" s="18" t="str">
        <f>IF(D67="","",_xlfn.XLOOKUP(D67,Fassade!$F$10:$F$515,Fassade!$G$10:$G$515,"",0,1))</f>
        <v/>
      </c>
      <c r="F67" s="18"/>
      <c r="G67" s="18"/>
      <c r="H67" s="232"/>
      <c r="I67" s="232"/>
      <c r="J67" s="244"/>
      <c r="K67" s="232">
        <f t="shared" si="1"/>
        <v>0</v>
      </c>
      <c r="L67" s="232">
        <f t="shared" si="2"/>
        <v>0</v>
      </c>
      <c r="M67" s="187">
        <f t="shared" si="3"/>
        <v>0</v>
      </c>
      <c r="N67" s="364"/>
      <c r="O67" s="18">
        <f>IF(B67="",0,IF(AND(N67="Ja",_xlfn.TEXTBEFORE(Tabelle36[[#This Row],[Benennung]],"_")="Fenster"),H67*I67*J67,0))</f>
        <v>0</v>
      </c>
      <c r="P67" s="364"/>
      <c r="Q67" s="187"/>
      <c r="R67" s="1168" t="e">
        <f>IF(AND(_xlfn.TEXTBEFORE(Tabelle36[[#This Row],[Benennung]],"_")="Fenster",$M$12="Nein"),"Nein",IF(AND(_xlfn.TEXTBEFORE(Tabelle36[[#This Row],[Benennung]],"_")="Tür",$R$12="Nein"),"Nein",IF(Tabelle36[[#This Row],[Austausch gewünscht?]]="Ja","Ja",IF(Tabelle36[[#This Row],[Austausch gewünscht?]]="Nein","Nein",""))))</f>
        <v>#N/A</v>
      </c>
      <c r="S67" s="1168" t="e">
        <f>IF(AND(_xlfn.TEXTBEFORE(Tabelle36[[#This Row],[Benennung]],"_")="Fenster",$N$12="Nein"),"Nein",IF(AND(_xlfn.TEXTBEFORE(Tabelle36[[#This Row],[Benennung]],"_")="Tür",$S$12="Nein"),"Nein",IF(Tabelle36[[#This Row],[Austausch gewünscht?]]="Ja","Ja",IF(Tabelle36[[#This Row],[Austausch gewünscht?]]="Nein","Nein",""))))</f>
        <v>#N/A</v>
      </c>
      <c r="T67" s="989" t="e">
        <f>IF(AND(_xlfn.TEXTBEFORE(Tabelle36[[#This Row],[Benennung]],"_")="Fenster",$O$12="Nein"),"Nein",IF(AND(_xlfn.TEXTBEFORE(Tabelle36[[#This Row],[Benennung]],"_")="Tür",$T$12="Nein"),"Nein",IF(Tabelle36[[#This Row],[Austausch gewünscht?]]="Ja","Ja",IF(Tabelle36[[#This Row],[Austausch gewünscht?]]="Nein","Nein",""))))</f>
        <v>#N/A</v>
      </c>
    </row>
    <row r="68" spans="1:20">
      <c r="A68" s="219"/>
      <c r="B68" s="364"/>
      <c r="C68" s="208"/>
      <c r="D68" s="18"/>
      <c r="E68" s="18" t="str">
        <f>IF(D68="","",_xlfn.XLOOKUP(D68,Fassade!$F$10:$F$515,Fassade!$G$10:$G$515,"",0,1))</f>
        <v/>
      </c>
      <c r="F68" s="18"/>
      <c r="G68" s="18"/>
      <c r="H68" s="232"/>
      <c r="I68" s="232"/>
      <c r="J68" s="244"/>
      <c r="K68" s="232">
        <f t="shared" si="1"/>
        <v>0</v>
      </c>
      <c r="L68" s="232">
        <f t="shared" si="2"/>
        <v>0</v>
      </c>
      <c r="M68" s="187">
        <f t="shared" si="3"/>
        <v>0</v>
      </c>
      <c r="N68" s="364"/>
      <c r="O68" s="18">
        <f>IF(B68="",0,IF(AND(N68="Ja",_xlfn.TEXTBEFORE(Tabelle36[[#This Row],[Benennung]],"_")="Fenster"),H68*I68*J68,0))</f>
        <v>0</v>
      </c>
      <c r="P68" s="364"/>
      <c r="Q68" s="187"/>
      <c r="R68" s="1168" t="e">
        <f>IF(AND(_xlfn.TEXTBEFORE(Tabelle36[[#This Row],[Benennung]],"_")="Fenster",$M$12="Nein"),"Nein",IF(AND(_xlfn.TEXTBEFORE(Tabelle36[[#This Row],[Benennung]],"_")="Tür",$R$12="Nein"),"Nein",IF(Tabelle36[[#This Row],[Austausch gewünscht?]]="Ja","Ja",IF(Tabelle36[[#This Row],[Austausch gewünscht?]]="Nein","Nein",""))))</f>
        <v>#N/A</v>
      </c>
      <c r="S68" s="1168" t="e">
        <f>IF(AND(_xlfn.TEXTBEFORE(Tabelle36[[#This Row],[Benennung]],"_")="Fenster",$N$12="Nein"),"Nein",IF(AND(_xlfn.TEXTBEFORE(Tabelle36[[#This Row],[Benennung]],"_")="Tür",$S$12="Nein"),"Nein",IF(Tabelle36[[#This Row],[Austausch gewünscht?]]="Ja","Ja",IF(Tabelle36[[#This Row],[Austausch gewünscht?]]="Nein","Nein",""))))</f>
        <v>#N/A</v>
      </c>
      <c r="T68" s="989" t="e">
        <f>IF(AND(_xlfn.TEXTBEFORE(Tabelle36[[#This Row],[Benennung]],"_")="Fenster",$O$12="Nein"),"Nein",IF(AND(_xlfn.TEXTBEFORE(Tabelle36[[#This Row],[Benennung]],"_")="Tür",$T$12="Nein"),"Nein",IF(Tabelle36[[#This Row],[Austausch gewünscht?]]="Ja","Ja",IF(Tabelle36[[#This Row],[Austausch gewünscht?]]="Nein","Nein",""))))</f>
        <v>#N/A</v>
      </c>
    </row>
    <row r="69" spans="1:20">
      <c r="A69" s="219"/>
      <c r="B69" s="364"/>
      <c r="C69" s="208"/>
      <c r="D69" s="18"/>
      <c r="E69" s="18" t="str">
        <f>IF(D69="","",_xlfn.XLOOKUP(D69,Fassade!$F$10:$F$515,Fassade!$G$10:$G$515,"",0,1))</f>
        <v/>
      </c>
      <c r="F69" s="18"/>
      <c r="G69" s="18"/>
      <c r="H69" s="232"/>
      <c r="I69" s="232"/>
      <c r="J69" s="244"/>
      <c r="K69" s="232">
        <f t="shared" si="1"/>
        <v>0</v>
      </c>
      <c r="L69" s="232">
        <f t="shared" si="2"/>
        <v>0</v>
      </c>
      <c r="M69" s="187">
        <f t="shared" si="3"/>
        <v>0</v>
      </c>
      <c r="N69" s="364"/>
      <c r="O69" s="18">
        <f>IF(B69="",0,IF(AND(N69="Ja",_xlfn.TEXTBEFORE(Tabelle36[[#This Row],[Benennung]],"_")="Fenster"),H69*I69*J69,0))</f>
        <v>0</v>
      </c>
      <c r="P69" s="364"/>
      <c r="Q69" s="187"/>
      <c r="R69" s="1168" t="e">
        <f>IF(AND(_xlfn.TEXTBEFORE(Tabelle36[[#This Row],[Benennung]],"_")="Fenster",$M$12="Nein"),"Nein",IF(AND(_xlfn.TEXTBEFORE(Tabelle36[[#This Row],[Benennung]],"_")="Tür",$R$12="Nein"),"Nein",IF(Tabelle36[[#This Row],[Austausch gewünscht?]]="Ja","Ja",IF(Tabelle36[[#This Row],[Austausch gewünscht?]]="Nein","Nein",""))))</f>
        <v>#N/A</v>
      </c>
      <c r="S69" s="1168" t="e">
        <f>IF(AND(_xlfn.TEXTBEFORE(Tabelle36[[#This Row],[Benennung]],"_")="Fenster",$N$12="Nein"),"Nein",IF(AND(_xlfn.TEXTBEFORE(Tabelle36[[#This Row],[Benennung]],"_")="Tür",$S$12="Nein"),"Nein",IF(Tabelle36[[#This Row],[Austausch gewünscht?]]="Ja","Ja",IF(Tabelle36[[#This Row],[Austausch gewünscht?]]="Nein","Nein",""))))</f>
        <v>#N/A</v>
      </c>
      <c r="T69" s="989" t="e">
        <f>IF(AND(_xlfn.TEXTBEFORE(Tabelle36[[#This Row],[Benennung]],"_")="Fenster",$O$12="Nein"),"Nein",IF(AND(_xlfn.TEXTBEFORE(Tabelle36[[#This Row],[Benennung]],"_")="Tür",$T$12="Nein"),"Nein",IF(Tabelle36[[#This Row],[Austausch gewünscht?]]="Ja","Ja",IF(Tabelle36[[#This Row],[Austausch gewünscht?]]="Nein","Nein",""))))</f>
        <v>#N/A</v>
      </c>
    </row>
    <row r="70" spans="1:20">
      <c r="A70" s="219"/>
      <c r="B70" s="364"/>
      <c r="C70" s="208"/>
      <c r="D70" s="18"/>
      <c r="E70" s="18" t="str">
        <f>IF(D70="","",_xlfn.XLOOKUP(D70,Fassade!$F$10:$F$515,Fassade!$G$10:$G$515,"",0,1))</f>
        <v/>
      </c>
      <c r="F70" s="18"/>
      <c r="G70" s="18"/>
      <c r="H70" s="232"/>
      <c r="I70" s="232"/>
      <c r="J70" s="244"/>
      <c r="K70" s="232">
        <f t="shared" si="1"/>
        <v>0</v>
      </c>
      <c r="L70" s="232">
        <f t="shared" si="2"/>
        <v>0</v>
      </c>
      <c r="M70" s="187">
        <f t="shared" si="3"/>
        <v>0</v>
      </c>
      <c r="N70" s="364"/>
      <c r="O70" s="18">
        <f>IF(B70="",0,IF(AND(N70="Ja",_xlfn.TEXTBEFORE(Tabelle36[[#This Row],[Benennung]],"_")="Fenster"),H70*I70*J70,0))</f>
        <v>0</v>
      </c>
      <c r="P70" s="364"/>
      <c r="Q70" s="187"/>
      <c r="R70" s="1168" t="e">
        <f>IF(AND(_xlfn.TEXTBEFORE(Tabelle36[[#This Row],[Benennung]],"_")="Fenster",$M$12="Nein"),"Nein",IF(AND(_xlfn.TEXTBEFORE(Tabelle36[[#This Row],[Benennung]],"_")="Tür",$R$12="Nein"),"Nein",IF(Tabelle36[[#This Row],[Austausch gewünscht?]]="Ja","Ja",IF(Tabelle36[[#This Row],[Austausch gewünscht?]]="Nein","Nein",""))))</f>
        <v>#N/A</v>
      </c>
      <c r="S70" s="1168" t="e">
        <f>IF(AND(_xlfn.TEXTBEFORE(Tabelle36[[#This Row],[Benennung]],"_")="Fenster",$N$12="Nein"),"Nein",IF(AND(_xlfn.TEXTBEFORE(Tabelle36[[#This Row],[Benennung]],"_")="Tür",$S$12="Nein"),"Nein",IF(Tabelle36[[#This Row],[Austausch gewünscht?]]="Ja","Ja",IF(Tabelle36[[#This Row],[Austausch gewünscht?]]="Nein","Nein",""))))</f>
        <v>#N/A</v>
      </c>
      <c r="T70" s="989" t="e">
        <f>IF(AND(_xlfn.TEXTBEFORE(Tabelle36[[#This Row],[Benennung]],"_")="Fenster",$O$12="Nein"),"Nein",IF(AND(_xlfn.TEXTBEFORE(Tabelle36[[#This Row],[Benennung]],"_")="Tür",$T$12="Nein"),"Nein",IF(Tabelle36[[#This Row],[Austausch gewünscht?]]="Ja","Ja",IF(Tabelle36[[#This Row],[Austausch gewünscht?]]="Nein","Nein",""))))</f>
        <v>#N/A</v>
      </c>
    </row>
    <row r="71" spans="1:20">
      <c r="A71" s="219"/>
      <c r="B71" s="364"/>
      <c r="C71" s="208"/>
      <c r="D71" s="18"/>
      <c r="E71" s="18" t="str">
        <f>IF(D71="","",_xlfn.XLOOKUP(D71,Fassade!$F$10:$F$515,Fassade!$G$10:$G$515,"",0,1))</f>
        <v/>
      </c>
      <c r="F71" s="18"/>
      <c r="G71" s="18"/>
      <c r="H71" s="232"/>
      <c r="I71" s="232"/>
      <c r="J71" s="244"/>
      <c r="K71" s="232">
        <f t="shared" si="1"/>
        <v>0</v>
      </c>
      <c r="L71" s="232">
        <f t="shared" si="2"/>
        <v>0</v>
      </c>
      <c r="M71" s="187">
        <f t="shared" si="3"/>
        <v>0</v>
      </c>
      <c r="N71" s="364"/>
      <c r="O71" s="18">
        <f>IF(B71="",0,IF(AND(N71="Ja",_xlfn.TEXTBEFORE(Tabelle36[[#This Row],[Benennung]],"_")="Fenster"),H71*I71*J71,0))</f>
        <v>0</v>
      </c>
      <c r="P71" s="364"/>
      <c r="Q71" s="187"/>
      <c r="R71" s="1168" t="e">
        <f>IF(AND(_xlfn.TEXTBEFORE(Tabelle36[[#This Row],[Benennung]],"_")="Fenster",$M$12="Nein"),"Nein",IF(AND(_xlfn.TEXTBEFORE(Tabelle36[[#This Row],[Benennung]],"_")="Tür",$R$12="Nein"),"Nein",IF(Tabelle36[[#This Row],[Austausch gewünscht?]]="Ja","Ja",IF(Tabelle36[[#This Row],[Austausch gewünscht?]]="Nein","Nein",""))))</f>
        <v>#N/A</v>
      </c>
      <c r="S71" s="1168" t="e">
        <f>IF(AND(_xlfn.TEXTBEFORE(Tabelle36[[#This Row],[Benennung]],"_")="Fenster",$N$12="Nein"),"Nein",IF(AND(_xlfn.TEXTBEFORE(Tabelle36[[#This Row],[Benennung]],"_")="Tür",$S$12="Nein"),"Nein",IF(Tabelle36[[#This Row],[Austausch gewünscht?]]="Ja","Ja",IF(Tabelle36[[#This Row],[Austausch gewünscht?]]="Nein","Nein",""))))</f>
        <v>#N/A</v>
      </c>
      <c r="T71" s="989" t="e">
        <f>IF(AND(_xlfn.TEXTBEFORE(Tabelle36[[#This Row],[Benennung]],"_")="Fenster",$O$12="Nein"),"Nein",IF(AND(_xlfn.TEXTBEFORE(Tabelle36[[#This Row],[Benennung]],"_")="Tür",$T$12="Nein"),"Nein",IF(Tabelle36[[#This Row],[Austausch gewünscht?]]="Ja","Ja",IF(Tabelle36[[#This Row],[Austausch gewünscht?]]="Nein","Nein",""))))</f>
        <v>#N/A</v>
      </c>
    </row>
    <row r="72" spans="1:20">
      <c r="A72" s="219"/>
      <c r="B72" s="364"/>
      <c r="C72" s="208"/>
      <c r="D72" s="18"/>
      <c r="E72" s="18" t="str">
        <f>IF(D72="","",_xlfn.XLOOKUP(D72,Fassade!$F$10:$F$515,Fassade!$G$10:$G$515,"",0,1))</f>
        <v/>
      </c>
      <c r="F72" s="18"/>
      <c r="G72" s="18"/>
      <c r="H72" s="232"/>
      <c r="I72" s="232"/>
      <c r="J72" s="244"/>
      <c r="K72" s="232">
        <f t="shared" si="1"/>
        <v>0</v>
      </c>
      <c r="L72" s="232">
        <f t="shared" si="2"/>
        <v>0</v>
      </c>
      <c r="M72" s="187">
        <f t="shared" si="3"/>
        <v>0</v>
      </c>
      <c r="N72" s="364"/>
      <c r="O72" s="18">
        <f>IF(B72="",0,IF(AND(N72="Ja",_xlfn.TEXTBEFORE(Tabelle36[[#This Row],[Benennung]],"_")="Fenster"),H72*I72*J72,0))</f>
        <v>0</v>
      </c>
      <c r="P72" s="364"/>
      <c r="Q72" s="187"/>
      <c r="R72" s="1168" t="e">
        <f>IF(AND(_xlfn.TEXTBEFORE(Tabelle36[[#This Row],[Benennung]],"_")="Fenster",$M$12="Nein"),"Nein",IF(AND(_xlfn.TEXTBEFORE(Tabelle36[[#This Row],[Benennung]],"_")="Tür",$R$12="Nein"),"Nein",IF(Tabelle36[[#This Row],[Austausch gewünscht?]]="Ja","Ja",IF(Tabelle36[[#This Row],[Austausch gewünscht?]]="Nein","Nein",""))))</f>
        <v>#N/A</v>
      </c>
      <c r="S72" s="1168" t="e">
        <f>IF(AND(_xlfn.TEXTBEFORE(Tabelle36[[#This Row],[Benennung]],"_")="Fenster",$N$12="Nein"),"Nein",IF(AND(_xlfn.TEXTBEFORE(Tabelle36[[#This Row],[Benennung]],"_")="Tür",$S$12="Nein"),"Nein",IF(Tabelle36[[#This Row],[Austausch gewünscht?]]="Ja","Ja",IF(Tabelle36[[#This Row],[Austausch gewünscht?]]="Nein","Nein",""))))</f>
        <v>#N/A</v>
      </c>
      <c r="T72" s="989" t="e">
        <f>IF(AND(_xlfn.TEXTBEFORE(Tabelle36[[#This Row],[Benennung]],"_")="Fenster",$O$12="Nein"),"Nein",IF(AND(_xlfn.TEXTBEFORE(Tabelle36[[#This Row],[Benennung]],"_")="Tür",$T$12="Nein"),"Nein",IF(Tabelle36[[#This Row],[Austausch gewünscht?]]="Ja","Ja",IF(Tabelle36[[#This Row],[Austausch gewünscht?]]="Nein","Nein",""))))</f>
        <v>#N/A</v>
      </c>
    </row>
    <row r="73" spans="1:20">
      <c r="A73" s="219"/>
      <c r="B73" s="364"/>
      <c r="C73" s="208"/>
      <c r="D73" s="18"/>
      <c r="E73" s="18" t="str">
        <f>IF(D73="","",_xlfn.XLOOKUP(D73,Fassade!$F$10:$F$515,Fassade!$G$10:$G$515,"",0,1))</f>
        <v/>
      </c>
      <c r="F73" s="18"/>
      <c r="G73" s="18"/>
      <c r="H73" s="232"/>
      <c r="I73" s="232"/>
      <c r="J73" s="244"/>
      <c r="K73" s="232">
        <f t="shared" si="1"/>
        <v>0</v>
      </c>
      <c r="L73" s="232">
        <f t="shared" si="2"/>
        <v>0</v>
      </c>
      <c r="M73" s="187">
        <f t="shared" si="3"/>
        <v>0</v>
      </c>
      <c r="N73" s="364"/>
      <c r="O73" s="18">
        <f>IF(B73="",0,IF(AND(N73="Ja",_xlfn.TEXTBEFORE(Tabelle36[[#This Row],[Benennung]],"_")="Fenster"),H73*I73*J73,0))</f>
        <v>0</v>
      </c>
      <c r="P73" s="364"/>
      <c r="Q73" s="187"/>
      <c r="R73" s="1168" t="e">
        <f>IF(AND(_xlfn.TEXTBEFORE(Tabelle36[[#This Row],[Benennung]],"_")="Fenster",$M$12="Nein"),"Nein",IF(AND(_xlfn.TEXTBEFORE(Tabelle36[[#This Row],[Benennung]],"_")="Tür",$R$12="Nein"),"Nein",IF(Tabelle36[[#This Row],[Austausch gewünscht?]]="Ja","Ja",IF(Tabelle36[[#This Row],[Austausch gewünscht?]]="Nein","Nein",""))))</f>
        <v>#N/A</v>
      </c>
      <c r="S73" s="1168" t="e">
        <f>IF(AND(_xlfn.TEXTBEFORE(Tabelle36[[#This Row],[Benennung]],"_")="Fenster",$N$12="Nein"),"Nein",IF(AND(_xlfn.TEXTBEFORE(Tabelle36[[#This Row],[Benennung]],"_")="Tür",$S$12="Nein"),"Nein",IF(Tabelle36[[#This Row],[Austausch gewünscht?]]="Ja","Ja",IF(Tabelle36[[#This Row],[Austausch gewünscht?]]="Nein","Nein",""))))</f>
        <v>#N/A</v>
      </c>
      <c r="T73" s="989" t="e">
        <f>IF(AND(_xlfn.TEXTBEFORE(Tabelle36[[#This Row],[Benennung]],"_")="Fenster",$O$12="Nein"),"Nein",IF(AND(_xlfn.TEXTBEFORE(Tabelle36[[#This Row],[Benennung]],"_")="Tür",$T$12="Nein"),"Nein",IF(Tabelle36[[#This Row],[Austausch gewünscht?]]="Ja","Ja",IF(Tabelle36[[#This Row],[Austausch gewünscht?]]="Nein","Nein",""))))</f>
        <v>#N/A</v>
      </c>
    </row>
    <row r="74" spans="1:20">
      <c r="A74" s="219"/>
      <c r="B74" s="1174"/>
      <c r="C74" s="1102"/>
      <c r="D74" s="259"/>
      <c r="E74" s="259" t="str">
        <f>IF(D74="","",_xlfn.XLOOKUP(D74,Fassade!$F$10:$F$515,Fassade!$G$10:$G$515,"",0,1))</f>
        <v/>
      </c>
      <c r="F74" s="259"/>
      <c r="G74" s="259"/>
      <c r="H74" s="390"/>
      <c r="I74" s="390"/>
      <c r="J74" s="1177"/>
      <c r="K74" s="390">
        <f t="shared" si="1"/>
        <v>0</v>
      </c>
      <c r="L74" s="390">
        <f t="shared" si="2"/>
        <v>0</v>
      </c>
      <c r="M74" s="290">
        <f t="shared" si="3"/>
        <v>0</v>
      </c>
      <c r="N74" s="425"/>
      <c r="O74" s="18">
        <f>IF(B74="",0,IF(AND(N74="Ja",_xlfn.TEXTBEFORE(Tabelle36[[#This Row],[Benennung]],"_")="Fenster"),H74*I74*J74,0))</f>
        <v>0</v>
      </c>
      <c r="P74" s="425"/>
      <c r="Q74" s="290"/>
      <c r="R74" s="1168" t="e">
        <f>IF(AND(_xlfn.TEXTBEFORE(Tabelle36[[#This Row],[Benennung]],"_")="Fenster",$M$12="Nein"),"Nein",IF(AND(_xlfn.TEXTBEFORE(Tabelle36[[#This Row],[Benennung]],"_")="Tür",$R$12="Nein"),"Nein",IF(Tabelle36[[#This Row],[Austausch gewünscht?]]="Ja","Ja",IF(Tabelle36[[#This Row],[Austausch gewünscht?]]="Nein","Nein",""))))</f>
        <v>#N/A</v>
      </c>
      <c r="S74" s="1168" t="e">
        <f>IF(AND(_xlfn.TEXTBEFORE(Tabelle36[[#This Row],[Benennung]],"_")="Fenster",$N$12="Nein"),"Nein",IF(AND(_xlfn.TEXTBEFORE(Tabelle36[[#This Row],[Benennung]],"_")="Tür",$S$12="Nein"),"Nein",IF(Tabelle36[[#This Row],[Austausch gewünscht?]]="Ja","Ja",IF(Tabelle36[[#This Row],[Austausch gewünscht?]]="Nein","Nein",""))))</f>
        <v>#N/A</v>
      </c>
      <c r="T74" s="989" t="e">
        <f>IF(AND(_xlfn.TEXTBEFORE(Tabelle36[[#This Row],[Benennung]],"_")="Fenster",$O$12="Nein"),"Nein",IF(AND(_xlfn.TEXTBEFORE(Tabelle36[[#This Row],[Benennung]],"_")="Tür",$T$12="Nein"),"Nein",IF(Tabelle36[[#This Row],[Austausch gewünscht?]]="Ja","Ja",IF(Tabelle36[[#This Row],[Austausch gewünscht?]]="Nein","Nein",""))))</f>
        <v>#N/A</v>
      </c>
    </row>
    <row r="75" spans="1:20" ht="17.399999999999999" thickBot="1">
      <c r="B75" s="1169" t="s">
        <v>312</v>
      </c>
      <c r="C75" s="1170"/>
      <c r="D75" s="1171"/>
      <c r="E75" s="1171"/>
      <c r="F75" s="1171"/>
      <c r="G75" s="1171"/>
      <c r="H75" s="1171"/>
      <c r="I75" s="1171"/>
      <c r="J75" s="1173">
        <f>SUBTOTAL(109,Tabelle36[Anzahl])</f>
        <v>0</v>
      </c>
      <c r="K75" s="1173">
        <f>SUBTOTAL(109,Tabelle36[Umfang '[m']])</f>
        <v>0</v>
      </c>
      <c r="L75" s="1171"/>
      <c r="M75" s="711">
        <f>SUBTOTAL(109,Tabelle36[Fläche-G '[m²']])</f>
        <v>0</v>
      </c>
      <c r="N75" s="1172"/>
      <c r="O75" s="1176">
        <f>SUBTOTAL(109,Tabelle36[Austauschfläche Fenster '[m²']])</f>
        <v>0</v>
      </c>
      <c r="P75" s="256"/>
      <c r="Q75" s="710"/>
      <c r="R75" s="1375">
        <f>COUNTIF(Tabelle36[Austausch iSFP?],"Ja")</f>
        <v>0</v>
      </c>
      <c r="S75" s="1374">
        <f>COUNTIF(Tabelle36[Austausch V1?2],"Ja")</f>
        <v>0</v>
      </c>
      <c r="T75" s="1376">
        <f>COUNTIF(Tabelle36[Austausch V2?2],"Ja")</f>
        <v>0</v>
      </c>
    </row>
    <row r="76" spans="1:20" ht="17.399999999999999" thickTop="1">
      <c r="Q76" s="181"/>
      <c r="R76" s="1192"/>
      <c r="S76" s="1197"/>
      <c r="T76" s="1197"/>
    </row>
    <row r="77" spans="1:20">
      <c r="R77" s="1192"/>
      <c r="S77" s="1192"/>
      <c r="T77" s="1192"/>
    </row>
    <row r="78" spans="1:20">
      <c r="R78" s="1192"/>
      <c r="S78" s="1192"/>
      <c r="T78" s="1192"/>
    </row>
    <row r="79" spans="1:20">
      <c r="R79" s="1192"/>
      <c r="S79" s="1192"/>
      <c r="T79" s="1192"/>
    </row>
    <row r="80" spans="1:20">
      <c r="R80" s="1192"/>
      <c r="S80" s="1192"/>
      <c r="T80" s="1192"/>
    </row>
    <row r="81" spans="18:20">
      <c r="R81" s="1192"/>
      <c r="S81" s="1192"/>
      <c r="T81" s="1192"/>
    </row>
    <row r="82" spans="18:20">
      <c r="R82" s="1192"/>
      <c r="S82" s="1192"/>
      <c r="T82" s="1192"/>
    </row>
    <row r="83" spans="18:20">
      <c r="R83" s="1192"/>
      <c r="S83" s="1192"/>
      <c r="T83" s="1192"/>
    </row>
    <row r="84" spans="18:20">
      <c r="R84" s="1192"/>
      <c r="S84" s="1192"/>
      <c r="T84" s="1192"/>
    </row>
    <row r="85" spans="18:20">
      <c r="R85" s="1192"/>
      <c r="S85" s="1192"/>
      <c r="T85" s="1192"/>
    </row>
    <row r="86" spans="18:20">
      <c r="R86" s="1192"/>
      <c r="S86" s="1192"/>
      <c r="T86" s="1192"/>
    </row>
    <row r="87" spans="18:20">
      <c r="R87" s="1192"/>
      <c r="S87" s="1192"/>
      <c r="T87" s="1192"/>
    </row>
    <row r="88" spans="18:20">
      <c r="R88" s="1192"/>
      <c r="S88" s="1192"/>
      <c r="T88" s="1192"/>
    </row>
    <row r="89" spans="18:20">
      <c r="R89" s="1192"/>
      <c r="S89" s="1192"/>
      <c r="T89" s="1192"/>
    </row>
    <row r="90" spans="18:20">
      <c r="R90" s="1192"/>
      <c r="S90" s="1192"/>
      <c r="T90" s="1192"/>
    </row>
    <row r="91" spans="18:20">
      <c r="R91" s="1192"/>
      <c r="S91" s="1192"/>
      <c r="T91" s="1192"/>
    </row>
    <row r="92" spans="18:20">
      <c r="R92" s="1192"/>
      <c r="S92" s="1192"/>
      <c r="T92" s="1192"/>
    </row>
    <row r="93" spans="18:20">
      <c r="R93" s="1192"/>
      <c r="S93" s="1192"/>
      <c r="T93" s="1192"/>
    </row>
    <row r="94" spans="18:20">
      <c r="R94" s="1192"/>
      <c r="S94" s="1192"/>
      <c r="T94" s="1192"/>
    </row>
    <row r="95" spans="18:20">
      <c r="R95" s="1192"/>
      <c r="S95" s="1192"/>
      <c r="T95" s="1192"/>
    </row>
    <row r="96" spans="18:20">
      <c r="R96" s="1192"/>
      <c r="S96" s="1192"/>
      <c r="T96" s="1192"/>
    </row>
    <row r="97" spans="18:20">
      <c r="R97" s="1192"/>
      <c r="S97" s="1192"/>
      <c r="T97" s="1192"/>
    </row>
    <row r="98" spans="18:20">
      <c r="R98" s="1192"/>
      <c r="S98" s="1192"/>
      <c r="T98" s="1192"/>
    </row>
    <row r="99" spans="18:20">
      <c r="R99" s="1192"/>
      <c r="S99" s="1192"/>
      <c r="T99" s="1192"/>
    </row>
    <row r="100" spans="18:20">
      <c r="R100" s="1192"/>
      <c r="S100" s="1192"/>
      <c r="T100" s="1192"/>
    </row>
    <row r="101" spans="18:20">
      <c r="R101" s="1192"/>
      <c r="S101" s="1192"/>
      <c r="T101" s="1192"/>
    </row>
    <row r="102" spans="18:20">
      <c r="R102" s="1192"/>
      <c r="S102" s="1192"/>
      <c r="T102" s="1192"/>
    </row>
    <row r="103" spans="18:20">
      <c r="R103" s="1192"/>
      <c r="S103" s="1192"/>
      <c r="T103" s="1192"/>
    </row>
    <row r="104" spans="18:20">
      <c r="R104" s="1192"/>
      <c r="S104" s="1192"/>
      <c r="T104" s="1192"/>
    </row>
    <row r="105" spans="18:20">
      <c r="R105" s="1192"/>
      <c r="S105" s="1192"/>
      <c r="T105" s="1192"/>
    </row>
    <row r="106" spans="18:20">
      <c r="R106" s="1192"/>
      <c r="S106" s="1192"/>
      <c r="T106" s="1192"/>
    </row>
    <row r="107" spans="18:20">
      <c r="R107" s="1192"/>
      <c r="S107" s="1192"/>
      <c r="T107" s="1192"/>
    </row>
    <row r="108" spans="18:20">
      <c r="R108" s="1192"/>
      <c r="S108" s="1192"/>
      <c r="T108" s="1192"/>
    </row>
    <row r="109" spans="18:20">
      <c r="R109" s="1192"/>
      <c r="S109" s="1192"/>
      <c r="T109" s="1192"/>
    </row>
    <row r="110" spans="18:20">
      <c r="R110" s="1192"/>
      <c r="S110" s="1192"/>
      <c r="T110" s="1192"/>
    </row>
    <row r="111" spans="18:20">
      <c r="R111" s="1192"/>
      <c r="S111" s="1192"/>
      <c r="T111" s="1192"/>
    </row>
    <row r="112" spans="18:20">
      <c r="R112" s="1192"/>
      <c r="S112" s="1192"/>
      <c r="T112" s="1192"/>
    </row>
    <row r="113" spans="18:20">
      <c r="R113" s="1192"/>
      <c r="S113" s="1192"/>
      <c r="T113" s="1192"/>
    </row>
    <row r="114" spans="18:20">
      <c r="R114" s="1192"/>
      <c r="S114" s="1192"/>
      <c r="T114" s="1192"/>
    </row>
    <row r="115" spans="18:20">
      <c r="R115" s="1192"/>
      <c r="S115" s="1192"/>
      <c r="T115" s="1192"/>
    </row>
    <row r="116" spans="18:20">
      <c r="R116" s="1192"/>
      <c r="S116" s="1192"/>
      <c r="T116" s="1192"/>
    </row>
    <row r="117" spans="18:20">
      <c r="R117" s="1192"/>
      <c r="S117" s="1192"/>
      <c r="T117" s="1192"/>
    </row>
    <row r="118" spans="18:20">
      <c r="R118" s="1192"/>
      <c r="S118" s="1192"/>
      <c r="T118" s="1192"/>
    </row>
    <row r="119" spans="18:20">
      <c r="R119" s="1192"/>
      <c r="S119" s="1192"/>
      <c r="T119" s="1192"/>
    </row>
    <row r="120" spans="18:20">
      <c r="R120" s="1192"/>
      <c r="S120" s="1192"/>
      <c r="T120" s="1192"/>
    </row>
    <row r="121" spans="18:20">
      <c r="R121" s="1192"/>
      <c r="S121" s="1192"/>
      <c r="T121" s="1192"/>
    </row>
    <row r="122" spans="18:20">
      <c r="R122" s="1192"/>
      <c r="S122" s="1192"/>
      <c r="T122" s="1192"/>
    </row>
    <row r="123" spans="18:20">
      <c r="R123" s="1192"/>
      <c r="S123" s="1192"/>
      <c r="T123" s="1192"/>
    </row>
    <row r="124" spans="18:20">
      <c r="R124" s="1192"/>
      <c r="S124" s="1192"/>
      <c r="T124" s="1192"/>
    </row>
    <row r="125" spans="18:20">
      <c r="R125" s="1192"/>
      <c r="S125" s="1192"/>
      <c r="T125" s="1192"/>
    </row>
    <row r="126" spans="18:20">
      <c r="R126" s="1192"/>
      <c r="S126" s="1192"/>
      <c r="T126" s="1192"/>
    </row>
    <row r="127" spans="18:20">
      <c r="R127" s="1192"/>
      <c r="S127" s="1192"/>
      <c r="T127" s="1192"/>
    </row>
    <row r="128" spans="18:20">
      <c r="R128" s="1192"/>
      <c r="S128" s="1192"/>
      <c r="T128" s="1192"/>
    </row>
    <row r="129" spans="18:20">
      <c r="R129" s="1192"/>
      <c r="S129" s="1192"/>
      <c r="T129" s="1192"/>
    </row>
    <row r="130" spans="18:20">
      <c r="R130" s="1192"/>
      <c r="S130" s="1192"/>
      <c r="T130" s="1192"/>
    </row>
    <row r="131" spans="18:20">
      <c r="R131" s="1192"/>
      <c r="S131" s="1192"/>
      <c r="T131" s="1192"/>
    </row>
    <row r="132" spans="18:20">
      <c r="R132" s="1192"/>
      <c r="S132" s="1192"/>
      <c r="T132" s="1192"/>
    </row>
    <row r="133" spans="18:20">
      <c r="R133" s="1192"/>
      <c r="S133" s="1192"/>
      <c r="T133" s="1192"/>
    </row>
    <row r="134" spans="18:20">
      <c r="R134" s="1192"/>
      <c r="S134" s="1192"/>
      <c r="T134" s="1192"/>
    </row>
    <row r="135" spans="18:20">
      <c r="R135" s="1192"/>
      <c r="S135" s="1192"/>
      <c r="T135" s="1192"/>
    </row>
    <row r="136" spans="18:20">
      <c r="R136" s="1192"/>
      <c r="S136" s="1192"/>
      <c r="T136" s="1192"/>
    </row>
    <row r="137" spans="18:20">
      <c r="R137" s="1192"/>
      <c r="S137" s="1192"/>
      <c r="T137" s="1192"/>
    </row>
    <row r="138" spans="18:20">
      <c r="R138" s="1192"/>
      <c r="S138" s="1192"/>
      <c r="T138" s="1192"/>
    </row>
    <row r="139" spans="18:20">
      <c r="R139" s="1192"/>
      <c r="S139" s="1192"/>
      <c r="T139" s="1192"/>
    </row>
    <row r="140" spans="18:20">
      <c r="R140" s="1192"/>
      <c r="S140" s="1192"/>
      <c r="T140" s="1192"/>
    </row>
    <row r="141" spans="18:20">
      <c r="R141" s="1192"/>
      <c r="S141" s="1192"/>
      <c r="T141" s="1192"/>
    </row>
    <row r="142" spans="18:20">
      <c r="R142" s="1192"/>
      <c r="S142" s="1192"/>
      <c r="T142" s="1192"/>
    </row>
    <row r="143" spans="18:20">
      <c r="R143" s="1192"/>
      <c r="S143" s="1192"/>
      <c r="T143" s="1192"/>
    </row>
    <row r="144" spans="18:20">
      <c r="R144" s="1192"/>
      <c r="S144" s="1192"/>
      <c r="T144" s="1192"/>
    </row>
    <row r="145" spans="18:20">
      <c r="R145" s="1192"/>
      <c r="S145" s="1192"/>
      <c r="T145" s="1192"/>
    </row>
    <row r="146" spans="18:20">
      <c r="R146" s="1192"/>
      <c r="S146" s="1192"/>
      <c r="T146" s="1192"/>
    </row>
    <row r="147" spans="18:20">
      <c r="R147" s="1192"/>
      <c r="S147" s="1192"/>
      <c r="T147" s="1192"/>
    </row>
    <row r="148" spans="18:20">
      <c r="R148" s="1192"/>
      <c r="S148" s="1192"/>
      <c r="T148" s="1192"/>
    </row>
    <row r="149" spans="18:20">
      <c r="R149" s="1192"/>
      <c r="S149" s="1192"/>
      <c r="T149" s="1192"/>
    </row>
    <row r="150" spans="18:20">
      <c r="R150" s="1192"/>
      <c r="S150" s="1192"/>
      <c r="T150" s="1192"/>
    </row>
    <row r="151" spans="18:20">
      <c r="R151" s="1192"/>
      <c r="S151" s="1192"/>
      <c r="T151" s="1192"/>
    </row>
    <row r="152" spans="18:20">
      <c r="R152" s="1192"/>
      <c r="S152" s="1192"/>
      <c r="T152" s="1192"/>
    </row>
    <row r="153" spans="18:20">
      <c r="R153" s="1192"/>
      <c r="S153" s="1192"/>
      <c r="T153" s="1192"/>
    </row>
    <row r="154" spans="18:20">
      <c r="R154" s="1192"/>
      <c r="S154" s="1192"/>
      <c r="T154" s="1192"/>
    </row>
    <row r="155" spans="18:20">
      <c r="R155" s="1192"/>
      <c r="S155" s="1192"/>
      <c r="T155" s="1192"/>
    </row>
    <row r="156" spans="18:20">
      <c r="R156" s="1192"/>
      <c r="S156" s="1192"/>
      <c r="T156" s="1192"/>
    </row>
    <row r="157" spans="18:20">
      <c r="R157" s="1192"/>
      <c r="S157" s="1192"/>
      <c r="T157" s="1192"/>
    </row>
    <row r="158" spans="18:20">
      <c r="R158" s="1192"/>
      <c r="S158" s="1192"/>
      <c r="T158" s="1192"/>
    </row>
    <row r="159" spans="18:20">
      <c r="R159" s="1192"/>
      <c r="S159" s="1192"/>
      <c r="T159" s="1192"/>
    </row>
    <row r="160" spans="18:20">
      <c r="R160" s="1192"/>
      <c r="S160" s="1192"/>
      <c r="T160" s="1192"/>
    </row>
    <row r="161" spans="18:20">
      <c r="R161" s="1192"/>
      <c r="S161" s="1192"/>
      <c r="T161" s="1192"/>
    </row>
    <row r="162" spans="18:20">
      <c r="R162" s="1192"/>
      <c r="S162" s="1192"/>
      <c r="T162" s="1192"/>
    </row>
    <row r="163" spans="18:20">
      <c r="R163" s="1192"/>
      <c r="S163" s="1192"/>
      <c r="T163" s="1192"/>
    </row>
  </sheetData>
  <mergeCells count="39">
    <mergeCell ref="S15:S21"/>
    <mergeCell ref="T15:T21"/>
    <mergeCell ref="M17:M21"/>
    <mergeCell ref="N17:N21"/>
    <mergeCell ref="O17:O21"/>
    <mergeCell ref="H11:I11"/>
    <mergeCell ref="H12:I12"/>
    <mergeCell ref="H13:I13"/>
    <mergeCell ref="H14:I14"/>
    <mergeCell ref="H15:I15"/>
    <mergeCell ref="H16:I16"/>
    <mergeCell ref="H17:I17"/>
    <mergeCell ref="H18:I18"/>
    <mergeCell ref="H19:I19"/>
    <mergeCell ref="H20:I20"/>
    <mergeCell ref="J14:K14"/>
    <mergeCell ref="J11:K11"/>
    <mergeCell ref="J12:K12"/>
    <mergeCell ref="J15:K15"/>
    <mergeCell ref="R15:R21"/>
    <mergeCell ref="C2:G2"/>
    <mergeCell ref="C3:G3"/>
    <mergeCell ref="C4:G4"/>
    <mergeCell ref="H4:I4"/>
    <mergeCell ref="C5:G5"/>
    <mergeCell ref="H5:I5"/>
    <mergeCell ref="R2:T8"/>
    <mergeCell ref="H2:Q2"/>
    <mergeCell ref="J4:Q4"/>
    <mergeCell ref="J5:Q5"/>
    <mergeCell ref="J6:Q6"/>
    <mergeCell ref="J7:Q7"/>
    <mergeCell ref="J8:Q8"/>
    <mergeCell ref="H8:I8"/>
    <mergeCell ref="C6:G6"/>
    <mergeCell ref="H6:I6"/>
    <mergeCell ref="C7:G7"/>
    <mergeCell ref="H7:I7"/>
    <mergeCell ref="C8:G8"/>
  </mergeCells>
  <phoneticPr fontId="1" type="noConversion"/>
  <conditionalFormatting sqref="M12:M17">
    <cfRule type="expression" dxfId="204" priority="18">
      <formula>$M$12="Nein"</formula>
    </cfRule>
  </conditionalFormatting>
  <conditionalFormatting sqref="N12:N17">
    <cfRule type="expression" dxfId="202" priority="17">
      <formula>$N$12="Nein"</formula>
    </cfRule>
  </conditionalFormatting>
  <conditionalFormatting sqref="O12:P17">
    <cfRule type="expression" dxfId="199" priority="16">
      <formula>$O$12="Nein"</formula>
    </cfRule>
  </conditionalFormatting>
  <conditionalFormatting sqref="R12:R21">
    <cfRule type="expression" dxfId="197" priority="3">
      <formula>$R$12="Nein"</formula>
    </cfRule>
  </conditionalFormatting>
  <conditionalFormatting sqref="S12:S21">
    <cfRule type="expression" dxfId="195" priority="2">
      <formula>$S$12="Nein"</formula>
    </cfRule>
  </conditionalFormatting>
  <conditionalFormatting sqref="T12:T21">
    <cfRule type="expression" dxfId="193" priority="1">
      <formula>$T$12="Nein"</formula>
    </cfRule>
  </conditionalFormatting>
  <pageMargins left="0.7" right="0.7" top="0.78740157499999996" bottom="0.78740157499999996" header="0.3" footer="0.3"/>
  <pageSetup paperSize="9" scale="64" orientation="landscape" r:id="rId1"/>
  <headerFooter>
    <oddHeader>&amp;L
&amp;C&amp;"-,Fett"Maßnahmenpaket Fenster und Türen&amp;R&amp;"-,Fett"&amp;D</oddHeader>
    <oddFooter>&amp;R&amp;"-,Fett"&amp;P</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329" id="{F3229FE9-EE63-431D-B6D5-1E80B126653A}">
            <xm:f>Allgemein!$C$91=$M$11</xm:f>
            <x14:dxf>
              <fill>
                <patternFill>
                  <bgColor theme="9" tint="0.79998168889431442"/>
                </patternFill>
              </fill>
            </x14:dxf>
          </x14:cfRule>
          <xm:sqref>M12:M21</xm:sqref>
        </x14:conditionalFormatting>
        <x14:conditionalFormatting xmlns:xm="http://schemas.microsoft.com/office/excel/2006/main">
          <x14:cfRule type="expression" priority="23" id="{7DBB2923-A724-4590-B9C8-70F66DF11F5C}">
            <xm:f>Allgemein!$C$91=$N$11</xm:f>
            <x14:dxf>
              <fill>
                <patternFill>
                  <bgColor theme="9" tint="0.79998168889431442"/>
                </patternFill>
              </fill>
            </x14:dxf>
          </x14:cfRule>
          <xm:sqref>N12:N21</xm:sqref>
        </x14:conditionalFormatting>
        <x14:conditionalFormatting xmlns:xm="http://schemas.microsoft.com/office/excel/2006/main">
          <x14:cfRule type="expression" priority="22" id="{D2FA2CB2-43E7-4222-82C4-B15F824FE06A}">
            <xm:f>Allgemein!$C$91=$O$11</xm:f>
            <x14:dxf>
              <fill>
                <patternFill>
                  <bgColor theme="9" tint="0.79998168889431442"/>
                </patternFill>
              </fill>
            </x14:dxf>
          </x14:cfRule>
          <xm:sqref>O12:O21</xm:sqref>
        </x14:conditionalFormatting>
        <x14:conditionalFormatting xmlns:xm="http://schemas.microsoft.com/office/excel/2006/main">
          <x14:cfRule type="expression" priority="6" id="{7FC1DC5C-D76F-4786-A3F4-7B11A9BEF21A}">
            <xm:f>Allgemein!$C$91=$R$11</xm:f>
            <x14:dxf>
              <fill>
                <patternFill>
                  <bgColor theme="9" tint="0.79998168889431442"/>
                </patternFill>
              </fill>
            </x14:dxf>
          </x14:cfRule>
          <xm:sqref>R12:R15</xm:sqref>
        </x14:conditionalFormatting>
        <x14:conditionalFormatting xmlns:xm="http://schemas.microsoft.com/office/excel/2006/main">
          <x14:cfRule type="expression" priority="5" id="{F2A7A721-1415-4581-9E52-7E8EDD9DEADE}">
            <xm:f>Allgemein!$C$91=$S$11</xm:f>
            <x14:dxf>
              <fill>
                <patternFill>
                  <bgColor theme="9" tint="0.79998168889431442"/>
                </patternFill>
              </fill>
            </x14:dxf>
          </x14:cfRule>
          <xm:sqref>S12:S15</xm:sqref>
        </x14:conditionalFormatting>
        <x14:conditionalFormatting xmlns:xm="http://schemas.microsoft.com/office/excel/2006/main">
          <x14:cfRule type="expression" priority="4" id="{020D0991-30C9-40B1-BB19-36342F7891D0}">
            <xm:f>Allgemein!$C$91=$T$11</xm:f>
            <x14:dxf>
              <fill>
                <patternFill>
                  <bgColor theme="9" tint="0.79998168889431442"/>
                </patternFill>
              </fill>
            </x14:dxf>
          </x14:cfRule>
          <xm:sqref>T12:T15</xm:sqref>
        </x14:conditionalFormatting>
      </x14:conditionalFormattings>
    </ext>
    <ext xmlns:x14="http://schemas.microsoft.com/office/spreadsheetml/2009/9/main" uri="{CCE6A557-97BC-4b89-ADB6-D9C93CAAB3DF}">
      <x14:dataValidations xmlns:xm="http://schemas.microsoft.com/office/excel/2006/main" disablePrompts="1" count="4">
        <x14:dataValidation type="list" allowBlank="1" showInputMessage="1" showErrorMessage="1" xr:uid="{584C2BD5-6B84-4A51-81BE-F3A79C5E9BFE}">
          <x14:formula1>
            <xm:f>Datenbank!$S$3:$S$4</xm:f>
          </x14:formula1>
          <xm:sqref>N12:O12 R12:T12</xm:sqref>
        </x14:dataValidation>
        <x14:dataValidation type="list" allowBlank="1" showInputMessage="1" showErrorMessage="1" xr:uid="{E5DF4DE3-BA02-459F-939B-8770227D7612}">
          <x14:formula1>
            <xm:f>'Datenbank-Preise'!$R$168:$R$170</xm:f>
          </x14:formula1>
          <xm:sqref>M15:O15</xm:sqref>
        </x14:dataValidation>
        <x14:dataValidation type="list" allowBlank="1" showInputMessage="1" showErrorMessage="1" xr:uid="{62CA5708-E7B2-4B6D-A802-62094DDD4D46}">
          <x14:formula1>
            <xm:f>'Datenbank-Preise'!$V$168</xm:f>
          </x14:formula1>
          <xm:sqref>R14:T14</xm:sqref>
        </x14:dataValidation>
        <x14:dataValidation type="list" allowBlank="1" showInputMessage="1" showErrorMessage="1" xr:uid="{D93CF50E-9C75-4EF6-BD22-CF419AC9CD00}">
          <x14:formula1>
            <xm:f>Datenbank!$S$3:$S$5</xm:f>
          </x14:formula1>
          <xm:sqref>R25:T74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3E75B-0A03-4DF9-876D-3E9A5B0DAEF9}">
  <dimension ref="A1:L60"/>
  <sheetViews>
    <sheetView showGridLines="0" zoomScale="85" zoomScaleNormal="85" workbookViewId="0">
      <selection activeCell="J25" sqref="J25"/>
    </sheetView>
  </sheetViews>
  <sheetFormatPr baseColWidth="10" defaultColWidth="11.5546875" defaultRowHeight="16.8"/>
  <cols>
    <col min="1" max="1" width="11.5546875" style="10"/>
    <col min="2" max="2" width="41.44140625" style="10" customWidth="1"/>
    <col min="3" max="3" width="17.5546875" style="10" customWidth="1"/>
    <col min="4" max="4" width="33.6640625" style="10" customWidth="1"/>
    <col min="5" max="5" width="21.44140625" style="10" customWidth="1"/>
    <col min="6" max="6" width="34.6640625" style="10" customWidth="1"/>
    <col min="7" max="7" width="25.5546875" style="10" customWidth="1"/>
    <col min="8" max="8" width="31.5546875" style="10" customWidth="1"/>
    <col min="9" max="9" width="20.33203125" style="10" customWidth="1"/>
    <col min="10" max="10" width="24.5546875" style="10" customWidth="1"/>
    <col min="11" max="11" width="21" style="10" customWidth="1"/>
    <col min="12" max="14" width="11.5546875" style="10" customWidth="1"/>
    <col min="15" max="15" width="11.44140625" style="10" customWidth="1"/>
    <col min="16" max="16384" width="11.5546875" style="10"/>
  </cols>
  <sheetData>
    <row r="1" spans="1:11" ht="17.399999999999999" thickBot="1">
      <c r="B1" s="217"/>
      <c r="C1" s="217"/>
      <c r="D1" s="217"/>
      <c r="E1" s="217"/>
      <c r="F1" s="217"/>
      <c r="G1" s="217"/>
      <c r="H1" s="217"/>
      <c r="I1" s="217"/>
      <c r="J1" s="217"/>
      <c r="K1" s="217"/>
    </row>
    <row r="2" spans="1:11" ht="31.5" customHeight="1" thickTop="1">
      <c r="A2" s="219"/>
      <c r="B2" s="705" t="s">
        <v>0</v>
      </c>
      <c r="C2" s="1629">
        <f>Allgemein!C2</f>
        <v>0</v>
      </c>
      <c r="D2" s="1629"/>
      <c r="E2" s="1630"/>
      <c r="F2" s="1558" t="s">
        <v>1074</v>
      </c>
      <c r="G2" s="1559"/>
      <c r="H2" s="1560"/>
      <c r="I2" s="1653" t="e" vm="1">
        <v>#VALUE!</v>
      </c>
      <c r="J2" s="1653"/>
      <c r="K2" s="1654"/>
    </row>
    <row r="3" spans="1:11" ht="16.5" customHeight="1">
      <c r="A3" s="219"/>
      <c r="B3" s="234" t="s">
        <v>4</v>
      </c>
      <c r="C3" s="1477">
        <f>Allgemein!C3</f>
        <v>0</v>
      </c>
      <c r="D3" s="1477"/>
      <c r="E3" s="1631"/>
      <c r="F3" s="200"/>
      <c r="G3" s="110" t="s">
        <v>255</v>
      </c>
      <c r="H3" s="214"/>
      <c r="I3" s="1623"/>
      <c r="J3" s="1623"/>
      <c r="K3" s="1656"/>
    </row>
    <row r="4" spans="1:11" ht="16.5" customHeight="1">
      <c r="A4" s="219"/>
      <c r="B4" s="234" t="s">
        <v>5</v>
      </c>
      <c r="C4" s="1477">
        <f>Allgemein!C4</f>
        <v>0</v>
      </c>
      <c r="D4" s="1477"/>
      <c r="E4" s="1631"/>
      <c r="F4" s="473" t="s">
        <v>256</v>
      </c>
      <c r="G4" s="1632">
        <f>Allgemein!C101</f>
        <v>0</v>
      </c>
      <c r="H4" s="1660"/>
      <c r="I4" s="1623"/>
      <c r="J4" s="1623"/>
      <c r="K4" s="1656"/>
    </row>
    <row r="5" spans="1:11" ht="16.5" customHeight="1">
      <c r="A5" s="219"/>
      <c r="B5" s="127" t="s">
        <v>8</v>
      </c>
      <c r="C5" s="1477">
        <f>Allgemein!C5</f>
        <v>0</v>
      </c>
      <c r="D5" s="1477"/>
      <c r="E5" s="1631"/>
      <c r="F5" s="475" t="s">
        <v>257</v>
      </c>
      <c r="G5" s="1680">
        <f>Allgemein!G101</f>
        <v>0</v>
      </c>
      <c r="H5" s="1681"/>
      <c r="I5" s="1623"/>
      <c r="J5" s="1623"/>
      <c r="K5" s="1656"/>
    </row>
    <row r="6" spans="1:11">
      <c r="A6" s="219"/>
      <c r="B6" s="234" t="s">
        <v>11</v>
      </c>
      <c r="C6" s="1477">
        <f>Allgemein!C6</f>
        <v>0</v>
      </c>
      <c r="D6" s="1477"/>
      <c r="E6" s="1631"/>
      <c r="F6" s="123" t="s">
        <v>259</v>
      </c>
      <c r="G6" s="1663" t="str">
        <f>_xlfn.TEXTJOIN(" ",TRUE,Allgemein!C51,"PV-Anlage","mit",Allgemein!D51,"Speichersystem")</f>
        <v>- PV-Anlage mit - Speichersystem</v>
      </c>
      <c r="H6" s="1664"/>
      <c r="I6" s="1623"/>
      <c r="J6" s="1623"/>
      <c r="K6" s="1656"/>
    </row>
    <row r="7" spans="1:11">
      <c r="A7" s="219"/>
      <c r="B7" s="234" t="s">
        <v>12</v>
      </c>
      <c r="C7" s="1477">
        <f>Allgemein!C7</f>
        <v>0</v>
      </c>
      <c r="D7" s="1477"/>
      <c r="E7" s="1631"/>
      <c r="F7" s="203" t="s">
        <v>260</v>
      </c>
      <c r="G7" s="1633" t="str">
        <f>_xlfn.TEXTJOIN(" ",TRUE,Allgemein!C67,"PV-Anlage","mit",Allgemein!D67,"Speichersystem")</f>
        <v>- PV-Anlage mit - Speichersystem</v>
      </c>
      <c r="H7" s="1682"/>
      <c r="I7" s="1623"/>
      <c r="J7" s="1623"/>
      <c r="K7" s="1656"/>
    </row>
    <row r="8" spans="1:11" ht="17.399999999999999" thickBot="1">
      <c r="A8" s="219"/>
      <c r="B8" s="234" t="s">
        <v>14</v>
      </c>
      <c r="C8" s="1477">
        <f>Allgemein!C8</f>
        <v>0</v>
      </c>
      <c r="D8" s="1477"/>
      <c r="E8" s="1631"/>
      <c r="F8" s="204" t="s">
        <v>261</v>
      </c>
      <c r="G8" s="1635" t="str">
        <f>_xlfn.TEXTJOIN(" ",TRUE,Allgemein!C83,"PV-Anlage","mit",Allgemein!D83,"Speichersystem")</f>
        <v>- PV-Anlage mit - Speichersystem</v>
      </c>
      <c r="H8" s="1666"/>
      <c r="I8" s="1623"/>
      <c r="J8" s="1658"/>
      <c r="K8" s="1659"/>
    </row>
    <row r="9" spans="1:11" ht="27.6" thickTop="1">
      <c r="A9" s="219"/>
      <c r="B9" s="324" t="s">
        <v>1075</v>
      </c>
      <c r="C9" s="262"/>
      <c r="D9" s="262"/>
      <c r="E9" s="181"/>
      <c r="F9" s="181"/>
      <c r="G9" s="181"/>
      <c r="H9" s="181"/>
      <c r="I9" s="181"/>
      <c r="J9" s="181"/>
      <c r="K9" s="221"/>
    </row>
    <row r="10" spans="1:11">
      <c r="A10" s="219"/>
      <c r="B10" s="424" t="s">
        <v>263</v>
      </c>
      <c r="C10" s="223"/>
      <c r="D10" s="223"/>
      <c r="E10" s="224"/>
      <c r="F10" s="224"/>
      <c r="G10" s="269"/>
      <c r="H10" s="251" t="s">
        <v>294</v>
      </c>
      <c r="I10" s="1260"/>
      <c r="J10" s="1260"/>
      <c r="K10" s="1387"/>
    </row>
    <row r="11" spans="1:11" ht="16.2" customHeight="1">
      <c r="A11" s="219"/>
      <c r="B11" s="143" t="s">
        <v>1076</v>
      </c>
      <c r="C11" s="123"/>
      <c r="D11" s="127"/>
      <c r="E11" s="1393"/>
      <c r="F11" s="1394" t="s">
        <v>1077</v>
      </c>
      <c r="G11" s="191"/>
      <c r="H11" s="122" t="s">
        <v>1078</v>
      </c>
      <c r="I11" s="142"/>
      <c r="J11" s="123"/>
      <c r="K11" s="125"/>
    </row>
    <row r="12" spans="1:11" ht="16.2" customHeight="1">
      <c r="A12" s="219"/>
      <c r="B12" s="131" t="s">
        <v>1079</v>
      </c>
      <c r="C12" s="364"/>
      <c r="D12" s="354" t="s">
        <v>1080</v>
      </c>
      <c r="E12" s="209"/>
      <c r="F12" s="121" t="s">
        <v>1081</v>
      </c>
      <c r="G12" s="187"/>
      <c r="H12" s="121" t="s">
        <v>1082</v>
      </c>
      <c r="I12" s="18"/>
      <c r="J12" s="123" t="s">
        <v>1021</v>
      </c>
      <c r="K12" s="233"/>
    </row>
    <row r="13" spans="1:11" ht="16.2" customHeight="1">
      <c r="A13" s="219"/>
      <c r="B13" s="131"/>
      <c r="C13" s="364"/>
      <c r="D13" s="123"/>
      <c r="E13" s="255"/>
      <c r="F13" s="121" t="s">
        <v>1083</v>
      </c>
      <c r="G13" s="187"/>
      <c r="H13" s="377" t="s">
        <v>1084</v>
      </c>
      <c r="I13" s="18"/>
      <c r="J13" s="123" t="s">
        <v>1022</v>
      </c>
      <c r="K13" s="233"/>
    </row>
    <row r="14" spans="1:11" ht="16.2" customHeight="1">
      <c r="A14" s="219"/>
      <c r="B14" s="131" t="s">
        <v>1085</v>
      </c>
      <c r="C14" s="364"/>
      <c r="D14" s="127" t="s">
        <v>1086</v>
      </c>
      <c r="E14" s="209"/>
      <c r="F14" s="121" t="s">
        <v>1087</v>
      </c>
      <c r="G14" s="187"/>
      <c r="H14" s="122" t="s">
        <v>1088</v>
      </c>
      <c r="I14" s="123"/>
      <c r="J14" s="123"/>
      <c r="K14" s="125"/>
    </row>
    <row r="15" spans="1:11" ht="16.2" customHeight="1">
      <c r="A15" s="219"/>
      <c r="B15" s="131" t="s">
        <v>1089</v>
      </c>
      <c r="C15" s="364"/>
      <c r="D15" s="127" t="s">
        <v>1090</v>
      </c>
      <c r="E15" s="209"/>
      <c r="F15" s="123"/>
      <c r="G15" s="188"/>
      <c r="H15" s="648" t="s">
        <v>1091</v>
      </c>
      <c r="I15" s="1386"/>
      <c r="J15" s="648" t="s">
        <v>1092</v>
      </c>
      <c r="K15" s="1218"/>
    </row>
    <row r="16" spans="1:11" ht="16.2" customHeight="1">
      <c r="B16" s="131"/>
      <c r="C16" s="364"/>
      <c r="D16" s="123" t="s">
        <v>1093</v>
      </c>
      <c r="E16" s="235"/>
      <c r="F16" s="123"/>
      <c r="G16" s="188"/>
      <c r="H16" s="648" t="s">
        <v>1094</v>
      </c>
      <c r="I16" s="115"/>
      <c r="J16" s="648" t="s">
        <v>1095</v>
      </c>
      <c r="K16" s="1218"/>
    </row>
    <row r="17" spans="2:12" ht="16.2" customHeight="1">
      <c r="B17" s="254"/>
      <c r="C17" s="123"/>
      <c r="D17" s="123"/>
      <c r="E17" s="1383"/>
      <c r="F17" s="123"/>
      <c r="G17" s="197"/>
      <c r="H17" s="110"/>
      <c r="I17" s="110"/>
      <c r="J17" s="1259" t="s">
        <v>1096</v>
      </c>
      <c r="K17" s="1372"/>
    </row>
    <row r="18" spans="2:12" ht="16.2" customHeight="1">
      <c r="B18" s="143" t="s">
        <v>1097</v>
      </c>
      <c r="C18" s="1373"/>
      <c r="D18" s="667" t="s">
        <v>1098</v>
      </c>
      <c r="E18" s="1388"/>
      <c r="F18" s="491" t="s">
        <v>1099</v>
      </c>
      <c r="G18" s="188"/>
      <c r="H18" s="491" t="s">
        <v>1100</v>
      </c>
      <c r="I18" s="123"/>
      <c r="J18" s="123"/>
      <c r="K18" s="125"/>
    </row>
    <row r="19" spans="2:12" ht="16.2" customHeight="1">
      <c r="B19" s="234" t="s">
        <v>1101</v>
      </c>
      <c r="C19" s="208"/>
      <c r="D19" s="648" t="s">
        <v>1102</v>
      </c>
      <c r="E19" s="1389"/>
      <c r="F19" s="123" t="s">
        <v>1103</v>
      </c>
      <c r="G19" s="187"/>
      <c r="H19" s="17" t="s">
        <v>1104</v>
      </c>
      <c r="I19" s="18"/>
      <c r="J19" s="17" t="s">
        <v>1105</v>
      </c>
      <c r="K19" s="18"/>
      <c r="L19" s="298"/>
    </row>
    <row r="20" spans="2:12" ht="16.2" customHeight="1">
      <c r="B20" s="426" t="s">
        <v>1106</v>
      </c>
      <c r="C20" s="18"/>
      <c r="D20" s="648" t="s">
        <v>1107</v>
      </c>
      <c r="E20" s="209" t="str">
        <f>IF(C12="Über 4 m","Ja","Nein")</f>
        <v>Nein</v>
      </c>
      <c r="F20" s="123"/>
      <c r="G20" s="188"/>
      <c r="H20" s="123"/>
      <c r="I20" s="123"/>
      <c r="J20" s="123"/>
      <c r="K20" s="125"/>
    </row>
    <row r="21" spans="2:12" ht="16.2" customHeight="1">
      <c r="B21" s="131" t="s">
        <v>1108</v>
      </c>
      <c r="C21" s="364"/>
      <c r="D21" s="648" t="s">
        <v>1109</v>
      </c>
      <c r="E21" s="209" t="str">
        <f>IF(Dach!C12="Flachdach","Ja","Nein")</f>
        <v>Nein</v>
      </c>
      <c r="F21" s="127" t="s">
        <v>1110</v>
      </c>
      <c r="G21" s="187"/>
      <c r="H21" s="127" t="s">
        <v>1111</v>
      </c>
      <c r="I21" s="18"/>
      <c r="J21" s="123"/>
      <c r="K21" s="125"/>
    </row>
    <row r="22" spans="2:12" ht="16.2" customHeight="1">
      <c r="B22" s="254"/>
      <c r="C22" s="110"/>
      <c r="D22" s="1371"/>
      <c r="E22" s="1390"/>
      <c r="F22" s="123"/>
      <c r="G22" s="188"/>
      <c r="H22" s="123"/>
      <c r="I22" s="123"/>
      <c r="J22" s="683"/>
      <c r="K22" s="1229"/>
    </row>
    <row r="23" spans="2:12" ht="16.2" customHeight="1">
      <c r="B23" s="120" t="s">
        <v>1112</v>
      </c>
      <c r="C23" s="123"/>
      <c r="D23" s="123"/>
      <c r="E23" s="1391"/>
      <c r="F23" s="123" t="s">
        <v>1113</v>
      </c>
      <c r="G23" s="187"/>
      <c r="H23" s="123"/>
      <c r="I23" s="123"/>
      <c r="J23" s="683"/>
      <c r="K23" s="1229"/>
    </row>
    <row r="24" spans="2:12" ht="16.2" customHeight="1">
      <c r="B24" s="426" t="s">
        <v>1114</v>
      </c>
      <c r="C24" s="18"/>
      <c r="D24" s="127" t="s">
        <v>1115</v>
      </c>
      <c r="E24" s="209"/>
      <c r="F24" s="123"/>
      <c r="G24" s="187"/>
      <c r="H24" s="123"/>
      <c r="I24" s="123"/>
      <c r="J24" s="683"/>
      <c r="K24" s="1229"/>
    </row>
    <row r="25" spans="2:12" ht="16.2" customHeight="1">
      <c r="B25" s="126" t="s">
        <v>1116</v>
      </c>
      <c r="C25" s="18"/>
      <c r="D25" s="121" t="s">
        <v>1117</v>
      </c>
      <c r="E25" s="209"/>
      <c r="F25" s="127" t="s">
        <v>1118</v>
      </c>
      <c r="G25" s="726"/>
      <c r="H25" s="123"/>
      <c r="I25" s="123"/>
      <c r="J25" s="683"/>
      <c r="K25" s="1229"/>
    </row>
    <row r="26" spans="2:12" ht="16.2" customHeight="1">
      <c r="B26" s="426" t="s">
        <v>1119</v>
      </c>
      <c r="C26" s="18"/>
      <c r="D26" s="123"/>
      <c r="E26" s="255"/>
      <c r="F26" s="123"/>
      <c r="G26" s="188"/>
      <c r="H26" s="123"/>
      <c r="I26" s="123"/>
      <c r="J26" s="683"/>
      <c r="K26" s="1229"/>
    </row>
    <row r="27" spans="2:12" ht="16.2" customHeight="1" thickBot="1">
      <c r="B27" s="137"/>
      <c r="C27" s="138"/>
      <c r="D27" s="138"/>
      <c r="E27" s="1392"/>
      <c r="F27" s="138"/>
      <c r="G27" s="193"/>
      <c r="H27" s="138"/>
      <c r="I27" s="138"/>
      <c r="J27" s="682"/>
      <c r="K27" s="1231"/>
    </row>
    <row r="28" spans="2:12" ht="16.2" customHeight="1" thickTop="1">
      <c r="J28" s="803"/>
      <c r="K28" s="803"/>
    </row>
    <row r="29" spans="2:12" ht="16.2" customHeight="1">
      <c r="J29" s="803"/>
      <c r="K29" s="803"/>
    </row>
    <row r="30" spans="2:12" ht="16.2" customHeight="1">
      <c r="J30" s="803"/>
      <c r="K30" s="803"/>
    </row>
    <row r="31" spans="2:12">
      <c r="H31" s="246"/>
    </row>
    <row r="32" spans="2:12" s="220" customFormat="1" ht="20.25" customHeight="1"/>
    <row r="33" spans="2:10" s="220" customFormat="1" ht="35.25" customHeight="1"/>
    <row r="34" spans="2:10" s="220" customFormat="1" ht="35.25" customHeight="1">
      <c r="J34" s="660"/>
    </row>
    <row r="35" spans="2:10" ht="20.25" customHeight="1">
      <c r="J35" s="170"/>
    </row>
    <row r="36" spans="2:10" s="660" customFormat="1" ht="20.25" customHeight="1"/>
    <row r="37" spans="2:10">
      <c r="B37" s="660"/>
    </row>
    <row r="42" spans="2:10">
      <c r="B42" s="317"/>
    </row>
    <row r="54" spans="2:2">
      <c r="B54" s="317"/>
    </row>
    <row r="60" spans="2:2">
      <c r="B60" s="317"/>
    </row>
  </sheetData>
  <mergeCells count="14">
    <mergeCell ref="C8:E8"/>
    <mergeCell ref="C2:E2"/>
    <mergeCell ref="I2:K8"/>
    <mergeCell ref="C3:E3"/>
    <mergeCell ref="C5:E5"/>
    <mergeCell ref="C6:E6"/>
    <mergeCell ref="C7:E7"/>
    <mergeCell ref="C4:E4"/>
    <mergeCell ref="G4:H4"/>
    <mergeCell ref="F2:H2"/>
    <mergeCell ref="G5:H5"/>
    <mergeCell ref="G6:H6"/>
    <mergeCell ref="G7:H7"/>
    <mergeCell ref="G8:H8"/>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BA5F-796F-4DFE-B8E2-EBE1D12432F5}">
  <sheetPr>
    <pageSetUpPr fitToPage="1"/>
  </sheetPr>
  <dimension ref="A1:P123"/>
  <sheetViews>
    <sheetView showGridLines="0" topLeftCell="E1" zoomScaleNormal="100" workbookViewId="0">
      <selection activeCell="L15" sqref="L15"/>
    </sheetView>
  </sheetViews>
  <sheetFormatPr baseColWidth="10" defaultColWidth="11.5546875" defaultRowHeight="16.8"/>
  <cols>
    <col min="1" max="1" width="4.44140625" style="10" customWidth="1"/>
    <col min="2" max="2" width="29.5546875" style="10" customWidth="1"/>
    <col min="3" max="3" width="17.33203125" style="10" customWidth="1"/>
    <col min="4" max="4" width="25.6640625" style="10" customWidth="1"/>
    <col min="5" max="5" width="21.33203125" style="10" customWidth="1"/>
    <col min="6" max="6" width="29.44140625" style="10" customWidth="1"/>
    <col min="7" max="7" width="22.6640625" style="10" customWidth="1"/>
    <col min="8" max="8" width="38.5546875" style="10" customWidth="1"/>
    <col min="9" max="9" width="35.6640625" style="10" customWidth="1"/>
    <col min="10" max="10" width="33.44140625" style="10" customWidth="1"/>
    <col min="11" max="11" width="39.6640625" style="10" customWidth="1"/>
    <col min="12" max="12" width="19.5546875" style="10" customWidth="1"/>
    <col min="13" max="13" width="38.6640625" style="10" customWidth="1"/>
    <col min="14" max="14" width="31.5546875" style="10" customWidth="1"/>
    <col min="15" max="15" width="24.5546875" style="10" customWidth="1"/>
    <col min="16" max="16" width="31.5546875" style="10" customWidth="1"/>
    <col min="17" max="17" width="13.44140625" style="10" customWidth="1"/>
    <col min="18" max="18" width="15.5546875" style="10" customWidth="1"/>
    <col min="19" max="16384" width="11.5546875" style="10"/>
  </cols>
  <sheetData>
    <row r="1" spans="1:12" ht="17.399999999999999" thickBot="1">
      <c r="B1" s="217"/>
      <c r="C1" s="217"/>
      <c r="D1" s="217"/>
      <c r="E1" s="217"/>
      <c r="F1" s="217"/>
      <c r="G1" s="217"/>
      <c r="H1" s="217"/>
      <c r="I1" s="217"/>
      <c r="J1" s="217"/>
      <c r="K1" s="217"/>
    </row>
    <row r="2" spans="1:12" ht="29.25" customHeight="1" thickTop="1">
      <c r="A2" s="219"/>
      <c r="B2" s="127" t="s">
        <v>0</v>
      </c>
      <c r="C2" s="1629">
        <f>Allgemein!C2</f>
        <v>0</v>
      </c>
      <c r="D2" s="1629"/>
      <c r="E2" s="1629"/>
      <c r="F2" s="1558" t="s">
        <v>959</v>
      </c>
      <c r="G2" s="1559"/>
      <c r="H2" s="1559"/>
      <c r="I2" s="1560"/>
      <c r="J2" s="1653" t="e" vm="1">
        <v>#VALUE!</v>
      </c>
      <c r="K2" s="1654"/>
      <c r="L2" s="220"/>
    </row>
    <row r="3" spans="1:12" ht="16.5" customHeight="1">
      <c r="A3" s="219"/>
      <c r="B3" s="127" t="s">
        <v>4</v>
      </c>
      <c r="C3" s="1477">
        <f>Allgemein!C3</f>
        <v>0</v>
      </c>
      <c r="D3" s="1477"/>
      <c r="E3" s="1631"/>
      <c r="F3" s="200"/>
      <c r="G3" s="110" t="s">
        <v>255</v>
      </c>
      <c r="H3" s="216"/>
      <c r="I3" s="214"/>
      <c r="J3" s="1623"/>
      <c r="K3" s="1656"/>
      <c r="L3" s="220"/>
    </row>
    <row r="4" spans="1:12" ht="16.5" customHeight="1">
      <c r="A4" s="219"/>
      <c r="B4" s="127" t="s">
        <v>5</v>
      </c>
      <c r="C4" s="1477">
        <f>Allgemein!C4</f>
        <v>0</v>
      </c>
      <c r="D4" s="1477"/>
      <c r="E4" s="1631"/>
      <c r="F4" s="473" t="s">
        <v>256</v>
      </c>
      <c r="G4" s="1692">
        <f>Allgemein!C94</f>
        <v>0</v>
      </c>
      <c r="H4" s="1692"/>
      <c r="I4" s="1693"/>
      <c r="J4" s="1623"/>
      <c r="K4" s="1656"/>
      <c r="L4" s="220"/>
    </row>
    <row r="5" spans="1:12" ht="16.95" customHeight="1">
      <c r="A5" s="219"/>
      <c r="B5" s="127" t="s">
        <v>8</v>
      </c>
      <c r="C5" s="1477">
        <f>Allgemein!C5</f>
        <v>0</v>
      </c>
      <c r="D5" s="1477"/>
      <c r="E5" s="1631"/>
      <c r="F5" s="475" t="s">
        <v>257</v>
      </c>
      <c r="G5" s="1694">
        <f>Allgemein!G94</f>
        <v>0</v>
      </c>
      <c r="H5" s="1694"/>
      <c r="I5" s="1695"/>
      <c r="J5" s="1623"/>
      <c r="K5" s="1656"/>
      <c r="L5" s="220"/>
    </row>
    <row r="6" spans="1:12">
      <c r="A6" s="219"/>
      <c r="B6" s="127" t="s">
        <v>11</v>
      </c>
      <c r="C6" s="1477">
        <f>Allgemein!C6</f>
        <v>0</v>
      </c>
      <c r="D6" s="1477"/>
      <c r="E6" s="1631"/>
      <c r="F6" s="123" t="s">
        <v>259</v>
      </c>
      <c r="G6" s="1696" t="str">
        <f>Allgemein!C44</f>
        <v>-</v>
      </c>
      <c r="H6" s="1696"/>
      <c r="I6" s="1511"/>
      <c r="J6" s="1623"/>
      <c r="K6" s="1656"/>
      <c r="L6" s="220"/>
    </row>
    <row r="7" spans="1:12">
      <c r="A7" s="219"/>
      <c r="B7" s="127" t="s">
        <v>12</v>
      </c>
      <c r="C7" s="1477">
        <f>Allgemein!C7</f>
        <v>0</v>
      </c>
      <c r="D7" s="1477"/>
      <c r="E7" s="1631"/>
      <c r="F7" s="203" t="s">
        <v>260</v>
      </c>
      <c r="G7" s="1676" t="str">
        <f>Allgemein!C60</f>
        <v>-</v>
      </c>
      <c r="H7" s="1676"/>
      <c r="I7" s="1697"/>
      <c r="J7" s="1623"/>
      <c r="K7" s="1656"/>
      <c r="L7" s="220"/>
    </row>
    <row r="8" spans="1:12" ht="17.399999999999999" thickBot="1">
      <c r="A8" s="219"/>
      <c r="B8" s="266" t="s">
        <v>14</v>
      </c>
      <c r="C8" s="1627">
        <f>Allgemein!C8</f>
        <v>0</v>
      </c>
      <c r="D8" s="1627"/>
      <c r="E8" s="1628"/>
      <c r="F8" s="204" t="s">
        <v>261</v>
      </c>
      <c r="G8" s="1704" t="str">
        <f>Allgemein!C76</f>
        <v>-</v>
      </c>
      <c r="H8" s="1704"/>
      <c r="I8" s="1705"/>
      <c r="J8" s="1658"/>
      <c r="K8" s="1659"/>
      <c r="L8" s="220"/>
    </row>
    <row r="9" spans="1:12" ht="25.2" customHeight="1" thickTop="1">
      <c r="A9" s="219"/>
      <c r="B9" s="267" t="s">
        <v>960</v>
      </c>
      <c r="C9" s="19"/>
      <c r="D9" s="19"/>
      <c r="I9" s="249"/>
      <c r="J9" s="249"/>
      <c r="K9" s="221"/>
    </row>
    <row r="10" spans="1:12" ht="16.5" customHeight="1">
      <c r="A10" s="219"/>
      <c r="B10" s="268" t="s">
        <v>263</v>
      </c>
      <c r="C10" s="223"/>
      <c r="D10" s="223"/>
      <c r="E10" s="269"/>
      <c r="F10" s="270" t="s">
        <v>294</v>
      </c>
      <c r="G10" s="591"/>
      <c r="H10" s="592" t="s">
        <v>265</v>
      </c>
      <c r="I10" s="944" t="s">
        <v>106</v>
      </c>
      <c r="J10" s="944" t="s">
        <v>159</v>
      </c>
      <c r="K10" s="944" t="s">
        <v>171</v>
      </c>
      <c r="L10" s="298"/>
    </row>
    <row r="11" spans="1:12" ht="21" customHeight="1">
      <c r="A11" s="219"/>
      <c r="B11" s="273" t="s">
        <v>961</v>
      </c>
      <c r="C11" s="18"/>
      <c r="D11" s="669" t="s">
        <v>962</v>
      </c>
      <c r="E11" s="940">
        <f>_xlfn.XLOOKUP(C15,Datenbank!CC118:CC188,Datenbank!CD118:CD188,0,1,1)*(Allgemein!C19+SQRT(Allgemein!C19)*4*Dach!C17/100)</f>
        <v>0</v>
      </c>
      <c r="F11" s="296" t="s">
        <v>963</v>
      </c>
      <c r="G11" s="191"/>
      <c r="H11" s="739" t="s">
        <v>740</v>
      </c>
      <c r="I11" s="945" t="str" cm="1">
        <f t="array" ref="I11">_xlfn.XLOOKUP(Dach!H11&amp;Allgemein!C44,Dachpositionen[[#Headers],[Dacheindeckung:]]&amp;Dachpositionen[Position Dach],Dachpositionen[Dacheindeckung:],"",0,1)</f>
        <v>Nein</v>
      </c>
      <c r="J11" s="945" t="str" cm="1">
        <f t="array" ref="J11">_xlfn.XLOOKUP(Dach!H11&amp;Allgemein!C60,Dachpositionen[[#Headers],[Dacheindeckung:]]&amp;Dachpositionen[Position Dach],Dachpositionen[Dacheindeckung:],"",0,1)</f>
        <v>Nein</v>
      </c>
      <c r="K11" s="946" t="str" cm="1">
        <f t="array" ref="K11">_xlfn.XLOOKUP(Dach!H11&amp;Allgemein!C76,Dachpositionen[[#Headers],[Dacheindeckung:]]&amp;Dachpositionen[Position Dach],Dachpositionen[Dacheindeckung:],"",0,1)</f>
        <v>Nein</v>
      </c>
      <c r="L11" s="298"/>
    </row>
    <row r="12" spans="1:12" ht="20.25" customHeight="1">
      <c r="A12" s="219"/>
      <c r="B12" s="239" t="s">
        <v>964</v>
      </c>
      <c r="C12" s="278"/>
      <c r="D12" s="259"/>
      <c r="E12" s="293"/>
      <c r="F12" s="1703"/>
      <c r="G12" s="1466"/>
      <c r="H12" s="684" t="s">
        <v>965</v>
      </c>
      <c r="I12" s="1233">
        <f>E11</f>
        <v>0</v>
      </c>
      <c r="J12" s="1233">
        <f>E11</f>
        <v>0</v>
      </c>
      <c r="K12" s="1234">
        <f>E11</f>
        <v>0</v>
      </c>
    </row>
    <row r="13" spans="1:12" ht="17.100000000000001" customHeight="1">
      <c r="A13" s="219"/>
      <c r="B13" s="276" t="s">
        <v>966</v>
      </c>
      <c r="C13" s="282"/>
      <c r="D13" s="274"/>
      <c r="E13" s="296"/>
      <c r="F13" s="1703"/>
      <c r="G13" s="1466"/>
      <c r="H13" s="684" t="s">
        <v>671</v>
      </c>
      <c r="I13" s="947"/>
      <c r="J13" s="949"/>
      <c r="K13" s="950"/>
    </row>
    <row r="14" spans="1:12" ht="17.100000000000001" customHeight="1">
      <c r="A14" s="219"/>
      <c r="B14" s="1706" t="s">
        <v>967</v>
      </c>
      <c r="C14" s="274"/>
      <c r="D14" s="283"/>
      <c r="E14" s="590"/>
      <c r="F14" s="1703"/>
      <c r="G14" s="1466"/>
      <c r="H14" s="740" t="s">
        <v>741</v>
      </c>
      <c r="I14" s="945" t="str" cm="1">
        <f t="array" ref="I14">_xlfn.XLOOKUP(Dach!H14&amp;Allgemein!C44,Dachpositionen[[#Headers],[Dämmung Dachschrägen:]]&amp;Dachpositionen[Position Dach],Dachpositionen[Dämmung Dachschrägen:],"",0,1)</f>
        <v>Nein</v>
      </c>
      <c r="J14" s="947" t="str" cm="1">
        <f t="array" ref="J14">_xlfn.XLOOKUP(Dach!H14&amp;Allgemein!C60,Dachpositionen[[#Headers],[Dämmung Dachschrägen:]]&amp;Dachpositionen[Position Dach],Dachpositionen[Dämmung Dachschrägen:],"",0,1)</f>
        <v>Nein</v>
      </c>
      <c r="K14" s="948" t="str" cm="1">
        <f t="array" ref="K14">_xlfn.XLOOKUP(Dach!H14&amp;Allgemein!C76,Dachpositionen[[#Headers],[Dämmung Dachschrägen:]]&amp;Dachpositionen[Position Dach],Dachpositionen[Dämmung Dachschrägen:],"",0,1)</f>
        <v>Nein</v>
      </c>
    </row>
    <row r="15" spans="1:12" ht="17.100000000000001" customHeight="1">
      <c r="A15" s="219"/>
      <c r="B15" s="1503"/>
      <c r="C15" s="284"/>
      <c r="D15" s="284"/>
      <c r="E15" s="203"/>
      <c r="F15" s="1703"/>
      <c r="G15" s="1466"/>
      <c r="H15" s="684" t="s">
        <v>968</v>
      </c>
      <c r="I15" s="951"/>
      <c r="J15" s="947"/>
      <c r="K15" s="948"/>
    </row>
    <row r="16" spans="1:12" ht="17.100000000000001" customHeight="1">
      <c r="A16" s="219"/>
      <c r="B16" s="1710" t="s">
        <v>969</v>
      </c>
      <c r="C16" s="18"/>
      <c r="D16" s="283"/>
      <c r="E16" s="590"/>
      <c r="F16" s="1703"/>
      <c r="G16" s="1466"/>
      <c r="H16" s="684" t="s">
        <v>970</v>
      </c>
      <c r="I16" s="1233">
        <f>E11</f>
        <v>0</v>
      </c>
      <c r="J16" s="1233">
        <f>E11</f>
        <v>0</v>
      </c>
      <c r="K16" s="1234">
        <f>E11</f>
        <v>0</v>
      </c>
    </row>
    <row r="17" spans="1:12" ht="17.100000000000001" customHeight="1">
      <c r="A17" s="219"/>
      <c r="B17" s="1711"/>
      <c r="C17" s="285"/>
      <c r="D17" s="284"/>
      <c r="E17" s="294"/>
      <c r="F17" s="589" t="s">
        <v>971</v>
      </c>
      <c r="G17" s="259"/>
      <c r="H17" s="684" t="s">
        <v>926</v>
      </c>
      <c r="I17" s="947" t="str">
        <f>Allgemein!D44</f>
        <v>-</v>
      </c>
      <c r="J17" s="947" t="str">
        <f>Allgemein!D60</f>
        <v>-</v>
      </c>
      <c r="K17" s="948" t="str">
        <f>Allgemein!D76</f>
        <v>-</v>
      </c>
    </row>
    <row r="18" spans="1:12" ht="23.7" customHeight="1">
      <c r="A18" s="219"/>
      <c r="B18" s="267" t="s">
        <v>740</v>
      </c>
      <c r="C18" s="249"/>
      <c r="D18" s="389"/>
      <c r="E18" s="248"/>
      <c r="F18" s="671"/>
      <c r="G18" s="248"/>
      <c r="H18" s="589" t="s">
        <v>671</v>
      </c>
      <c r="I18" s="952"/>
      <c r="J18" s="953"/>
      <c r="K18" s="954"/>
    </row>
    <row r="19" spans="1:12" ht="18.600000000000001">
      <c r="A19" s="219"/>
      <c r="B19" s="1706" t="s">
        <v>740</v>
      </c>
      <c r="C19" s="1712"/>
      <c r="D19" s="289" t="s">
        <v>972</v>
      </c>
      <c r="E19" s="187"/>
      <c r="F19" s="127" t="s">
        <v>973</v>
      </c>
      <c r="G19" s="18"/>
      <c r="H19" s="741" t="s">
        <v>743</v>
      </c>
      <c r="I19" s="945" t="str" cm="1">
        <f t="array" ref="I19">_xlfn.XLOOKUP(Dach!H19&amp;Allgemein!C44,Dachpositionen[[#Headers],[Trockenbau innen:]]&amp;Dachpositionen[Position Dach],Dachpositionen[Trockenbau innen:],"",0,1)</f>
        <v>Nein</v>
      </c>
      <c r="J19" s="947" t="str" cm="1">
        <f t="array" ref="J19">_xlfn.XLOOKUP(Dach!H19&amp;Allgemein!C60,Dachpositionen[[#Headers],[Trockenbau innen:]]&amp;Dachpositionen[Position Dach],Dachpositionen[Trockenbau innen:],"",0,1)</f>
        <v>Nein</v>
      </c>
      <c r="K19" s="948" t="str" cm="1">
        <f t="array" ref="K19">_xlfn.XLOOKUP(Dach!H19&amp;Allgemein!C76,Dachpositionen[[#Headers],[Trockenbau innen:]]&amp;Dachpositionen[Position Dach],Dachpositionen[Trockenbau innen:],"",0,1)</f>
        <v>Nein</v>
      </c>
    </row>
    <row r="20" spans="1:12">
      <c r="A20" s="219"/>
      <c r="B20" s="1713"/>
      <c r="C20" s="1709"/>
      <c r="D20" s="17" t="s">
        <v>974</v>
      </c>
      <c r="E20" s="187"/>
      <c r="F20" s="683" t="s">
        <v>975</v>
      </c>
      <c r="G20" s="763"/>
      <c r="H20" s="684" t="s">
        <v>947</v>
      </c>
      <c r="I20" s="1233">
        <f>I16</f>
        <v>0</v>
      </c>
      <c r="J20" s="1233">
        <f>J16</f>
        <v>0</v>
      </c>
      <c r="K20" s="1234">
        <f>K16</f>
        <v>0</v>
      </c>
    </row>
    <row r="21" spans="1:12">
      <c r="A21" s="219"/>
      <c r="B21" s="1706" t="s">
        <v>976</v>
      </c>
      <c r="C21" s="1712"/>
      <c r="D21" s="17" t="s">
        <v>977</v>
      </c>
      <c r="E21" s="187"/>
      <c r="F21" s="1683"/>
      <c r="G21" s="1684"/>
      <c r="H21" s="685" t="s">
        <v>671</v>
      </c>
      <c r="I21" s="949"/>
      <c r="J21" s="949"/>
      <c r="K21" s="950"/>
    </row>
    <row r="22" spans="1:12" ht="20.25" customHeight="1">
      <c r="A22" s="219"/>
      <c r="B22" s="1503"/>
      <c r="C22" s="1709"/>
      <c r="D22" s="17" t="s">
        <v>978</v>
      </c>
      <c r="E22" s="187"/>
      <c r="F22" s="1683"/>
      <c r="G22" s="1684"/>
      <c r="H22" s="742" t="s">
        <v>742</v>
      </c>
      <c r="I22" s="951" t="str" cm="1">
        <f t="array" ref="I22">_xlfn.XLOOKUP(Dach!H22&amp;Allgemein!C44,Dachpositionen[[#Headers],[Dämmung obere Geschossdecke:]]&amp;Dachpositionen[Position Dach],Dachpositionen[Dämmung obere Geschossdecke:],"",0,1)</f>
        <v>Nein</v>
      </c>
      <c r="J22" s="947" t="str" cm="1">
        <f t="array" ref="J22">_xlfn.XLOOKUP(Dach!H22&amp;Allgemein!C60,Dachpositionen[[#Headers],[Dämmung obere Geschossdecke:]]&amp;Dachpositionen[Position Dach],Dachpositionen[Dämmung obere Geschossdecke:],"",0,1)</f>
        <v>Nein</v>
      </c>
      <c r="K22" s="948" t="str" cm="1">
        <f t="array" ref="K22">_xlfn.XLOOKUP(Dach!H22&amp;Allgemein!C76,Dachpositionen[[#Headers],[Dämmung obere Geschossdecke:]]&amp;Dachpositionen[Position Dach],Dachpositionen[Dämmung obere Geschossdecke:],"",0,1)</f>
        <v>Nein</v>
      </c>
    </row>
    <row r="23" spans="1:12">
      <c r="B23" s="1707" t="s">
        <v>979</v>
      </c>
      <c r="C23" s="1631"/>
      <c r="D23" s="17" t="s">
        <v>980</v>
      </c>
      <c r="E23" s="187"/>
      <c r="F23" s="1683"/>
      <c r="G23" s="1684"/>
      <c r="H23" s="684" t="s">
        <v>947</v>
      </c>
      <c r="I23" s="955">
        <f>E36</f>
        <v>0</v>
      </c>
      <c r="J23" s="955">
        <f>E36</f>
        <v>0</v>
      </c>
      <c r="K23" s="956">
        <f>E36</f>
        <v>0</v>
      </c>
      <c r="L23" s="298"/>
    </row>
    <row r="24" spans="1:12">
      <c r="B24" s="1708"/>
      <c r="C24" s="1709"/>
      <c r="D24" s="17" t="s">
        <v>981</v>
      </c>
      <c r="E24" s="290"/>
      <c r="F24" s="683"/>
      <c r="G24" s="683"/>
      <c r="H24" s="684" t="s">
        <v>926</v>
      </c>
      <c r="I24" s="947" t="str">
        <f>Allgemein!D44</f>
        <v>-</v>
      </c>
      <c r="J24" s="956" t="str">
        <f>Allgemein!D60</f>
        <v>-</v>
      </c>
      <c r="K24" s="956" t="str">
        <f>Allgemein!D76</f>
        <v>-</v>
      </c>
      <c r="L24" s="298"/>
    </row>
    <row r="25" spans="1:12" ht="17.100000000000001" customHeight="1">
      <c r="A25" s="219"/>
      <c r="B25" s="123"/>
      <c r="C25" s="127"/>
      <c r="D25" s="291" t="s">
        <v>982</v>
      </c>
      <c r="E25" s="187"/>
      <c r="F25" s="683"/>
      <c r="G25" s="683"/>
      <c r="H25" s="690" t="s">
        <v>671</v>
      </c>
      <c r="I25" s="955"/>
      <c r="J25" s="957"/>
      <c r="K25" s="957"/>
      <c r="L25" s="298"/>
    </row>
    <row r="26" spans="1:12" ht="29.1" customHeight="1">
      <c r="A26" s="219"/>
      <c r="B26" s="127"/>
      <c r="C26" s="127"/>
      <c r="D26" s="203" t="s">
        <v>983</v>
      </c>
      <c r="E26" s="187"/>
      <c r="F26" s="683"/>
      <c r="G26" s="683"/>
      <c r="H26" s="741" t="s">
        <v>744</v>
      </c>
      <c r="I26" s="945" t="str" cm="1">
        <f t="array" ref="I26">_xlfn.XLOOKUP(Dach!H26&amp;Allgemein!C44,Dachpositionen[[#Headers],[Dachstuhl Neu komplett:]]&amp;Dachpositionen[Position Dach],Dachpositionen[Dachstuhl Neu komplett:],"",0,1)</f>
        <v>Nein</v>
      </c>
      <c r="J26" s="956" t="str" cm="1">
        <f t="array" ref="J26">_xlfn.XLOOKUP(Dach!H26&amp;Allgemein!C60,Dachpositionen[[#Headers],[Dachstuhl Neu komplett:]]&amp;Dachpositionen[Position Dach],Dachpositionen[Dachstuhl Neu komplett:],"",0,1)</f>
        <v>Nein</v>
      </c>
      <c r="K26" s="956" t="str" cm="1">
        <f t="array" ref="K26">_xlfn.XLOOKUP(Dach!H26&amp;Allgemein!C76,Dachpositionen[[#Headers],[Dachstuhl Neu komplett:]]&amp;Dachpositionen[Position Dach],Dachpositionen[Dachstuhl Neu komplett:],"",0,1)</f>
        <v>Nein</v>
      </c>
      <c r="L26" s="298"/>
    </row>
    <row r="27" spans="1:12" ht="17.100000000000001" customHeight="1">
      <c r="A27" s="219"/>
      <c r="B27" s="292"/>
      <c r="C27" s="293"/>
      <c r="D27" s="294" t="s">
        <v>984</v>
      </c>
      <c r="E27" s="290"/>
      <c r="F27" s="1106"/>
      <c r="G27" s="765"/>
      <c r="H27" s="684" t="s">
        <v>947</v>
      </c>
      <c r="I27" s="1235">
        <f>E11</f>
        <v>0</v>
      </c>
      <c r="J27" s="998">
        <f>E11</f>
        <v>0</v>
      </c>
      <c r="K27" s="998">
        <f>E11</f>
        <v>0</v>
      </c>
      <c r="L27" s="298"/>
    </row>
    <row r="28" spans="1:12" ht="23.7" customHeight="1">
      <c r="A28" s="219"/>
      <c r="B28" s="670" t="s">
        <v>985</v>
      </c>
      <c r="C28" s="248"/>
      <c r="D28" s="248"/>
      <c r="E28" s="248"/>
      <c r="F28" s="248"/>
      <c r="G28" s="701"/>
      <c r="H28" s="685" t="s">
        <v>671</v>
      </c>
      <c r="I28" s="949"/>
      <c r="J28" s="959"/>
      <c r="K28" s="960"/>
    </row>
    <row r="29" spans="1:12" ht="23.1" customHeight="1">
      <c r="A29" s="219"/>
      <c r="B29" s="296" t="s">
        <v>983</v>
      </c>
      <c r="C29" s="18"/>
      <c r="D29" s="127" t="s">
        <v>986</v>
      </c>
      <c r="E29" s="305"/>
      <c r="F29" s="1030"/>
      <c r="G29" s="1030"/>
      <c r="H29" s="741" t="s">
        <v>987</v>
      </c>
      <c r="I29" s="955"/>
      <c r="J29" s="961"/>
      <c r="K29" s="962"/>
    </row>
    <row r="30" spans="1:12" ht="23.1" customHeight="1">
      <c r="A30" s="219"/>
      <c r="B30" s="127" t="s">
        <v>988</v>
      </c>
      <c r="C30" s="18"/>
      <c r="D30" s="127"/>
      <c r="E30" s="189"/>
      <c r="F30" s="180"/>
      <c r="G30" s="180"/>
      <c r="H30" s="691" t="s">
        <v>989</v>
      </c>
      <c r="I30" s="952">
        <f>IF(C48="---",0,C48)</f>
        <v>0</v>
      </c>
      <c r="J30" s="955">
        <f>IF(C48="---",0,C48)</f>
        <v>0</v>
      </c>
      <c r="K30" s="963">
        <f>IF(C48="---",0,C48)</f>
        <v>0</v>
      </c>
    </row>
    <row r="31" spans="1:12" ht="21" customHeight="1">
      <c r="A31" s="219"/>
      <c r="B31" s="127" t="s">
        <v>990</v>
      </c>
      <c r="C31" s="18"/>
      <c r="D31" s="127"/>
      <c r="E31" s="189"/>
      <c r="F31" s="180"/>
      <c r="G31" s="180"/>
      <c r="H31" s="699" t="s">
        <v>991</v>
      </c>
      <c r="I31" s="952">
        <f>I30</f>
        <v>0</v>
      </c>
      <c r="J31" s="952">
        <f>J30</f>
        <v>0</v>
      </c>
      <c r="K31" s="964">
        <f>K30</f>
        <v>0</v>
      </c>
    </row>
    <row r="32" spans="1:12" ht="21" customHeight="1">
      <c r="A32" s="219"/>
      <c r="B32" s="127"/>
      <c r="C32" s="127"/>
      <c r="D32" s="127"/>
      <c r="E32" s="189"/>
      <c r="F32" s="180"/>
      <c r="G32" s="180"/>
      <c r="H32" s="700" t="s">
        <v>671</v>
      </c>
      <c r="I32" s="965"/>
      <c r="J32" s="966"/>
      <c r="K32" s="967"/>
    </row>
    <row r="33" spans="1:12" ht="21" customHeight="1">
      <c r="A33" s="219"/>
      <c r="B33" s="127"/>
      <c r="C33" s="127"/>
      <c r="D33" s="127"/>
      <c r="E33" s="189"/>
      <c r="F33" s="180"/>
      <c r="G33" s="180"/>
      <c r="H33" s="743" t="s">
        <v>992</v>
      </c>
      <c r="I33" s="952"/>
      <c r="J33" s="961"/>
      <c r="K33" s="962"/>
    </row>
    <row r="34" spans="1:12" ht="21" customHeight="1">
      <c r="B34" s="309"/>
      <c r="C34" s="293"/>
      <c r="D34" s="293"/>
      <c r="E34" s="279"/>
      <c r="F34" s="1031"/>
      <c r="G34" s="1031"/>
      <c r="H34" s="692" t="s">
        <v>989</v>
      </c>
      <c r="I34" s="968">
        <f>SUM(G55,G59,G63,G67,G71,G75)</f>
        <v>0</v>
      </c>
      <c r="J34" s="968">
        <f>SUM(G55,G59,G63,G67,G71,G75)</f>
        <v>0</v>
      </c>
      <c r="K34" s="969">
        <f>SUM(G55,G59,G63,G67,G71,G75)</f>
        <v>0</v>
      </c>
    </row>
    <row r="35" spans="1:12" ht="21" customHeight="1">
      <c r="B35" s="408" t="s">
        <v>993</v>
      </c>
      <c r="C35" s="248"/>
      <c r="D35" s="248"/>
      <c r="E35" s="249"/>
      <c r="H35" s="693" t="s">
        <v>279</v>
      </c>
      <c r="I35" s="955">
        <f>IF(G56="Ja",G55,0)+IF(G60="Ja",G59,0)+IF(G64="Ja",G63,0)+IF(G68="Ja",G67,0)+IF(G72="Ja",G71,0)+IF(G76="Ja",G75,0)</f>
        <v>0</v>
      </c>
      <c r="J35" s="955">
        <f>IF(G56="Ja",G55,0)+IF(G60="Ja",G59,0)+IF(G64="Ja",G63,0)+IF(G68="Ja",G67,0)+IF(G72="Ja",G71,0)+IF(G76="Ja",G75,0)</f>
        <v>0</v>
      </c>
      <c r="K35" s="963">
        <f>IF(G56="Ja",G55,0)+IF(G60="Ja",G59,0)+IF(G64="Ja",G63,0)+IF(G68="Ja",G67,0)+IF(G72="Ja",G71,0)+IF(G76="Ja",G75,0)</f>
        <v>0</v>
      </c>
    </row>
    <row r="36" spans="1:12" ht="21" customHeight="1">
      <c r="A36" s="219"/>
      <c r="B36" s="127" t="s">
        <v>994</v>
      </c>
      <c r="C36" s="18"/>
      <c r="D36" s="127" t="s">
        <v>947</v>
      </c>
      <c r="E36" s="866">
        <f>Allgemein!C19</f>
        <v>0</v>
      </c>
      <c r="F36" s="1032"/>
      <c r="G36" s="1034"/>
      <c r="H36" s="693" t="s">
        <v>995</v>
      </c>
      <c r="I36" s="955">
        <v>0</v>
      </c>
      <c r="J36" s="955">
        <v>0</v>
      </c>
      <c r="K36" s="963">
        <v>0</v>
      </c>
    </row>
    <row r="37" spans="1:12" ht="21" customHeight="1">
      <c r="A37" s="219"/>
      <c r="B37" s="127" t="s">
        <v>983</v>
      </c>
      <c r="C37" s="18"/>
      <c r="D37" s="127"/>
      <c r="E37" s="189"/>
      <c r="F37" s="795"/>
      <c r="G37" s="649"/>
      <c r="H37" s="693" t="s">
        <v>991</v>
      </c>
      <c r="I37" s="968">
        <f>I34+I36</f>
        <v>0</v>
      </c>
      <c r="J37" s="955">
        <f>J34+J36</f>
        <v>0</v>
      </c>
      <c r="K37" s="963">
        <f>K34+K36</f>
        <v>0</v>
      </c>
      <c r="L37" s="298"/>
    </row>
    <row r="38" spans="1:12" ht="25.95" customHeight="1">
      <c r="A38" s="219"/>
      <c r="B38" s="127" t="s">
        <v>988</v>
      </c>
      <c r="C38" s="18"/>
      <c r="D38" s="127"/>
      <c r="E38" s="189"/>
      <c r="F38" s="795"/>
      <c r="G38" s="649"/>
      <c r="H38" s="694" t="s">
        <v>283</v>
      </c>
      <c r="I38" s="952"/>
      <c r="J38" s="952"/>
      <c r="K38" s="964"/>
    </row>
    <row r="39" spans="1:12" ht="17.100000000000001" customHeight="1">
      <c r="A39" s="219"/>
      <c r="B39" s="127" t="s">
        <v>990</v>
      </c>
      <c r="C39" s="18"/>
      <c r="D39" s="127"/>
      <c r="E39" s="189"/>
      <c r="F39" s="795"/>
      <c r="G39" s="649"/>
      <c r="H39" s="690" t="s">
        <v>996</v>
      </c>
      <c r="I39" s="959"/>
      <c r="J39" s="970"/>
      <c r="K39" s="971"/>
    </row>
    <row r="40" spans="1:12" ht="17.100000000000001" customHeight="1">
      <c r="A40" s="219"/>
      <c r="B40" s="127"/>
      <c r="C40" s="18"/>
      <c r="D40" s="127"/>
      <c r="E40" s="189"/>
      <c r="F40" s="795"/>
      <c r="G40" s="649"/>
      <c r="H40" s="747" t="s">
        <v>997</v>
      </c>
      <c r="I40" s="1685"/>
      <c r="J40" s="973"/>
      <c r="K40" s="974"/>
    </row>
    <row r="41" spans="1:12" ht="17.100000000000001" customHeight="1">
      <c r="A41" s="219"/>
      <c r="B41" s="127" t="s">
        <v>998</v>
      </c>
      <c r="C41" s="18"/>
      <c r="D41" s="127"/>
      <c r="E41" s="189"/>
      <c r="F41" s="795"/>
      <c r="G41" s="649"/>
      <c r="H41" s="694"/>
      <c r="I41" s="1686"/>
      <c r="J41" s="975"/>
      <c r="K41" s="976"/>
    </row>
    <row r="42" spans="1:12" ht="17.100000000000001" customHeight="1">
      <c r="A42" s="219"/>
      <c r="B42" s="127" t="s">
        <v>999</v>
      </c>
      <c r="C42" s="18"/>
      <c r="D42" s="127"/>
      <c r="E42" s="189"/>
      <c r="F42" s="795"/>
      <c r="G42" s="649"/>
      <c r="H42" s="692"/>
      <c r="I42" s="1686"/>
      <c r="J42" s="975"/>
      <c r="K42" s="976"/>
    </row>
    <row r="43" spans="1:12" ht="17.100000000000001" customHeight="1">
      <c r="A43" s="219"/>
      <c r="B43" s="292" t="s">
        <v>1000</v>
      </c>
      <c r="C43" s="259"/>
      <c r="D43" s="293"/>
      <c r="E43" s="279"/>
      <c r="F43" s="1033"/>
      <c r="G43" s="1035"/>
      <c r="H43" s="693"/>
      <c r="I43" s="1686"/>
      <c r="J43" s="975"/>
      <c r="K43" s="976"/>
    </row>
    <row r="44" spans="1:12" ht="17.100000000000001" customHeight="1">
      <c r="A44" s="219"/>
      <c r="B44" s="295" t="s">
        <v>1001</v>
      </c>
      <c r="C44" s="249"/>
      <c r="D44" s="249"/>
      <c r="E44" s="249"/>
      <c r="G44" s="248"/>
      <c r="H44" s="693"/>
      <c r="I44" s="1686"/>
      <c r="J44" s="975"/>
      <c r="K44" s="976"/>
    </row>
    <row r="45" spans="1:12" ht="24" customHeight="1" thickBot="1">
      <c r="A45" s="219"/>
      <c r="B45" s="296" t="s">
        <v>983</v>
      </c>
      <c r="C45" s="231"/>
      <c r="D45" s="297" t="s">
        <v>1002</v>
      </c>
      <c r="E45" s="277"/>
      <c r="F45" s="1688"/>
      <c r="G45" s="1688"/>
      <c r="H45" s="698"/>
      <c r="I45" s="1687"/>
      <c r="J45" s="977"/>
      <c r="K45" s="978"/>
    </row>
    <row r="46" spans="1:12" ht="16.350000000000001" customHeight="1" thickTop="1">
      <c r="A46" s="219"/>
      <c r="B46" s="234" t="s">
        <v>1003</v>
      </c>
      <c r="C46" s="209"/>
      <c r="D46" s="121" t="s">
        <v>1004</v>
      </c>
      <c r="E46" s="299"/>
      <c r="F46" s="1596"/>
      <c r="G46" s="1689"/>
      <c r="H46" s="686"/>
      <c r="I46" s="686"/>
      <c r="J46" s="686"/>
      <c r="K46" s="686"/>
    </row>
    <row r="47" spans="1:12" ht="21" customHeight="1">
      <c r="A47" s="219"/>
      <c r="B47" s="234"/>
      <c r="C47" s="300"/>
      <c r="D47" s="127" t="s">
        <v>1005</v>
      </c>
      <c r="E47" s="299"/>
      <c r="F47" s="1690"/>
      <c r="G47" s="1691"/>
      <c r="H47" s="686"/>
      <c r="I47" s="686"/>
      <c r="J47" s="686"/>
      <c r="K47" s="686"/>
    </row>
    <row r="48" spans="1:12" ht="18.75" customHeight="1">
      <c r="A48" s="219"/>
      <c r="B48" s="301" t="s">
        <v>1006</v>
      </c>
      <c r="C48" s="302"/>
      <c r="D48" s="303"/>
      <c r="E48" s="304"/>
      <c r="F48" s="1220"/>
      <c r="G48" s="1221"/>
      <c r="H48" s="686"/>
    </row>
    <row r="49" spans="1:11" ht="18.75" customHeight="1">
      <c r="A49" s="219"/>
      <c r="B49" s="127" t="s">
        <v>1007</v>
      </c>
      <c r="C49" s="296" t="s">
        <v>1008</v>
      </c>
      <c r="D49" s="1474"/>
      <c r="E49" s="1482"/>
      <c r="F49" s="1219" t="s">
        <v>1009</v>
      </c>
      <c r="G49" s="1222"/>
      <c r="H49" s="686"/>
    </row>
    <row r="50" spans="1:11" ht="18.75" customHeight="1">
      <c r="A50" s="219"/>
      <c r="B50" s="306" t="s">
        <v>1010</v>
      </c>
      <c r="C50" s="296" t="s">
        <v>1008</v>
      </c>
      <c r="D50" s="1474"/>
      <c r="E50" s="1482"/>
      <c r="F50" s="804" t="s">
        <v>1009</v>
      </c>
      <c r="G50" s="1222"/>
      <c r="H50" s="686"/>
    </row>
    <row r="51" spans="1:11" ht="18.75" customHeight="1">
      <c r="A51" s="219"/>
      <c r="B51" s="301" t="s">
        <v>1011</v>
      </c>
      <c r="C51" s="296" t="s">
        <v>1008</v>
      </c>
      <c r="D51" s="1474"/>
      <c r="E51" s="1482"/>
      <c r="F51" s="1219" t="s">
        <v>1009</v>
      </c>
      <c r="G51" s="1222"/>
      <c r="H51" s="686"/>
    </row>
    <row r="52" spans="1:11" ht="18.75" customHeight="1">
      <c r="A52" s="219"/>
      <c r="B52" s="127" t="s">
        <v>1012</v>
      </c>
      <c r="C52" s="296" t="s">
        <v>1008</v>
      </c>
      <c r="D52" s="1474"/>
      <c r="E52" s="1482"/>
      <c r="F52" s="1219" t="s">
        <v>1009</v>
      </c>
      <c r="G52" s="1222"/>
      <c r="H52" s="686"/>
    </row>
    <row r="53" spans="1:11" ht="18.75" customHeight="1">
      <c r="A53" s="219"/>
      <c r="B53" s="301" t="s">
        <v>1013</v>
      </c>
      <c r="C53" s="296" t="s">
        <v>1008</v>
      </c>
      <c r="D53" s="1474"/>
      <c r="E53" s="1482"/>
      <c r="F53" s="1220" t="s">
        <v>1009</v>
      </c>
      <c r="G53" s="1222"/>
      <c r="H53" s="686"/>
    </row>
    <row r="54" spans="1:11" ht="26.7" customHeight="1">
      <c r="A54" s="219"/>
      <c r="B54" s="408" t="s">
        <v>755</v>
      </c>
      <c r="C54" s="248"/>
      <c r="D54" s="248"/>
      <c r="E54" s="248"/>
      <c r="F54" s="248"/>
      <c r="G54" s="250"/>
      <c r="H54" s="238"/>
    </row>
    <row r="55" spans="1:11" ht="17.100000000000001" customHeight="1">
      <c r="A55" s="219"/>
      <c r="B55" s="127" t="s">
        <v>992</v>
      </c>
      <c r="C55" s="236"/>
      <c r="D55" s="310" t="s">
        <v>1014</v>
      </c>
      <c r="E55" s="311"/>
      <c r="F55" s="127" t="s">
        <v>30</v>
      </c>
      <c r="G55" s="695"/>
      <c r="H55" s="686"/>
    </row>
    <row r="56" spans="1:11" ht="17.850000000000001" customHeight="1">
      <c r="A56" s="219"/>
      <c r="B56" s="127" t="s">
        <v>990</v>
      </c>
      <c r="C56" s="236"/>
      <c r="D56" s="310" t="s">
        <v>1015</v>
      </c>
      <c r="E56" s="311"/>
      <c r="F56" s="127" t="s">
        <v>1016</v>
      </c>
      <c r="G56" s="696"/>
      <c r="H56" s="686"/>
    </row>
    <row r="57" spans="1:11" ht="17.100000000000001" customHeight="1">
      <c r="A57" s="219"/>
      <c r="B57" s="127" t="s">
        <v>983</v>
      </c>
      <c r="C57" s="236"/>
      <c r="D57" s="17" t="s">
        <v>1017</v>
      </c>
      <c r="E57" s="299"/>
      <c r="F57" s="127" t="s">
        <v>307</v>
      </c>
      <c r="G57" s="696"/>
      <c r="H57" s="686"/>
    </row>
    <row r="58" spans="1:11" ht="17.100000000000001" customHeight="1">
      <c r="A58" s="219"/>
      <c r="B58" s="293" t="s">
        <v>668</v>
      </c>
      <c r="C58" s="240"/>
      <c r="D58" s="280" t="s">
        <v>1018</v>
      </c>
      <c r="E58" s="281"/>
      <c r="F58" s="293" t="s">
        <v>1019</v>
      </c>
      <c r="G58" s="386"/>
      <c r="H58" s="686"/>
      <c r="I58" s="20"/>
      <c r="J58" s="686"/>
      <c r="K58" s="686"/>
    </row>
    <row r="59" spans="1:11" ht="17.100000000000001" customHeight="1">
      <c r="A59" s="219"/>
      <c r="B59" s="127" t="s">
        <v>992</v>
      </c>
      <c r="C59" s="312"/>
      <c r="D59" s="313" t="s">
        <v>1014</v>
      </c>
      <c r="E59" s="314"/>
      <c r="F59" s="127" t="s">
        <v>30</v>
      </c>
      <c r="G59" s="697"/>
      <c r="H59" s="686"/>
      <c r="I59" s="896"/>
      <c r="J59" s="686"/>
      <c r="K59" s="686"/>
    </row>
    <row r="60" spans="1:11" ht="17.100000000000001" customHeight="1">
      <c r="A60" s="219"/>
      <c r="B60" s="127" t="s">
        <v>990</v>
      </c>
      <c r="C60" s="236"/>
      <c r="D60" s="310" t="s">
        <v>1015</v>
      </c>
      <c r="E60" s="311"/>
      <c r="F60" s="127" t="s">
        <v>1016</v>
      </c>
      <c r="G60" s="696"/>
      <c r="H60" s="686"/>
      <c r="I60" s="20"/>
      <c r="J60" s="686"/>
      <c r="K60" s="686"/>
    </row>
    <row r="61" spans="1:11" ht="17.100000000000001" customHeight="1">
      <c r="A61" s="219"/>
      <c r="B61" s="127" t="s">
        <v>983</v>
      </c>
      <c r="C61" s="236"/>
      <c r="D61" s="17" t="s">
        <v>1017</v>
      </c>
      <c r="E61" s="299"/>
      <c r="F61" s="127" t="s">
        <v>307</v>
      </c>
      <c r="G61" s="696"/>
      <c r="H61" s="686"/>
      <c r="I61" s="20"/>
      <c r="J61" s="686"/>
      <c r="K61" s="686"/>
    </row>
    <row r="62" spans="1:11" ht="17.100000000000001" customHeight="1">
      <c r="A62" s="219"/>
      <c r="B62" s="293" t="s">
        <v>668</v>
      </c>
      <c r="C62" s="240"/>
      <c r="D62" s="280" t="s">
        <v>1018</v>
      </c>
      <c r="E62" s="281"/>
      <c r="F62" s="293" t="s">
        <v>1019</v>
      </c>
      <c r="G62" s="386"/>
      <c r="H62" s="686"/>
      <c r="I62" s="20"/>
      <c r="J62" s="686"/>
      <c r="K62" s="686"/>
    </row>
    <row r="63" spans="1:11" ht="17.100000000000001" customHeight="1">
      <c r="A63" s="219"/>
      <c r="B63" s="127" t="s">
        <v>992</v>
      </c>
      <c r="C63" s="312"/>
      <c r="D63" s="313" t="s">
        <v>1014</v>
      </c>
      <c r="E63" s="314"/>
      <c r="F63" s="127" t="s">
        <v>30</v>
      </c>
      <c r="G63" s="697"/>
      <c r="H63" s="686"/>
      <c r="I63" s="896"/>
      <c r="J63" s="686"/>
      <c r="K63" s="686"/>
    </row>
    <row r="64" spans="1:11" ht="17.100000000000001" customHeight="1">
      <c r="A64" s="219"/>
      <c r="B64" s="127" t="s">
        <v>990</v>
      </c>
      <c r="C64" s="236"/>
      <c r="D64" s="310" t="s">
        <v>1015</v>
      </c>
      <c r="E64" s="311"/>
      <c r="F64" s="127" t="s">
        <v>1016</v>
      </c>
      <c r="G64" s="696"/>
      <c r="H64" s="686"/>
      <c r="I64" s="20"/>
      <c r="J64" s="686"/>
      <c r="K64" s="686"/>
    </row>
    <row r="65" spans="1:16" ht="17.100000000000001" customHeight="1">
      <c r="A65" s="219"/>
      <c r="B65" s="127" t="s">
        <v>983</v>
      </c>
      <c r="C65" s="236"/>
      <c r="D65" s="17" t="s">
        <v>1017</v>
      </c>
      <c r="E65" s="299"/>
      <c r="F65" s="127" t="s">
        <v>307</v>
      </c>
      <c r="G65" s="696"/>
      <c r="H65" s="686"/>
      <c r="I65" s="20"/>
      <c r="J65" s="686"/>
      <c r="K65" s="686"/>
    </row>
    <row r="66" spans="1:16" ht="17.100000000000001" customHeight="1">
      <c r="A66" s="219"/>
      <c r="B66" s="293" t="s">
        <v>668</v>
      </c>
      <c r="C66" s="240"/>
      <c r="D66" s="280" t="s">
        <v>1018</v>
      </c>
      <c r="E66" s="281"/>
      <c r="F66" s="293" t="s">
        <v>1019</v>
      </c>
      <c r="G66" s="386"/>
      <c r="H66" s="686"/>
      <c r="I66" s="20"/>
      <c r="J66" s="686"/>
      <c r="K66" s="686"/>
    </row>
    <row r="67" spans="1:16" ht="17.100000000000001" customHeight="1">
      <c r="A67" s="219"/>
      <c r="B67" s="127" t="s">
        <v>992</v>
      </c>
      <c r="C67" s="312"/>
      <c r="D67" s="313" t="s">
        <v>1014</v>
      </c>
      <c r="E67" s="314"/>
      <c r="F67" s="127" t="s">
        <v>30</v>
      </c>
      <c r="G67" s="697"/>
      <c r="H67" s="686"/>
      <c r="I67" s="896"/>
      <c r="J67" s="686"/>
      <c r="K67" s="686"/>
    </row>
    <row r="68" spans="1:16" ht="17.100000000000001" customHeight="1">
      <c r="A68" s="219"/>
      <c r="B68" s="127" t="s">
        <v>990</v>
      </c>
      <c r="C68" s="236"/>
      <c r="D68" s="310" t="s">
        <v>1015</v>
      </c>
      <c r="E68" s="311"/>
      <c r="F68" s="127" t="s">
        <v>1016</v>
      </c>
      <c r="G68" s="696"/>
      <c r="H68" s="686"/>
      <c r="I68" s="20"/>
      <c r="J68" s="686"/>
      <c r="K68" s="686"/>
    </row>
    <row r="69" spans="1:16" ht="17.100000000000001" customHeight="1">
      <c r="A69" s="219"/>
      <c r="B69" s="127" t="s">
        <v>983</v>
      </c>
      <c r="C69" s="236"/>
      <c r="D69" s="17" t="s">
        <v>1017</v>
      </c>
      <c r="E69" s="299"/>
      <c r="F69" s="127" t="s">
        <v>307</v>
      </c>
      <c r="G69" s="696"/>
      <c r="H69" s="686"/>
      <c r="I69" s="20"/>
      <c r="J69" s="686"/>
      <c r="K69" s="686"/>
    </row>
    <row r="70" spans="1:16" ht="17.100000000000001" customHeight="1">
      <c r="A70" s="219"/>
      <c r="B70" s="293" t="s">
        <v>668</v>
      </c>
      <c r="C70" s="240"/>
      <c r="D70" s="280" t="s">
        <v>1018</v>
      </c>
      <c r="E70" s="281"/>
      <c r="F70" s="293" t="s">
        <v>1019</v>
      </c>
      <c r="G70" s="386"/>
      <c r="H70" s="686"/>
      <c r="I70" s="20"/>
      <c r="J70" s="686"/>
      <c r="K70" s="686"/>
    </row>
    <row r="71" spans="1:16" ht="17.100000000000001" customHeight="1">
      <c r="A71" s="219"/>
      <c r="B71" s="127" t="s">
        <v>992</v>
      </c>
      <c r="C71" s="312"/>
      <c r="D71" s="313" t="s">
        <v>1014</v>
      </c>
      <c r="E71" s="314"/>
      <c r="F71" s="127" t="s">
        <v>30</v>
      </c>
      <c r="G71" s="697"/>
      <c r="H71" s="686"/>
      <c r="I71" s="896"/>
      <c r="J71" s="686"/>
      <c r="K71" s="686"/>
    </row>
    <row r="72" spans="1:16" ht="17.100000000000001" customHeight="1">
      <c r="A72" s="219"/>
      <c r="B72" s="127" t="s">
        <v>990</v>
      </c>
      <c r="C72" s="236"/>
      <c r="D72" s="310" t="s">
        <v>1015</v>
      </c>
      <c r="E72" s="311"/>
      <c r="F72" s="127" t="s">
        <v>1016</v>
      </c>
      <c r="G72" s="696"/>
      <c r="H72" s="686"/>
      <c r="I72" s="20"/>
      <c r="J72" s="686"/>
      <c r="K72" s="686"/>
    </row>
    <row r="73" spans="1:16" ht="17.100000000000001" customHeight="1">
      <c r="A73" s="219"/>
      <c r="B73" s="127" t="s">
        <v>983</v>
      </c>
      <c r="C73" s="236"/>
      <c r="D73" s="17" t="s">
        <v>1017</v>
      </c>
      <c r="E73" s="299"/>
      <c r="F73" s="127" t="s">
        <v>307</v>
      </c>
      <c r="G73" s="696"/>
      <c r="H73" s="686"/>
      <c r="I73" s="20"/>
      <c r="J73" s="686"/>
      <c r="K73" s="686"/>
    </row>
    <row r="74" spans="1:16" ht="17.100000000000001" customHeight="1">
      <c r="A74" s="219"/>
      <c r="B74" s="293" t="s">
        <v>668</v>
      </c>
      <c r="C74" s="240"/>
      <c r="D74" s="280" t="s">
        <v>1018</v>
      </c>
      <c r="E74" s="281"/>
      <c r="F74" s="293" t="s">
        <v>1019</v>
      </c>
      <c r="G74" s="386"/>
      <c r="H74" s="686"/>
      <c r="I74" s="20"/>
      <c r="J74" s="686"/>
      <c r="K74" s="686"/>
    </row>
    <row r="75" spans="1:16" ht="17.100000000000001" customHeight="1">
      <c r="A75" s="219"/>
      <c r="B75" s="127" t="s">
        <v>992</v>
      </c>
      <c r="C75" s="312"/>
      <c r="D75" s="313" t="s">
        <v>1014</v>
      </c>
      <c r="E75" s="314"/>
      <c r="F75" s="127" t="s">
        <v>30</v>
      </c>
      <c r="G75" s="697"/>
      <c r="H75" s="686"/>
      <c r="I75" s="896"/>
      <c r="J75" s="686"/>
      <c r="K75" s="686"/>
    </row>
    <row r="76" spans="1:16" ht="17.100000000000001" customHeight="1">
      <c r="A76" s="219"/>
      <c r="B76" s="127" t="s">
        <v>990</v>
      </c>
      <c r="C76" s="236"/>
      <c r="D76" s="310" t="s">
        <v>1015</v>
      </c>
      <c r="E76" s="311"/>
      <c r="F76" s="127" t="s">
        <v>1016</v>
      </c>
      <c r="G76" s="696"/>
      <c r="H76" s="686"/>
      <c r="I76" s="20"/>
      <c r="J76" s="686"/>
      <c r="K76" s="686"/>
    </row>
    <row r="77" spans="1:16" ht="17.100000000000001" customHeight="1">
      <c r="A77" s="219"/>
      <c r="B77" s="127" t="s">
        <v>983</v>
      </c>
      <c r="C77" s="236"/>
      <c r="D77" s="17" t="s">
        <v>1017</v>
      </c>
      <c r="E77" s="299"/>
      <c r="F77" s="127" t="s">
        <v>307</v>
      </c>
      <c r="G77" s="696"/>
      <c r="H77" s="686"/>
      <c r="I77" s="20"/>
      <c r="J77" s="686"/>
      <c r="K77" s="686"/>
      <c r="L77" s="20"/>
      <c r="O77" s="19"/>
      <c r="P77" s="19"/>
    </row>
    <row r="78" spans="1:16" ht="17.100000000000001" customHeight="1">
      <c r="A78" s="219"/>
      <c r="B78" s="293" t="s">
        <v>668</v>
      </c>
      <c r="C78" s="240"/>
      <c r="D78" s="280" t="s">
        <v>1018</v>
      </c>
      <c r="E78" s="281"/>
      <c r="F78" s="293" t="s">
        <v>1019</v>
      </c>
      <c r="G78" s="386"/>
      <c r="H78" s="686"/>
      <c r="I78" s="20"/>
      <c r="J78" s="686"/>
      <c r="K78" s="686"/>
      <c r="M78" s="20"/>
      <c r="N78" s="19"/>
      <c r="O78" s="19"/>
      <c r="P78" s="19"/>
    </row>
    <row r="79" spans="1:16" ht="23.7" customHeight="1">
      <c r="A79" s="219"/>
      <c r="B79" s="408" t="s">
        <v>1020</v>
      </c>
      <c r="C79" s="248"/>
      <c r="D79" s="248"/>
      <c r="G79" s="250"/>
      <c r="H79" s="238"/>
      <c r="I79" s="238"/>
      <c r="J79" s="238"/>
      <c r="K79" s="687"/>
      <c r="L79" s="13"/>
    </row>
    <row r="80" spans="1:16" ht="17.100000000000001" customHeight="1">
      <c r="A80" s="219"/>
      <c r="B80" s="234" t="s">
        <v>35</v>
      </c>
      <c r="C80" s="18"/>
      <c r="D80" s="127" t="s">
        <v>1021</v>
      </c>
      <c r="E80" s="305"/>
      <c r="F80" s="296" t="s">
        <v>1008</v>
      </c>
      <c r="G80" s="233"/>
      <c r="H80" s="688"/>
      <c r="I80" s="230"/>
      <c r="J80" s="230"/>
      <c r="K80" s="686"/>
      <c r="L80" s="14"/>
      <c r="M80" s="13"/>
      <c r="N80" s="13"/>
      <c r="O80" s="13"/>
    </row>
    <row r="81" spans="1:16" ht="18.75" customHeight="1">
      <c r="A81" s="219"/>
      <c r="B81" s="234"/>
      <c r="C81" s="18"/>
      <c r="D81" s="127" t="s">
        <v>1022</v>
      </c>
      <c r="E81" s="187"/>
      <c r="F81" s="1614"/>
      <c r="G81" s="1698"/>
      <c r="H81" s="688"/>
      <c r="I81" s="230"/>
      <c r="J81" s="230"/>
      <c r="K81" s="686"/>
    </row>
    <row r="82" spans="1:16" ht="19.350000000000001" customHeight="1">
      <c r="A82" s="219"/>
      <c r="B82" s="127"/>
      <c r="C82" s="18"/>
      <c r="D82" s="127"/>
      <c r="E82" s="187"/>
      <c r="F82" s="1614"/>
      <c r="G82" s="1698"/>
      <c r="H82" s="689"/>
      <c r="I82" s="689"/>
      <c r="J82" s="689"/>
      <c r="K82" s="689"/>
    </row>
    <row r="83" spans="1:16" ht="19.5" customHeight="1">
      <c r="A83" s="219"/>
      <c r="B83" s="292"/>
      <c r="C83" s="293"/>
      <c r="D83" s="293"/>
      <c r="E83" s="290"/>
      <c r="F83" s="1699"/>
      <c r="G83" s="1700"/>
      <c r="H83" s="689"/>
      <c r="I83" s="689"/>
      <c r="J83" s="689"/>
      <c r="K83" s="689"/>
    </row>
    <row r="84" spans="1:16" ht="21.6" customHeight="1">
      <c r="A84" s="219"/>
      <c r="B84" s="408" t="s">
        <v>1023</v>
      </c>
      <c r="C84" s="248"/>
      <c r="D84" s="248"/>
      <c r="E84" s="248"/>
      <c r="F84" s="248"/>
      <c r="G84" s="250"/>
      <c r="H84" s="238"/>
      <c r="I84" s="238"/>
      <c r="J84" s="238"/>
      <c r="K84" s="687"/>
      <c r="L84" s="16"/>
    </row>
    <row r="85" spans="1:16" ht="17.100000000000001" customHeight="1">
      <c r="A85" s="219"/>
      <c r="B85" s="234" t="s">
        <v>35</v>
      </c>
      <c r="C85" s="18"/>
      <c r="D85" s="127"/>
      <c r="E85" s="187"/>
      <c r="F85" s="296" t="s">
        <v>1008</v>
      </c>
      <c r="G85" s="233"/>
      <c r="H85" s="689"/>
      <c r="I85" s="689"/>
      <c r="J85" s="689"/>
      <c r="K85" s="689"/>
      <c r="M85" s="16"/>
      <c r="N85" s="16"/>
      <c r="O85" s="16"/>
      <c r="P85" s="16"/>
    </row>
    <row r="86" spans="1:16" ht="31.35" customHeight="1">
      <c r="A86" s="219"/>
      <c r="B86" s="234"/>
      <c r="C86" s="18"/>
      <c r="D86" s="127"/>
      <c r="E86" s="187"/>
      <c r="F86" s="1614"/>
      <c r="G86" s="1698"/>
      <c r="H86" s="689"/>
      <c r="I86" s="689"/>
      <c r="J86" s="689"/>
      <c r="K86" s="689"/>
    </row>
    <row r="87" spans="1:16" ht="17.100000000000001" customHeight="1">
      <c r="A87" s="219"/>
      <c r="B87" s="127"/>
      <c r="C87" s="18"/>
      <c r="D87" s="127"/>
      <c r="E87" s="187"/>
      <c r="F87" s="1614"/>
      <c r="G87" s="1698"/>
      <c r="H87" s="689"/>
      <c r="I87" s="689"/>
      <c r="J87" s="689"/>
      <c r="K87" s="689"/>
    </row>
    <row r="88" spans="1:16" ht="17.100000000000001" customHeight="1" thickBot="1">
      <c r="A88" s="219"/>
      <c r="B88" s="316"/>
      <c r="C88" s="266"/>
      <c r="D88" s="266"/>
      <c r="E88" s="198"/>
      <c r="F88" s="1701"/>
      <c r="G88" s="1702"/>
      <c r="H88" s="689"/>
      <c r="I88" s="689"/>
      <c r="J88" s="689"/>
      <c r="K88" s="689"/>
    </row>
    <row r="89" spans="1:16" ht="17.100000000000001" customHeight="1" thickTop="1">
      <c r="B89" s="317"/>
      <c r="F89" s="170"/>
    </row>
    <row r="90" spans="1:16" ht="17.100000000000001" customHeight="1">
      <c r="F90" s="170"/>
    </row>
    <row r="91" spans="1:16" ht="17.100000000000001" customHeight="1"/>
    <row r="92" spans="1:16" ht="17.100000000000001" customHeight="1">
      <c r="C92" s="317"/>
    </row>
    <row r="93" spans="1:16" ht="17.100000000000001" customHeight="1"/>
    <row r="94" spans="1:16" ht="17.100000000000001" customHeight="1"/>
    <row r="95" spans="1:16" ht="17.100000000000001" customHeight="1">
      <c r="C95" s="318"/>
      <c r="D95" s="20"/>
    </row>
    <row r="96" spans="1:16" ht="17.100000000000001" customHeight="1">
      <c r="F96" s="170"/>
    </row>
    <row r="97" spans="2:15" ht="17.100000000000001" customHeight="1"/>
    <row r="98" spans="2:15" ht="27" customHeight="1">
      <c r="F98" s="170"/>
    </row>
    <row r="99" spans="2:15" ht="17.100000000000001" customHeight="1"/>
    <row r="100" spans="2:15" ht="17.100000000000001" customHeight="1">
      <c r="C100" s="246"/>
    </row>
    <row r="101" spans="2:15">
      <c r="C101" s="246"/>
    </row>
    <row r="102" spans="2:15">
      <c r="C102" s="246"/>
    </row>
    <row r="103" spans="2:15">
      <c r="C103" s="19"/>
    </row>
    <row r="106" spans="2:15">
      <c r="K106" s="8"/>
      <c r="L106" s="8"/>
      <c r="M106" s="8"/>
      <c r="N106" s="245"/>
      <c r="O106" s="8"/>
    </row>
    <row r="107" spans="2:15">
      <c r="K107" s="246"/>
    </row>
    <row r="108" spans="2:15">
      <c r="G108" s="170"/>
      <c r="K108" s="246"/>
    </row>
    <row r="109" spans="2:15">
      <c r="B109" s="319"/>
      <c r="C109" s="246"/>
      <c r="D109" s="246"/>
      <c r="E109" s="320"/>
      <c r="F109" s="320"/>
      <c r="G109" s="320"/>
      <c r="H109" s="320"/>
      <c r="K109" s="246"/>
    </row>
    <row r="110" spans="2:15">
      <c r="B110" s="319"/>
      <c r="C110" s="246"/>
      <c r="D110" s="246"/>
      <c r="E110" s="246"/>
      <c r="F110" s="246"/>
      <c r="G110" s="246"/>
      <c r="H110" s="246"/>
      <c r="K110" s="246"/>
    </row>
    <row r="111" spans="2:15">
      <c r="B111" s="319"/>
      <c r="C111" s="246"/>
      <c r="D111" s="246"/>
      <c r="E111" s="246"/>
      <c r="F111" s="246"/>
      <c r="G111" s="246"/>
      <c r="H111" s="246"/>
      <c r="K111" s="246"/>
    </row>
    <row r="112" spans="2:15">
      <c r="E112" s="246"/>
      <c r="F112" s="246"/>
      <c r="G112" s="246"/>
      <c r="H112" s="246"/>
      <c r="K112" s="246"/>
    </row>
    <row r="118" spans="2:10">
      <c r="B118" s="321"/>
      <c r="C118" s="8"/>
      <c r="D118" s="8"/>
      <c r="E118" s="8"/>
      <c r="F118" s="8"/>
      <c r="G118" s="8"/>
      <c r="H118" s="8"/>
      <c r="I118" s="8"/>
      <c r="J118" s="8"/>
    </row>
    <row r="119" spans="2:10">
      <c r="B119" s="319"/>
      <c r="C119" s="20"/>
      <c r="D119" s="20"/>
      <c r="E119" s="320"/>
      <c r="F119" s="320"/>
      <c r="G119" s="320"/>
      <c r="H119" s="320"/>
    </row>
    <row r="120" spans="2:10">
      <c r="B120" s="319"/>
      <c r="C120" s="20"/>
      <c r="D120" s="20"/>
      <c r="E120" s="320"/>
      <c r="F120" s="320"/>
      <c r="G120" s="320"/>
      <c r="H120" s="320"/>
    </row>
    <row r="121" spans="2:10">
      <c r="B121" s="319"/>
      <c r="C121" s="20"/>
      <c r="D121" s="20"/>
      <c r="E121" s="320"/>
      <c r="F121" s="320"/>
      <c r="G121" s="320"/>
      <c r="H121" s="320"/>
    </row>
    <row r="122" spans="2:10">
      <c r="B122" s="319"/>
      <c r="C122" s="20"/>
      <c r="D122" s="20"/>
      <c r="E122" s="320"/>
      <c r="F122" s="320"/>
      <c r="G122" s="320"/>
      <c r="H122" s="320"/>
    </row>
    <row r="123" spans="2:10">
      <c r="B123" s="319"/>
      <c r="C123" s="20"/>
      <c r="D123" s="20"/>
      <c r="E123" s="320"/>
      <c r="F123" s="320"/>
      <c r="G123" s="320"/>
      <c r="H123" s="320"/>
    </row>
  </sheetData>
  <mergeCells count="33">
    <mergeCell ref="B14:B15"/>
    <mergeCell ref="B23:B24"/>
    <mergeCell ref="C23:C24"/>
    <mergeCell ref="B16:B17"/>
    <mergeCell ref="B21:B22"/>
    <mergeCell ref="C21:C22"/>
    <mergeCell ref="B19:B20"/>
    <mergeCell ref="C19:C20"/>
    <mergeCell ref="C2:E2"/>
    <mergeCell ref="C3:E3"/>
    <mergeCell ref="C5:E5"/>
    <mergeCell ref="C6:E6"/>
    <mergeCell ref="F12:G16"/>
    <mergeCell ref="G8:I8"/>
    <mergeCell ref="D50:E50"/>
    <mergeCell ref="C7:E7"/>
    <mergeCell ref="C4:E4"/>
    <mergeCell ref="D49:E49"/>
    <mergeCell ref="C8:E8"/>
    <mergeCell ref="F81:G83"/>
    <mergeCell ref="F86:G88"/>
    <mergeCell ref="D51:E51"/>
    <mergeCell ref="D52:E52"/>
    <mergeCell ref="D53:E53"/>
    <mergeCell ref="F21:G23"/>
    <mergeCell ref="I40:I45"/>
    <mergeCell ref="F45:G47"/>
    <mergeCell ref="J2:K8"/>
    <mergeCell ref="F2:I2"/>
    <mergeCell ref="G4:I4"/>
    <mergeCell ref="G5:I5"/>
    <mergeCell ref="G6:I6"/>
    <mergeCell ref="G7:I7"/>
  </mergeCells>
  <phoneticPr fontId="1" type="noConversion"/>
  <conditionalFormatting sqref="I11:I13">
    <cfRule type="expression" dxfId="192" priority="15">
      <formula>$I$11="Nein"</formula>
    </cfRule>
  </conditionalFormatting>
  <conditionalFormatting sqref="I14:I18">
    <cfRule type="expression" dxfId="190" priority="14">
      <formula>$I$14="Nein"</formula>
    </cfRule>
  </conditionalFormatting>
  <conditionalFormatting sqref="I19:I21">
    <cfRule type="expression" dxfId="189" priority="13">
      <formula>$I$19="Nein"</formula>
    </cfRule>
  </conditionalFormatting>
  <conditionalFormatting sqref="I22:I25">
    <cfRule type="expression" dxfId="188" priority="12">
      <formula>$I$22="Nein"</formula>
    </cfRule>
  </conditionalFormatting>
  <conditionalFormatting sqref="I26:I28">
    <cfRule type="expression" dxfId="187" priority="11">
      <formula>$I$26="Nein"</formula>
    </cfRule>
  </conditionalFormatting>
  <conditionalFormatting sqref="J11:J13">
    <cfRule type="expression" dxfId="186" priority="10">
      <formula>$J$11="Nein"</formula>
    </cfRule>
  </conditionalFormatting>
  <conditionalFormatting sqref="J14:J18">
    <cfRule type="expression" dxfId="184" priority="9">
      <formula>$J$14="Nein"</formula>
    </cfRule>
  </conditionalFormatting>
  <conditionalFormatting sqref="J19:J21">
    <cfRule type="expression" dxfId="183" priority="8">
      <formula>$J$19="Nein"</formula>
    </cfRule>
  </conditionalFormatting>
  <conditionalFormatting sqref="J22:J25">
    <cfRule type="expression" dxfId="182" priority="7">
      <formula>$J$22="Nein"</formula>
    </cfRule>
  </conditionalFormatting>
  <conditionalFormatting sqref="J26:J28">
    <cfRule type="expression" dxfId="181" priority="6">
      <formula>$J$26="Nein"</formula>
    </cfRule>
  </conditionalFormatting>
  <conditionalFormatting sqref="K11:K13">
    <cfRule type="expression" dxfId="180" priority="5">
      <formula>$K$11="Nein"</formula>
    </cfRule>
  </conditionalFormatting>
  <conditionalFormatting sqref="K14:K18">
    <cfRule type="expression" dxfId="178" priority="4">
      <formula>$K$14="Nein"</formula>
    </cfRule>
  </conditionalFormatting>
  <conditionalFormatting sqref="K19:K21">
    <cfRule type="expression" dxfId="177" priority="3">
      <formula>$K$19="Nein"</formula>
    </cfRule>
  </conditionalFormatting>
  <conditionalFormatting sqref="K22:K25">
    <cfRule type="expression" dxfId="176" priority="2">
      <formula>$K$22="Nein"</formula>
    </cfRule>
  </conditionalFormatting>
  <conditionalFormatting sqref="K26:K28">
    <cfRule type="expression" dxfId="175" priority="1">
      <formula>$K$26="Nein"</formula>
    </cfRule>
  </conditionalFormatting>
  <pageMargins left="0.7" right="0.7" top="0.78740157499999996" bottom="0.78740157499999996" header="0.3" footer="0.3"/>
  <pageSetup paperSize="9" scale="44" fitToHeight="0" orientation="landscape" r:id="rId1"/>
  <headerFooter>
    <oddHeader>&amp;L
&amp;C&amp;"-,Fett"Maßnahmenpaket Fenster und Türen&amp;R&amp;"-,Fett"&amp;D</oddHeader>
    <oddFooter>&amp;R&amp;"-,Fett"&amp;P</oddFooter>
  </headerFooter>
  <rowBreaks count="1" manualBreakCount="1">
    <brk id="90" min="1" max="11" man="1"/>
  </rowBreaks>
  <colBreaks count="1" manualBreakCount="1">
    <brk id="10" min="1" max="71" man="1"/>
  </colBreaks>
  <extLst>
    <ext xmlns:x14="http://schemas.microsoft.com/office/spreadsheetml/2009/9/main" uri="{78C0D931-6437-407d-A8EE-F0AAD7539E65}">
      <x14:conditionalFormattings>
        <x14:conditionalFormatting xmlns:xm="http://schemas.microsoft.com/office/excel/2006/main">
          <x14:cfRule type="expression" priority="17" id="{D711FF0D-4AE5-41AA-80FF-0FF9941ED203}">
            <xm:f>Allgemein!$C$91=$I$10</xm:f>
            <x14:dxf>
              <fill>
                <patternFill>
                  <bgColor theme="9" tint="0.79998168889431442"/>
                </patternFill>
              </fill>
            </x14:dxf>
          </x14:cfRule>
          <xm:sqref>I11:I45</xm:sqref>
        </x14:conditionalFormatting>
        <x14:conditionalFormatting xmlns:xm="http://schemas.microsoft.com/office/excel/2006/main">
          <x14:cfRule type="expression" priority="18" id="{952CE94B-EE77-4126-BBA6-1B3FAD230698}">
            <xm:f>Allgemein!$C$91=$J$10</xm:f>
            <x14:dxf>
              <fill>
                <patternFill>
                  <bgColor theme="9" tint="0.79998168889431442"/>
                </patternFill>
              </fill>
            </x14:dxf>
          </x14:cfRule>
          <xm:sqref>J11:J45</xm:sqref>
        </x14:conditionalFormatting>
        <x14:conditionalFormatting xmlns:xm="http://schemas.microsoft.com/office/excel/2006/main">
          <x14:cfRule type="expression" priority="16" id="{CF1D33EB-D0D4-48CB-8A97-BACD4EECA911}">
            <xm:f>Allgemein!$C$91=$K$10</xm:f>
            <x14:dxf>
              <fill>
                <patternFill>
                  <bgColor theme="9" tint="0.79998168889431442"/>
                </patternFill>
              </fill>
            </x14:dxf>
          </x14:cfRule>
          <xm:sqref>K11:K45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113066F2-B890-47B6-9E66-EDF7BEDAD660}">
          <x14:formula1>
            <xm:f>Datenbank!$S$3:$S$4</xm:f>
          </x14:formula1>
          <xm:sqref>I11:K11 J15:K15 I26 I22 I19 I14:I15</xm:sqref>
        </x14:dataValidation>
        <x14:dataValidation type="list" allowBlank="1" showInputMessage="1" showErrorMessage="1" xr:uid="{21DDF6E1-748D-4D7F-96C1-03403C0761A4}">
          <x14:formula1>
            <xm:f>'Datenbank-Preise'!$B$168:$B$195</xm:f>
          </x14:formula1>
          <xm:sqref>I17:K17 I24:K24</xm:sqref>
        </x14:dataValidation>
        <x14:dataValidation type="list" allowBlank="1" showInputMessage="1" showErrorMessage="1" xr:uid="{12168E70-8DD6-4D88-A703-A72BC405617E}">
          <x14:formula1>
            <xm:f>'Datenbank-Preise'!$T$168:$T$172</xm:f>
          </x14:formula1>
          <xm:sqref>I38:K38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16CE-60FD-49C1-937A-69E0A7C945E2}">
  <sheetPr>
    <pageSetUpPr fitToPage="1"/>
  </sheetPr>
  <dimension ref="A1:P123"/>
  <sheetViews>
    <sheetView showGridLines="0" topLeftCell="C1" zoomScale="85" zoomScaleNormal="85" workbookViewId="0">
      <selection activeCell="L15" sqref="L15"/>
    </sheetView>
  </sheetViews>
  <sheetFormatPr baseColWidth="10" defaultColWidth="11.5546875" defaultRowHeight="16.8"/>
  <cols>
    <col min="1" max="1" width="4.44140625" style="10" customWidth="1"/>
    <col min="2" max="2" width="29.5546875" style="10" customWidth="1"/>
    <col min="3" max="3" width="17.33203125" style="10" customWidth="1"/>
    <col min="4" max="4" width="25.6640625" style="10" customWidth="1"/>
    <col min="5" max="5" width="21.33203125" style="10" customWidth="1"/>
    <col min="6" max="6" width="29.44140625" style="10" customWidth="1"/>
    <col min="7" max="7" width="22.6640625" style="10" customWidth="1"/>
    <col min="8" max="8" width="38.5546875" style="10" customWidth="1"/>
    <col min="9" max="9" width="35.6640625" style="10" customWidth="1"/>
    <col min="10" max="10" width="33.44140625" style="10" customWidth="1"/>
    <col min="11" max="11" width="39.6640625" style="10" customWidth="1"/>
    <col min="12" max="12" width="19.5546875" style="10" customWidth="1"/>
    <col min="13" max="13" width="38.6640625" style="10" customWidth="1"/>
    <col min="14" max="14" width="31.5546875" style="10" customWidth="1"/>
    <col min="15" max="15" width="24.5546875" style="10" customWidth="1"/>
    <col min="16" max="16" width="31.5546875" style="10" customWidth="1"/>
    <col min="17" max="17" width="13.44140625" style="10" customWidth="1"/>
    <col min="18" max="18" width="15.5546875" style="10" customWidth="1"/>
    <col min="19" max="16384" width="11.5546875" style="10"/>
  </cols>
  <sheetData>
    <row r="1" spans="1:12" ht="17.399999999999999" thickBot="1">
      <c r="B1" s="217"/>
      <c r="C1" s="217"/>
      <c r="D1" s="217"/>
      <c r="E1" s="217"/>
      <c r="F1" s="217"/>
      <c r="G1" s="217"/>
      <c r="H1" s="217"/>
      <c r="I1" s="217"/>
      <c r="J1" s="217"/>
      <c r="K1" s="217"/>
    </row>
    <row r="2" spans="1:12" ht="29.25" customHeight="1" thickTop="1">
      <c r="A2" s="219"/>
      <c r="B2" s="127" t="s">
        <v>0</v>
      </c>
      <c r="C2" s="1629">
        <f>Allgemein!C2</f>
        <v>0</v>
      </c>
      <c r="D2" s="1629"/>
      <c r="E2" s="1629"/>
      <c r="F2" s="1558" t="s">
        <v>959</v>
      </c>
      <c r="G2" s="1559"/>
      <c r="H2" s="1559"/>
      <c r="I2" s="1560"/>
      <c r="J2" s="1653" t="e" vm="1">
        <v>#VALUE!</v>
      </c>
      <c r="K2" s="1654"/>
      <c r="L2" s="220"/>
    </row>
    <row r="3" spans="1:12" ht="16.5" customHeight="1">
      <c r="A3" s="219"/>
      <c r="B3" s="127" t="s">
        <v>4</v>
      </c>
      <c r="C3" s="1477">
        <f>Allgemein!C3</f>
        <v>0</v>
      </c>
      <c r="D3" s="1477"/>
      <c r="E3" s="1631"/>
      <c r="F3" s="200"/>
      <c r="G3" s="110" t="s">
        <v>255</v>
      </c>
      <c r="H3" s="110"/>
      <c r="I3" s="214"/>
      <c r="J3" s="1623"/>
      <c r="K3" s="1656"/>
      <c r="L3" s="220"/>
    </row>
    <row r="4" spans="1:12" ht="16.5" customHeight="1">
      <c r="A4" s="219"/>
      <c r="B4" s="127" t="s">
        <v>5</v>
      </c>
      <c r="C4" s="1477">
        <f>Allgemein!C4</f>
        <v>0</v>
      </c>
      <c r="D4" s="1477"/>
      <c r="E4" s="1631"/>
      <c r="F4" s="473" t="s">
        <v>256</v>
      </c>
      <c r="G4" s="1692">
        <f>Allgemein!C94</f>
        <v>0</v>
      </c>
      <c r="H4" s="1692"/>
      <c r="I4" s="1693"/>
      <c r="J4" s="1623"/>
      <c r="K4" s="1656"/>
      <c r="L4" s="220"/>
    </row>
    <row r="5" spans="1:12" ht="16.95" customHeight="1">
      <c r="A5" s="219"/>
      <c r="B5" s="127" t="s">
        <v>8</v>
      </c>
      <c r="C5" s="1477">
        <f>Allgemein!C5</f>
        <v>0</v>
      </c>
      <c r="D5" s="1477"/>
      <c r="E5" s="1631"/>
      <c r="F5" s="475" t="s">
        <v>257</v>
      </c>
      <c r="G5" s="1694">
        <f>Allgemein!G94</f>
        <v>0</v>
      </c>
      <c r="H5" s="1694"/>
      <c r="I5" s="1695"/>
      <c r="J5" s="1623"/>
      <c r="K5" s="1656"/>
      <c r="L5" s="220"/>
    </row>
    <row r="6" spans="1:12">
      <c r="A6" s="219"/>
      <c r="B6" s="127" t="s">
        <v>11</v>
      </c>
      <c r="C6" s="1477">
        <f>Allgemein!C6</f>
        <v>0</v>
      </c>
      <c r="D6" s="1477"/>
      <c r="E6" s="1631"/>
      <c r="F6" s="123" t="s">
        <v>259</v>
      </c>
      <c r="G6" s="1696" t="str">
        <f>Allgemein!C44</f>
        <v>-</v>
      </c>
      <c r="H6" s="1696"/>
      <c r="I6" s="1511"/>
      <c r="J6" s="1623"/>
      <c r="K6" s="1656"/>
      <c r="L6" s="220"/>
    </row>
    <row r="7" spans="1:12">
      <c r="A7" s="219"/>
      <c r="B7" s="127" t="s">
        <v>12</v>
      </c>
      <c r="C7" s="1477">
        <f>Allgemein!C7</f>
        <v>0</v>
      </c>
      <c r="D7" s="1477"/>
      <c r="E7" s="1631"/>
      <c r="F7" s="203" t="s">
        <v>260</v>
      </c>
      <c r="G7" s="1676" t="str">
        <f>Allgemein!C60</f>
        <v>-</v>
      </c>
      <c r="H7" s="1676"/>
      <c r="I7" s="1697"/>
      <c r="J7" s="1623"/>
      <c r="K7" s="1656"/>
      <c r="L7" s="220"/>
    </row>
    <row r="8" spans="1:12" ht="17.399999999999999" thickBot="1">
      <c r="A8" s="219"/>
      <c r="B8" s="266" t="s">
        <v>14</v>
      </c>
      <c r="C8" s="1627">
        <f>Allgemein!C8</f>
        <v>0</v>
      </c>
      <c r="D8" s="1627"/>
      <c r="E8" s="1628"/>
      <c r="F8" s="204" t="s">
        <v>261</v>
      </c>
      <c r="G8" s="1704" t="str">
        <f>Allgemein!C76</f>
        <v>-</v>
      </c>
      <c r="H8" s="1704"/>
      <c r="I8" s="1705"/>
      <c r="J8" s="1658"/>
      <c r="K8" s="1659"/>
      <c r="L8" s="220"/>
    </row>
    <row r="9" spans="1:12" ht="25.2" customHeight="1" thickTop="1">
      <c r="A9" s="219"/>
      <c r="B9" s="267" t="s">
        <v>960</v>
      </c>
      <c r="C9" s="19"/>
      <c r="D9" s="19"/>
      <c r="I9" s="249"/>
      <c r="J9" s="249"/>
      <c r="K9" s="221"/>
    </row>
    <row r="10" spans="1:12" ht="16.5" customHeight="1">
      <c r="A10" s="219"/>
      <c r="B10" s="268" t="s">
        <v>263</v>
      </c>
      <c r="C10" s="223"/>
      <c r="D10" s="223"/>
      <c r="E10" s="269"/>
      <c r="F10" s="270" t="s">
        <v>294</v>
      </c>
      <c r="G10" s="591"/>
      <c r="H10" s="592" t="s">
        <v>265</v>
      </c>
      <c r="I10" s="944" t="s">
        <v>106</v>
      </c>
      <c r="J10" s="944" t="s">
        <v>159</v>
      </c>
      <c r="K10" s="944" t="s">
        <v>171</v>
      </c>
      <c r="L10" s="298"/>
    </row>
    <row r="11" spans="1:12" ht="21" customHeight="1">
      <c r="A11" s="219"/>
      <c r="B11" s="273" t="s">
        <v>961</v>
      </c>
      <c r="C11" s="18"/>
      <c r="D11" s="669" t="s">
        <v>962</v>
      </c>
      <c r="E11" s="940">
        <f>_xlfn.XLOOKUP(C15,Datenbank!CC118:CC188,Datenbank!CD118:CD188,0,1,1)*(Allgemein!C19+SQRT(Allgemein!C19)*4*'weiteres Dach'!C17/100)</f>
        <v>0</v>
      </c>
      <c r="F11" s="296" t="s">
        <v>963</v>
      </c>
      <c r="G11" s="191"/>
      <c r="H11" s="739" t="s">
        <v>740</v>
      </c>
      <c r="I11" s="945" t="str" cm="1">
        <f t="array" ref="I11">_xlfn.XLOOKUP('weiteres Dach'!H11&amp;Allgemein!C44,Dachpositionen[[#Headers],[Dacheindeckung:]]&amp;Dachpositionen[Position Dach],Dachpositionen[Dacheindeckung:],"",0,1)</f>
        <v>Nein</v>
      </c>
      <c r="J11" s="945" t="str" cm="1">
        <f t="array" ref="J11">_xlfn.XLOOKUP('weiteres Dach'!H11&amp;Allgemein!C60,Dachpositionen[[#Headers],[Dacheindeckung:]]&amp;Dachpositionen[Position Dach],Dachpositionen[Dacheindeckung:],"",0,1)</f>
        <v>Nein</v>
      </c>
      <c r="K11" s="946" t="str" cm="1">
        <f t="array" ref="K11">_xlfn.XLOOKUP('weiteres Dach'!H11&amp;Allgemein!C76,Dachpositionen[[#Headers],[Dacheindeckung:]]&amp;Dachpositionen[Position Dach],Dachpositionen[Dacheindeckung:],"",0,1)</f>
        <v>Nein</v>
      </c>
      <c r="L11" s="298"/>
    </row>
    <row r="12" spans="1:12" ht="20.25" customHeight="1">
      <c r="A12" s="219"/>
      <c r="B12" s="239" t="s">
        <v>964</v>
      </c>
      <c r="C12" s="278"/>
      <c r="D12" s="259"/>
      <c r="E12" s="293"/>
      <c r="F12" s="1703"/>
      <c r="G12" s="1466"/>
      <c r="H12" s="684" t="s">
        <v>965</v>
      </c>
      <c r="I12" s="947">
        <f>E11</f>
        <v>0</v>
      </c>
      <c r="J12" s="947">
        <f>E11</f>
        <v>0</v>
      </c>
      <c r="K12" s="948">
        <f>E11</f>
        <v>0</v>
      </c>
    </row>
    <row r="13" spans="1:12" ht="17.100000000000001" customHeight="1">
      <c r="A13" s="219"/>
      <c r="B13" s="276" t="s">
        <v>966</v>
      </c>
      <c r="C13" s="282"/>
      <c r="D13" s="274"/>
      <c r="E13" s="296"/>
      <c r="F13" s="1703"/>
      <c r="G13" s="1466"/>
      <c r="H13" s="684" t="s">
        <v>671</v>
      </c>
      <c r="I13" s="947"/>
      <c r="J13" s="949"/>
      <c r="K13" s="950"/>
    </row>
    <row r="14" spans="1:12" ht="17.100000000000001" customHeight="1">
      <c r="A14" s="219"/>
      <c r="B14" s="1706" t="s">
        <v>967</v>
      </c>
      <c r="C14" s="274"/>
      <c r="D14" s="283"/>
      <c r="E14" s="590"/>
      <c r="F14" s="1703"/>
      <c r="G14" s="1466"/>
      <c r="H14" s="740" t="s">
        <v>741</v>
      </c>
      <c r="I14" s="945" t="str" cm="1">
        <f t="array" ref="I14">_xlfn.XLOOKUP('weiteres Dach'!H14&amp;Allgemein!C44,Dachpositionen[[#Headers],[Dämmung Dachschrägen:]]&amp;Dachpositionen[Position Dach],Dachpositionen[Dämmung Dachschrägen:],"",0,1)</f>
        <v>Nein</v>
      </c>
      <c r="J14" s="947" t="str" cm="1">
        <f t="array" ref="J14">_xlfn.XLOOKUP('weiteres Dach'!H14&amp;Allgemein!C60,Dachpositionen[[#Headers],[Dämmung Dachschrägen:]]&amp;Dachpositionen[Position Dach],Dachpositionen[Dämmung Dachschrägen:],"",0,1)</f>
        <v>Nein</v>
      </c>
      <c r="K14" s="948" t="str" cm="1">
        <f t="array" ref="K14">_xlfn.XLOOKUP('weiteres Dach'!H14&amp;Allgemein!C76,Dachpositionen[[#Headers],[Dämmung Dachschrägen:]]&amp;Dachpositionen[Position Dach],Dachpositionen[Dämmung Dachschrägen:],"",0,1)</f>
        <v>Nein</v>
      </c>
    </row>
    <row r="15" spans="1:12" ht="17.100000000000001" customHeight="1">
      <c r="A15" s="219"/>
      <c r="B15" s="1503"/>
      <c r="C15" s="284"/>
      <c r="D15" s="284"/>
      <c r="E15" s="203"/>
      <c r="F15" s="1703"/>
      <c r="G15" s="1466"/>
      <c r="H15" s="684" t="s">
        <v>968</v>
      </c>
      <c r="I15" s="951"/>
      <c r="J15" s="947"/>
      <c r="K15" s="948"/>
    </row>
    <row r="16" spans="1:12" ht="17.100000000000001" customHeight="1">
      <c r="A16" s="219"/>
      <c r="B16" s="1710" t="s">
        <v>969</v>
      </c>
      <c r="C16" s="18"/>
      <c r="D16" s="283"/>
      <c r="E16" s="590"/>
      <c r="F16" s="1703"/>
      <c r="G16" s="1466"/>
      <c r="H16" s="684" t="s">
        <v>970</v>
      </c>
      <c r="I16" s="947">
        <f>E11</f>
        <v>0</v>
      </c>
      <c r="J16" s="947">
        <f>E11</f>
        <v>0</v>
      </c>
      <c r="K16" s="948">
        <f>E11</f>
        <v>0</v>
      </c>
    </row>
    <row r="17" spans="1:12" ht="17.100000000000001" customHeight="1">
      <c r="A17" s="219"/>
      <c r="B17" s="1711"/>
      <c r="C17" s="285"/>
      <c r="D17" s="284"/>
      <c r="E17" s="294"/>
      <c r="F17" s="589" t="s">
        <v>971</v>
      </c>
      <c r="G17" s="259"/>
      <c r="H17" s="684" t="s">
        <v>926</v>
      </c>
      <c r="I17" s="947" t="str">
        <f>Allgemein!D44</f>
        <v>-</v>
      </c>
      <c r="J17" s="947" t="str">
        <f>Allgemein!D60</f>
        <v>-</v>
      </c>
      <c r="K17" s="948" t="str">
        <f>Allgemein!D76</f>
        <v>-</v>
      </c>
    </row>
    <row r="18" spans="1:12" ht="23.7" customHeight="1">
      <c r="A18" s="219"/>
      <c r="B18" s="267" t="s">
        <v>740</v>
      </c>
      <c r="C18" s="249"/>
      <c r="D18" s="389"/>
      <c r="E18" s="248"/>
      <c r="F18" s="671"/>
      <c r="G18" s="248"/>
      <c r="H18" s="589" t="s">
        <v>671</v>
      </c>
      <c r="I18" s="952"/>
      <c r="J18" s="953"/>
      <c r="K18" s="954"/>
    </row>
    <row r="19" spans="1:12" ht="18.600000000000001">
      <c r="A19" s="219"/>
      <c r="B19" s="1706" t="s">
        <v>740</v>
      </c>
      <c r="C19" s="1712"/>
      <c r="D19" s="289" t="s">
        <v>972</v>
      </c>
      <c r="E19" s="187"/>
      <c r="F19" s="127" t="s">
        <v>973</v>
      </c>
      <c r="G19" s="18"/>
      <c r="H19" s="741" t="s">
        <v>743</v>
      </c>
      <c r="I19" s="945" t="str" cm="1">
        <f t="array" ref="I19">_xlfn.XLOOKUP('weiteres Dach'!H19&amp;Allgemein!C44,Dachpositionen[[#Headers],[Trockenbau innen:]]&amp;Dachpositionen[Position Dach],Dachpositionen[Trockenbau innen:],"",0,1)</f>
        <v>Nein</v>
      </c>
      <c r="J19" s="947" t="str" cm="1">
        <f t="array" ref="J19">_xlfn.XLOOKUP('weiteres Dach'!H19&amp;Allgemein!C60,Dachpositionen[[#Headers],[Trockenbau innen:]]&amp;Dachpositionen[Position Dach],Dachpositionen[Trockenbau innen:],"",0,1)</f>
        <v>Nein</v>
      </c>
      <c r="K19" s="948" t="str" cm="1">
        <f t="array" ref="K19">_xlfn.XLOOKUP('weiteres Dach'!H19&amp;Allgemein!C76,Dachpositionen[[#Headers],[Trockenbau innen:]]&amp;Dachpositionen[Position Dach],Dachpositionen[Trockenbau innen:],"",0,1)</f>
        <v>Nein</v>
      </c>
    </row>
    <row r="20" spans="1:12">
      <c r="A20" s="219"/>
      <c r="B20" s="1713"/>
      <c r="C20" s="1709"/>
      <c r="D20" s="17" t="s">
        <v>974</v>
      </c>
      <c r="E20" s="187"/>
      <c r="F20" s="1596"/>
      <c r="G20" s="1716"/>
      <c r="H20" s="684" t="s">
        <v>947</v>
      </c>
      <c r="I20" s="947">
        <f>I16</f>
        <v>0</v>
      </c>
      <c r="J20" s="947">
        <f>J16</f>
        <v>0</v>
      </c>
      <c r="K20" s="948">
        <f>K16</f>
        <v>0</v>
      </c>
    </row>
    <row r="21" spans="1:12">
      <c r="A21" s="219"/>
      <c r="B21" s="1706" t="s">
        <v>976</v>
      </c>
      <c r="C21" s="1712"/>
      <c r="D21" s="17" t="s">
        <v>977</v>
      </c>
      <c r="E21" s="187"/>
      <c r="F21" s="1596"/>
      <c r="G21" s="1716"/>
      <c r="H21" s="685" t="s">
        <v>671</v>
      </c>
      <c r="I21" s="949"/>
      <c r="J21" s="949"/>
      <c r="K21" s="950"/>
    </row>
    <row r="22" spans="1:12" ht="20.25" customHeight="1">
      <c r="A22" s="219"/>
      <c r="B22" s="1503"/>
      <c r="C22" s="1709"/>
      <c r="D22" s="17" t="s">
        <v>978</v>
      </c>
      <c r="E22" s="187"/>
      <c r="F22" s="1596"/>
      <c r="G22" s="1596"/>
      <c r="H22" s="742" t="s">
        <v>742</v>
      </c>
      <c r="I22" s="951" t="str" cm="1">
        <f t="array" ref="I22">_xlfn.XLOOKUP('weiteres Dach'!H22&amp;Allgemein!C44,Dachpositionen[[#Headers],[Dämmung obere Geschossdecke:]]&amp;Dachpositionen[Position Dach],Dachpositionen[Dämmung obere Geschossdecke:],"",0,1)</f>
        <v>Nein</v>
      </c>
      <c r="J22" s="947" t="str" cm="1">
        <f t="array" ref="J22">_xlfn.XLOOKUP('weiteres Dach'!H22&amp;Allgemein!C60,Dachpositionen[[#Headers],[Dämmung obere Geschossdecke:]]&amp;Dachpositionen[Position Dach],Dachpositionen[Dämmung obere Geschossdecke:],"",0,1)</f>
        <v>Nein</v>
      </c>
      <c r="K22" s="948" t="str" cm="1">
        <f t="array" ref="K22">_xlfn.XLOOKUP('weiteres Dach'!H22&amp;Allgemein!C76,Dachpositionen[[#Headers],[Dämmung obere Geschossdecke:]]&amp;Dachpositionen[Position Dach],Dachpositionen[Dämmung obere Geschossdecke:],"",0,1)</f>
        <v>Nein</v>
      </c>
    </row>
    <row r="23" spans="1:12">
      <c r="B23" s="1707" t="s">
        <v>1162</v>
      </c>
      <c r="C23" s="1631"/>
      <c r="D23" s="17" t="s">
        <v>980</v>
      </c>
      <c r="E23" s="187"/>
      <c r="F23" s="1596"/>
      <c r="G23" s="1596"/>
      <c r="H23" s="684" t="s">
        <v>947</v>
      </c>
      <c r="I23" s="955">
        <f>E36</f>
        <v>0</v>
      </c>
      <c r="J23" s="955">
        <f>E36</f>
        <v>0</v>
      </c>
      <c r="K23" s="956">
        <f>E36</f>
        <v>0</v>
      </c>
      <c r="L23" s="298"/>
    </row>
    <row r="24" spans="1:12">
      <c r="B24" s="1708"/>
      <c r="C24" s="1709"/>
      <c r="D24" s="17" t="s">
        <v>981</v>
      </c>
      <c r="E24" s="290"/>
      <c r="F24" s="1596"/>
      <c r="G24" s="1596"/>
      <c r="H24" s="684" t="s">
        <v>926</v>
      </c>
      <c r="I24" s="947" t="str">
        <f>Allgemein!D44</f>
        <v>-</v>
      </c>
      <c r="J24" s="956" t="str">
        <f>Allgemein!D60</f>
        <v>-</v>
      </c>
      <c r="K24" s="956" t="str">
        <f>Allgemein!D76</f>
        <v>-</v>
      </c>
      <c r="L24" s="298"/>
    </row>
    <row r="25" spans="1:12" ht="17.100000000000001" customHeight="1">
      <c r="A25" s="219"/>
      <c r="B25" s="123"/>
      <c r="C25" s="127"/>
      <c r="D25" s="291" t="s">
        <v>982</v>
      </c>
      <c r="E25" s="187"/>
      <c r="F25" s="1596"/>
      <c r="G25" s="1596"/>
      <c r="H25" s="690" t="s">
        <v>671</v>
      </c>
      <c r="I25" s="955"/>
      <c r="J25" s="957"/>
      <c r="K25" s="957"/>
      <c r="L25" s="298"/>
    </row>
    <row r="26" spans="1:12" ht="29.1" customHeight="1">
      <c r="A26" s="219"/>
      <c r="B26" s="127"/>
      <c r="C26" s="127"/>
      <c r="D26" s="203" t="s">
        <v>983</v>
      </c>
      <c r="E26" s="187"/>
      <c r="F26" s="1596"/>
      <c r="G26" s="1596"/>
      <c r="H26" s="741" t="s">
        <v>744</v>
      </c>
      <c r="I26" s="945" t="str" cm="1">
        <f t="array" ref="I26">_xlfn.XLOOKUP('weiteres Dach'!H26&amp;Allgemein!C44,Dachpositionen[[#Headers],[Dachstuhl Neu komplett:]]&amp;Dachpositionen[Position Dach],Dachpositionen[Dachstuhl Neu komplett:],"",0,1)</f>
        <v>Nein</v>
      </c>
      <c r="J26" s="956" t="str" cm="1">
        <f t="array" ref="J26">_xlfn.XLOOKUP('weiteres Dach'!H26&amp;Allgemein!C60,Dachpositionen[[#Headers],[Dachstuhl Neu komplett:]]&amp;Dachpositionen[Position Dach],Dachpositionen[Dachstuhl Neu komplett:],"",0,1)</f>
        <v>Nein</v>
      </c>
      <c r="K26" s="956" t="str" cm="1">
        <f t="array" ref="K26">_xlfn.XLOOKUP('weiteres Dach'!H26&amp;Allgemein!C76,Dachpositionen[[#Headers],[Dachstuhl Neu komplett:]]&amp;Dachpositionen[Position Dach],Dachpositionen[Dachstuhl Neu komplett:],"",0,1)</f>
        <v>Nein</v>
      </c>
      <c r="L26" s="298"/>
    </row>
    <row r="27" spans="1:12" ht="17.100000000000001" customHeight="1">
      <c r="A27" s="219"/>
      <c r="B27" s="292"/>
      <c r="C27" s="293"/>
      <c r="D27" s="294" t="s">
        <v>984</v>
      </c>
      <c r="E27" s="290"/>
      <c r="F27" s="1690"/>
      <c r="G27" s="1717"/>
      <c r="H27" s="684" t="s">
        <v>947</v>
      </c>
      <c r="I27" s="952">
        <f>E11</f>
        <v>0</v>
      </c>
      <c r="J27" s="958">
        <f>E11</f>
        <v>0</v>
      </c>
      <c r="K27" s="958">
        <f>E11</f>
        <v>0</v>
      </c>
      <c r="L27" s="298"/>
    </row>
    <row r="28" spans="1:12" ht="23.7" customHeight="1">
      <c r="A28" s="219"/>
      <c r="B28" s="670" t="s">
        <v>985</v>
      </c>
      <c r="C28" s="248"/>
      <c r="D28" s="248"/>
      <c r="E28" s="248"/>
      <c r="F28" s="248"/>
      <c r="G28" s="701"/>
      <c r="H28" s="685" t="s">
        <v>671</v>
      </c>
      <c r="I28" s="949"/>
      <c r="J28" s="959"/>
      <c r="K28" s="960"/>
    </row>
    <row r="29" spans="1:12" ht="23.1" customHeight="1">
      <c r="A29" s="219"/>
      <c r="B29" s="296" t="s">
        <v>983</v>
      </c>
      <c r="C29" s="18"/>
      <c r="D29" s="127" t="s">
        <v>986</v>
      </c>
      <c r="E29" s="305"/>
      <c r="F29" s="1030"/>
      <c r="G29" s="1030"/>
      <c r="H29" s="741" t="s">
        <v>987</v>
      </c>
      <c r="I29" s="955"/>
      <c r="J29" s="961"/>
      <c r="K29" s="962"/>
    </row>
    <row r="30" spans="1:12" ht="23.1" customHeight="1">
      <c r="A30" s="219"/>
      <c r="B30" s="127" t="s">
        <v>988</v>
      </c>
      <c r="C30" s="18"/>
      <c r="D30" s="127"/>
      <c r="E30" s="189"/>
      <c r="F30" s="180"/>
      <c r="G30" s="180"/>
      <c r="H30" s="691" t="s">
        <v>989</v>
      </c>
      <c r="I30" s="952">
        <f>C48</f>
        <v>0</v>
      </c>
      <c r="J30" s="955">
        <f>C48</f>
        <v>0</v>
      </c>
      <c r="K30" s="963">
        <f>C48</f>
        <v>0</v>
      </c>
    </row>
    <row r="31" spans="1:12" ht="21" customHeight="1">
      <c r="A31" s="219"/>
      <c r="B31" s="127" t="s">
        <v>990</v>
      </c>
      <c r="C31" s="18"/>
      <c r="D31" s="127"/>
      <c r="E31" s="189"/>
      <c r="F31" s="180"/>
      <c r="G31" s="180"/>
      <c r="H31" s="699" t="s">
        <v>991</v>
      </c>
      <c r="I31" s="952">
        <f>I30</f>
        <v>0</v>
      </c>
      <c r="J31" s="952">
        <f>J30</f>
        <v>0</v>
      </c>
      <c r="K31" s="964">
        <f>K30</f>
        <v>0</v>
      </c>
    </row>
    <row r="32" spans="1:12" ht="21" customHeight="1">
      <c r="A32" s="219"/>
      <c r="B32" s="127"/>
      <c r="C32" s="127"/>
      <c r="D32" s="127"/>
      <c r="E32" s="189"/>
      <c r="F32" s="180"/>
      <c r="G32" s="180"/>
      <c r="H32" s="700" t="s">
        <v>671</v>
      </c>
      <c r="I32" s="965"/>
      <c r="J32" s="966"/>
      <c r="K32" s="967"/>
    </row>
    <row r="33" spans="1:12" ht="21" customHeight="1">
      <c r="A33" s="219"/>
      <c r="B33" s="127"/>
      <c r="C33" s="127"/>
      <c r="D33" s="127"/>
      <c r="E33" s="189"/>
      <c r="F33" s="180"/>
      <c r="G33" s="180"/>
      <c r="H33" s="743" t="s">
        <v>992</v>
      </c>
      <c r="I33" s="952"/>
      <c r="J33" s="961"/>
      <c r="K33" s="962"/>
    </row>
    <row r="34" spans="1:12" ht="21" customHeight="1">
      <c r="B34" s="309"/>
      <c r="C34" s="293"/>
      <c r="D34" s="293"/>
      <c r="E34" s="279"/>
      <c r="F34" s="1031"/>
      <c r="G34" s="1031"/>
      <c r="H34" s="692" t="s">
        <v>989</v>
      </c>
      <c r="I34" s="968">
        <f>SUM(G55,G59,G63,G67,G71,G75)</f>
        <v>0</v>
      </c>
      <c r="J34" s="968">
        <f>SUM(G55,G59,G63,G67,G71,G75)</f>
        <v>0</v>
      </c>
      <c r="K34" s="969">
        <f>SUM(G55,G59,G63,G67,G71,G75)</f>
        <v>0</v>
      </c>
    </row>
    <row r="35" spans="1:12" ht="21" customHeight="1">
      <c r="B35" s="408" t="s">
        <v>993</v>
      </c>
      <c r="C35" s="248"/>
      <c r="D35" s="248"/>
      <c r="E35" s="249"/>
      <c r="H35" s="693" t="s">
        <v>279</v>
      </c>
      <c r="I35" s="955">
        <f>IF(G56="Ja",G55,0)+IF(G60="Ja",G59,0)+IF(G64="Ja",G63,0)+IF(G68="Ja",G67,0)+IF(G72="Ja",G71,0)+IF(G76="Ja",G75,0)</f>
        <v>0</v>
      </c>
      <c r="J35" s="955">
        <f>IF(G56="Ja",G55,0)+IF(G60="Ja",G59,0)+IF(G64="Ja",G63,0)+IF(G68="Ja",G67,0)+IF(G72="Ja",G71,0)+IF(G76="Ja",G75,0)</f>
        <v>0</v>
      </c>
      <c r="K35" s="963">
        <f>IF(G56="Ja",G55,0)+IF(G60="Ja",G59,0)+IF(G64="Ja",G63,0)+IF(G68="Ja",G67,0)+IF(G72="Ja",G71,0)+IF(G76="Ja",G75,0)</f>
        <v>0</v>
      </c>
    </row>
    <row r="36" spans="1:12" ht="21" customHeight="1">
      <c r="A36" s="219"/>
      <c r="B36" s="127" t="s">
        <v>994</v>
      </c>
      <c r="C36" s="18"/>
      <c r="D36" s="127" t="s">
        <v>947</v>
      </c>
      <c r="E36" s="866">
        <f>Allgemein!C19</f>
        <v>0</v>
      </c>
      <c r="F36" s="1032"/>
      <c r="G36" s="1034"/>
      <c r="H36" s="693" t="s">
        <v>995</v>
      </c>
      <c r="I36" s="955">
        <v>0</v>
      </c>
      <c r="J36" s="955">
        <v>0</v>
      </c>
      <c r="K36" s="963">
        <v>0</v>
      </c>
    </row>
    <row r="37" spans="1:12" ht="21" customHeight="1">
      <c r="A37" s="219"/>
      <c r="B37" s="127" t="s">
        <v>983</v>
      </c>
      <c r="C37" s="18"/>
      <c r="D37" s="127"/>
      <c r="E37" s="189"/>
      <c r="F37" s="795"/>
      <c r="G37" s="649"/>
      <c r="H37" s="693" t="s">
        <v>991</v>
      </c>
      <c r="I37" s="968">
        <f>I34+I36</f>
        <v>0</v>
      </c>
      <c r="J37" s="955">
        <f>J34+J36</f>
        <v>0</v>
      </c>
      <c r="K37" s="963">
        <f>K34+K36</f>
        <v>0</v>
      </c>
      <c r="L37" s="298"/>
    </row>
    <row r="38" spans="1:12" ht="25.95" customHeight="1">
      <c r="A38" s="219"/>
      <c r="B38" s="127" t="s">
        <v>988</v>
      </c>
      <c r="C38" s="18"/>
      <c r="D38" s="127"/>
      <c r="E38" s="189"/>
      <c r="F38" s="795"/>
      <c r="G38" s="649"/>
      <c r="H38" s="694" t="s">
        <v>283</v>
      </c>
      <c r="I38" s="952"/>
      <c r="J38" s="952"/>
      <c r="K38" s="964"/>
    </row>
    <row r="39" spans="1:12" ht="17.100000000000001" customHeight="1">
      <c r="A39" s="219"/>
      <c r="B39" s="127" t="s">
        <v>990</v>
      </c>
      <c r="C39" s="18"/>
      <c r="D39" s="127"/>
      <c r="E39" s="189"/>
      <c r="F39" s="795"/>
      <c r="G39" s="649"/>
      <c r="H39" s="690" t="s">
        <v>996</v>
      </c>
      <c r="I39" s="959"/>
      <c r="J39" s="970"/>
      <c r="K39" s="971"/>
    </row>
    <row r="40" spans="1:12" ht="17.100000000000001" customHeight="1">
      <c r="A40" s="219"/>
      <c r="B40" s="127"/>
      <c r="C40" s="18"/>
      <c r="D40" s="127"/>
      <c r="E40" s="189"/>
      <c r="F40" s="795"/>
      <c r="G40" s="649"/>
      <c r="H40" s="747" t="s">
        <v>997</v>
      </c>
      <c r="I40" s="1685"/>
      <c r="J40" s="973"/>
      <c r="K40" s="974"/>
    </row>
    <row r="41" spans="1:12" ht="17.100000000000001" customHeight="1">
      <c r="A41" s="219"/>
      <c r="B41" s="127" t="s">
        <v>998</v>
      </c>
      <c r="C41" s="18"/>
      <c r="D41" s="127"/>
      <c r="E41" s="189"/>
      <c r="F41" s="795"/>
      <c r="G41" s="649"/>
      <c r="H41" s="694"/>
      <c r="I41" s="1686"/>
      <c r="J41" s="975"/>
      <c r="K41" s="976"/>
    </row>
    <row r="42" spans="1:12" ht="17.100000000000001" customHeight="1">
      <c r="A42" s="219"/>
      <c r="B42" s="127" t="s">
        <v>999</v>
      </c>
      <c r="C42" s="18"/>
      <c r="D42" s="127"/>
      <c r="E42" s="189"/>
      <c r="F42" s="795"/>
      <c r="G42" s="649"/>
      <c r="H42" s="692"/>
      <c r="I42" s="1686"/>
      <c r="J42" s="975"/>
      <c r="K42" s="976"/>
    </row>
    <row r="43" spans="1:12" ht="17.100000000000001" customHeight="1">
      <c r="A43" s="219"/>
      <c r="B43" s="292" t="s">
        <v>1000</v>
      </c>
      <c r="C43" s="259"/>
      <c r="D43" s="293"/>
      <c r="E43" s="279"/>
      <c r="F43" s="1033"/>
      <c r="G43" s="1035"/>
      <c r="H43" s="693"/>
      <c r="I43" s="1686"/>
      <c r="J43" s="975"/>
      <c r="K43" s="976"/>
    </row>
    <row r="44" spans="1:12" ht="17.100000000000001" customHeight="1">
      <c r="A44" s="219"/>
      <c r="B44" s="295" t="s">
        <v>1001</v>
      </c>
      <c r="C44" s="249"/>
      <c r="D44" s="249"/>
      <c r="E44" s="249"/>
      <c r="G44" s="248"/>
      <c r="H44" s="693"/>
      <c r="I44" s="1686"/>
      <c r="J44" s="975"/>
      <c r="K44" s="976"/>
    </row>
    <row r="45" spans="1:12" ht="24" customHeight="1" thickBot="1">
      <c r="A45" s="219"/>
      <c r="B45" s="296" t="s">
        <v>983</v>
      </c>
      <c r="C45" s="231"/>
      <c r="D45" s="297" t="s">
        <v>1002</v>
      </c>
      <c r="E45" s="277"/>
      <c r="F45" s="1688"/>
      <c r="G45" s="1688"/>
      <c r="H45" s="698"/>
      <c r="I45" s="1687"/>
      <c r="J45" s="977"/>
      <c r="K45" s="978"/>
    </row>
    <row r="46" spans="1:12" ht="16.350000000000001" customHeight="1" thickTop="1">
      <c r="A46" s="219"/>
      <c r="B46" s="234" t="s">
        <v>1003</v>
      </c>
      <c r="C46" s="209"/>
      <c r="D46" s="121" t="s">
        <v>1004</v>
      </c>
      <c r="E46" s="299"/>
      <c r="F46" s="1596"/>
      <c r="G46" s="1689"/>
      <c r="H46" s="686"/>
      <c r="I46" s="686"/>
      <c r="J46" s="686"/>
      <c r="K46" s="686"/>
    </row>
    <row r="47" spans="1:12" ht="21" customHeight="1">
      <c r="A47" s="219"/>
      <c r="B47" s="234"/>
      <c r="C47" s="300"/>
      <c r="D47" s="127" t="s">
        <v>1005</v>
      </c>
      <c r="E47" s="299"/>
      <c r="F47" s="1690"/>
      <c r="G47" s="1691"/>
      <c r="H47" s="686"/>
      <c r="I47" s="686"/>
      <c r="J47" s="686"/>
      <c r="K47" s="686"/>
    </row>
    <row r="48" spans="1:12" ht="18.75" customHeight="1">
      <c r="A48" s="219"/>
      <c r="B48" s="301" t="s">
        <v>1006</v>
      </c>
      <c r="C48" s="302"/>
      <c r="D48" s="303"/>
      <c r="E48" s="304"/>
      <c r="F48" s="1714"/>
      <c r="G48" s="1715"/>
      <c r="H48" s="686"/>
    </row>
    <row r="49" spans="1:11" ht="18.75" customHeight="1">
      <c r="A49" s="219"/>
      <c r="B49" s="127" t="s">
        <v>1007</v>
      </c>
      <c r="C49" s="296" t="s">
        <v>1008</v>
      </c>
      <c r="D49" s="1474"/>
      <c r="E49" s="1482"/>
      <c r="F49" s="1219" t="s">
        <v>1009</v>
      </c>
      <c r="G49" s="1222"/>
      <c r="H49" s="686"/>
    </row>
    <row r="50" spans="1:11" ht="18.75" customHeight="1">
      <c r="A50" s="219"/>
      <c r="B50" s="306" t="s">
        <v>1010</v>
      </c>
      <c r="C50" s="296" t="s">
        <v>1008</v>
      </c>
      <c r="D50" s="1474"/>
      <c r="E50" s="1482"/>
      <c r="F50" s="804" t="s">
        <v>1009</v>
      </c>
      <c r="G50" s="1222"/>
      <c r="H50" s="686"/>
    </row>
    <row r="51" spans="1:11" ht="18.75" customHeight="1">
      <c r="A51" s="219"/>
      <c r="B51" s="301" t="s">
        <v>1011</v>
      </c>
      <c r="C51" s="296" t="s">
        <v>1008</v>
      </c>
      <c r="D51" s="1474"/>
      <c r="E51" s="1482"/>
      <c r="F51" s="1219" t="s">
        <v>1009</v>
      </c>
      <c r="G51" s="1222"/>
      <c r="H51" s="686"/>
    </row>
    <row r="52" spans="1:11" ht="18.75" customHeight="1">
      <c r="A52" s="219"/>
      <c r="B52" s="127" t="s">
        <v>1012</v>
      </c>
      <c r="C52" s="296" t="s">
        <v>1008</v>
      </c>
      <c r="D52" s="1474"/>
      <c r="E52" s="1482"/>
      <c r="F52" s="1219" t="s">
        <v>1009</v>
      </c>
      <c r="G52" s="1222"/>
      <c r="H52" s="686"/>
    </row>
    <row r="53" spans="1:11" ht="18.75" customHeight="1">
      <c r="A53" s="219"/>
      <c r="B53" s="301" t="s">
        <v>1013</v>
      </c>
      <c r="C53" s="296" t="s">
        <v>1008</v>
      </c>
      <c r="D53" s="1474"/>
      <c r="E53" s="1482"/>
      <c r="F53" s="1220" t="s">
        <v>1009</v>
      </c>
      <c r="G53" s="1222"/>
      <c r="H53" s="686"/>
    </row>
    <row r="54" spans="1:11" ht="26.7" customHeight="1">
      <c r="A54" s="219"/>
      <c r="B54" s="408" t="s">
        <v>755</v>
      </c>
      <c r="C54" s="248"/>
      <c r="D54" s="248"/>
      <c r="E54" s="248"/>
      <c r="F54" s="248"/>
      <c r="G54" s="250"/>
      <c r="H54" s="238"/>
    </row>
    <row r="55" spans="1:11" ht="17.100000000000001" customHeight="1">
      <c r="A55" s="219"/>
      <c r="B55" s="127" t="s">
        <v>992</v>
      </c>
      <c r="C55" s="236"/>
      <c r="D55" s="310" t="s">
        <v>1014</v>
      </c>
      <c r="E55" s="311"/>
      <c r="F55" s="127" t="s">
        <v>30</v>
      </c>
      <c r="G55" s="695"/>
      <c r="H55" s="686"/>
    </row>
    <row r="56" spans="1:11" ht="17.850000000000001" customHeight="1">
      <c r="A56" s="219"/>
      <c r="B56" s="127" t="s">
        <v>990</v>
      </c>
      <c r="C56" s="236"/>
      <c r="D56" s="310" t="s">
        <v>1015</v>
      </c>
      <c r="E56" s="311"/>
      <c r="F56" s="127" t="s">
        <v>1016</v>
      </c>
      <c r="G56" s="696"/>
      <c r="H56" s="686"/>
    </row>
    <row r="57" spans="1:11" ht="17.100000000000001" customHeight="1">
      <c r="A57" s="219"/>
      <c r="B57" s="127" t="s">
        <v>983</v>
      </c>
      <c r="C57" s="236"/>
      <c r="D57" s="17" t="s">
        <v>1017</v>
      </c>
      <c r="E57" s="299"/>
      <c r="F57" s="127" t="s">
        <v>307</v>
      </c>
      <c r="G57" s="696"/>
      <c r="H57" s="686"/>
    </row>
    <row r="58" spans="1:11" ht="17.100000000000001" customHeight="1">
      <c r="A58" s="219"/>
      <c r="B58" s="293" t="s">
        <v>668</v>
      </c>
      <c r="C58" s="240"/>
      <c r="D58" s="280" t="s">
        <v>1018</v>
      </c>
      <c r="E58" s="281"/>
      <c r="F58" s="293" t="s">
        <v>1019</v>
      </c>
      <c r="G58" s="386"/>
      <c r="H58" s="686"/>
      <c r="I58" s="20"/>
      <c r="J58" s="686"/>
      <c r="K58" s="686"/>
    </row>
    <row r="59" spans="1:11" ht="17.100000000000001" customHeight="1">
      <c r="A59" s="219"/>
      <c r="B59" s="127" t="s">
        <v>992</v>
      </c>
      <c r="C59" s="312"/>
      <c r="D59" s="313" t="s">
        <v>1014</v>
      </c>
      <c r="E59" s="314"/>
      <c r="F59" s="127" t="s">
        <v>30</v>
      </c>
      <c r="G59" s="697"/>
      <c r="H59" s="686"/>
      <c r="I59" s="896"/>
      <c r="J59" s="686"/>
      <c r="K59" s="686"/>
    </row>
    <row r="60" spans="1:11" ht="17.100000000000001" customHeight="1">
      <c r="A60" s="219"/>
      <c r="B60" s="127" t="s">
        <v>990</v>
      </c>
      <c r="C60" s="236"/>
      <c r="D60" s="310" t="s">
        <v>1015</v>
      </c>
      <c r="E60" s="311"/>
      <c r="F60" s="127" t="s">
        <v>1016</v>
      </c>
      <c r="G60" s="696"/>
      <c r="H60" s="686"/>
      <c r="I60" s="20"/>
      <c r="J60" s="686"/>
      <c r="K60" s="686"/>
    </row>
    <row r="61" spans="1:11" ht="17.100000000000001" customHeight="1">
      <c r="A61" s="219"/>
      <c r="B61" s="127" t="s">
        <v>983</v>
      </c>
      <c r="C61" s="236"/>
      <c r="D61" s="17" t="s">
        <v>1017</v>
      </c>
      <c r="E61" s="299"/>
      <c r="F61" s="127" t="s">
        <v>307</v>
      </c>
      <c r="G61" s="696"/>
      <c r="H61" s="686"/>
      <c r="I61" s="20"/>
      <c r="J61" s="686"/>
      <c r="K61" s="686"/>
    </row>
    <row r="62" spans="1:11" ht="17.100000000000001" customHeight="1">
      <c r="A62" s="219"/>
      <c r="B62" s="293" t="s">
        <v>668</v>
      </c>
      <c r="C62" s="240"/>
      <c r="D62" s="280" t="s">
        <v>1018</v>
      </c>
      <c r="E62" s="281"/>
      <c r="F62" s="293" t="s">
        <v>1019</v>
      </c>
      <c r="G62" s="386"/>
      <c r="H62" s="686"/>
      <c r="I62" s="20"/>
      <c r="J62" s="686"/>
      <c r="K62" s="686"/>
    </row>
    <row r="63" spans="1:11" ht="17.100000000000001" customHeight="1">
      <c r="A63" s="219"/>
      <c r="B63" s="127" t="s">
        <v>992</v>
      </c>
      <c r="C63" s="312"/>
      <c r="D63" s="313" t="s">
        <v>1014</v>
      </c>
      <c r="E63" s="314"/>
      <c r="F63" s="127" t="s">
        <v>30</v>
      </c>
      <c r="G63" s="697"/>
      <c r="H63" s="686"/>
      <c r="I63" s="896"/>
      <c r="J63" s="686"/>
      <c r="K63" s="686"/>
    </row>
    <row r="64" spans="1:11" ht="17.100000000000001" customHeight="1">
      <c r="A64" s="219"/>
      <c r="B64" s="127" t="s">
        <v>990</v>
      </c>
      <c r="C64" s="236"/>
      <c r="D64" s="310" t="s">
        <v>1015</v>
      </c>
      <c r="E64" s="311"/>
      <c r="F64" s="127" t="s">
        <v>1016</v>
      </c>
      <c r="G64" s="696"/>
      <c r="H64" s="686"/>
      <c r="I64" s="20"/>
      <c r="J64" s="686"/>
      <c r="K64" s="686"/>
    </row>
    <row r="65" spans="1:16" ht="17.100000000000001" customHeight="1">
      <c r="A65" s="219"/>
      <c r="B65" s="127" t="s">
        <v>983</v>
      </c>
      <c r="C65" s="236"/>
      <c r="D65" s="17" t="s">
        <v>1017</v>
      </c>
      <c r="E65" s="299"/>
      <c r="F65" s="127" t="s">
        <v>307</v>
      </c>
      <c r="G65" s="696"/>
      <c r="H65" s="686"/>
      <c r="I65" s="20"/>
      <c r="J65" s="686"/>
      <c r="K65" s="686"/>
    </row>
    <row r="66" spans="1:16" ht="17.100000000000001" customHeight="1">
      <c r="A66" s="219"/>
      <c r="B66" s="293" t="s">
        <v>668</v>
      </c>
      <c r="C66" s="240"/>
      <c r="D66" s="280" t="s">
        <v>1018</v>
      </c>
      <c r="E66" s="281"/>
      <c r="F66" s="293" t="s">
        <v>1019</v>
      </c>
      <c r="G66" s="386"/>
      <c r="H66" s="686"/>
      <c r="I66" s="20"/>
      <c r="J66" s="686"/>
      <c r="K66" s="686"/>
    </row>
    <row r="67" spans="1:16" ht="17.100000000000001" customHeight="1">
      <c r="A67" s="219"/>
      <c r="B67" s="127" t="s">
        <v>992</v>
      </c>
      <c r="C67" s="312"/>
      <c r="D67" s="313" t="s">
        <v>1014</v>
      </c>
      <c r="E67" s="314"/>
      <c r="F67" s="127" t="s">
        <v>30</v>
      </c>
      <c r="G67" s="697"/>
      <c r="H67" s="686"/>
      <c r="I67" s="896"/>
      <c r="J67" s="686"/>
      <c r="K67" s="686"/>
    </row>
    <row r="68" spans="1:16" ht="17.100000000000001" customHeight="1">
      <c r="A68" s="219"/>
      <c r="B68" s="127" t="s">
        <v>990</v>
      </c>
      <c r="C68" s="236"/>
      <c r="D68" s="310" t="s">
        <v>1015</v>
      </c>
      <c r="E68" s="311"/>
      <c r="F68" s="127" t="s">
        <v>1016</v>
      </c>
      <c r="G68" s="696"/>
      <c r="H68" s="686"/>
      <c r="I68" s="20"/>
      <c r="J68" s="686"/>
      <c r="K68" s="686"/>
    </row>
    <row r="69" spans="1:16" ht="17.100000000000001" customHeight="1">
      <c r="A69" s="219"/>
      <c r="B69" s="127" t="s">
        <v>983</v>
      </c>
      <c r="C69" s="236"/>
      <c r="D69" s="17" t="s">
        <v>1017</v>
      </c>
      <c r="E69" s="299"/>
      <c r="F69" s="127" t="s">
        <v>307</v>
      </c>
      <c r="G69" s="696"/>
      <c r="H69" s="686"/>
      <c r="I69" s="20"/>
      <c r="J69" s="686"/>
      <c r="K69" s="686"/>
    </row>
    <row r="70" spans="1:16" ht="17.100000000000001" customHeight="1">
      <c r="A70" s="219"/>
      <c r="B70" s="293" t="s">
        <v>668</v>
      </c>
      <c r="C70" s="240"/>
      <c r="D70" s="280" t="s">
        <v>1018</v>
      </c>
      <c r="E70" s="281"/>
      <c r="F70" s="293" t="s">
        <v>1019</v>
      </c>
      <c r="G70" s="386"/>
      <c r="H70" s="686"/>
      <c r="I70" s="20"/>
      <c r="J70" s="686"/>
      <c r="K70" s="686"/>
    </row>
    <row r="71" spans="1:16" ht="17.100000000000001" customHeight="1">
      <c r="A71" s="219"/>
      <c r="B71" s="127" t="s">
        <v>992</v>
      </c>
      <c r="C71" s="312"/>
      <c r="D71" s="313" t="s">
        <v>1014</v>
      </c>
      <c r="E71" s="314"/>
      <c r="F71" s="127" t="s">
        <v>30</v>
      </c>
      <c r="G71" s="697"/>
      <c r="H71" s="686"/>
      <c r="I71" s="896"/>
      <c r="J71" s="686"/>
      <c r="K71" s="686"/>
    </row>
    <row r="72" spans="1:16" ht="17.100000000000001" customHeight="1">
      <c r="A72" s="219"/>
      <c r="B72" s="127" t="s">
        <v>990</v>
      </c>
      <c r="C72" s="236"/>
      <c r="D72" s="310" t="s">
        <v>1015</v>
      </c>
      <c r="E72" s="311"/>
      <c r="F72" s="127" t="s">
        <v>1016</v>
      </c>
      <c r="G72" s="696"/>
      <c r="H72" s="686"/>
      <c r="I72" s="20"/>
      <c r="J72" s="686"/>
      <c r="K72" s="686"/>
    </row>
    <row r="73" spans="1:16" ht="17.100000000000001" customHeight="1">
      <c r="A73" s="219"/>
      <c r="B73" s="127" t="s">
        <v>983</v>
      </c>
      <c r="C73" s="236"/>
      <c r="D73" s="17" t="s">
        <v>1017</v>
      </c>
      <c r="E73" s="299"/>
      <c r="F73" s="127" t="s">
        <v>307</v>
      </c>
      <c r="G73" s="696"/>
      <c r="H73" s="686"/>
      <c r="I73" s="20"/>
      <c r="J73" s="686"/>
      <c r="K73" s="686"/>
    </row>
    <row r="74" spans="1:16" ht="17.100000000000001" customHeight="1">
      <c r="A74" s="219"/>
      <c r="B74" s="293" t="s">
        <v>668</v>
      </c>
      <c r="C74" s="240"/>
      <c r="D74" s="280" t="s">
        <v>1018</v>
      </c>
      <c r="E74" s="281"/>
      <c r="F74" s="293" t="s">
        <v>1019</v>
      </c>
      <c r="G74" s="386"/>
      <c r="H74" s="686"/>
      <c r="I74" s="20"/>
      <c r="J74" s="686"/>
      <c r="K74" s="686"/>
    </row>
    <row r="75" spans="1:16" ht="17.100000000000001" customHeight="1">
      <c r="A75" s="219"/>
      <c r="B75" s="127" t="s">
        <v>992</v>
      </c>
      <c r="C75" s="312"/>
      <c r="D75" s="313" t="s">
        <v>1014</v>
      </c>
      <c r="E75" s="314"/>
      <c r="F75" s="127" t="s">
        <v>30</v>
      </c>
      <c r="G75" s="697"/>
      <c r="H75" s="686"/>
      <c r="I75" s="896"/>
      <c r="J75" s="686"/>
      <c r="K75" s="686"/>
    </row>
    <row r="76" spans="1:16" ht="17.100000000000001" customHeight="1">
      <c r="A76" s="219"/>
      <c r="B76" s="127" t="s">
        <v>990</v>
      </c>
      <c r="C76" s="236"/>
      <c r="D76" s="310" t="s">
        <v>1015</v>
      </c>
      <c r="E76" s="311"/>
      <c r="F76" s="127" t="s">
        <v>1016</v>
      </c>
      <c r="G76" s="696"/>
      <c r="H76" s="686"/>
      <c r="I76" s="20"/>
      <c r="J76" s="686"/>
      <c r="K76" s="686"/>
    </row>
    <row r="77" spans="1:16" ht="17.100000000000001" customHeight="1">
      <c r="A77" s="219"/>
      <c r="B77" s="127" t="s">
        <v>983</v>
      </c>
      <c r="C77" s="236"/>
      <c r="D77" s="17" t="s">
        <v>1017</v>
      </c>
      <c r="E77" s="299"/>
      <c r="F77" s="127" t="s">
        <v>307</v>
      </c>
      <c r="G77" s="696"/>
      <c r="H77" s="686"/>
      <c r="I77" s="20"/>
      <c r="J77" s="686"/>
      <c r="K77" s="686"/>
      <c r="L77" s="20"/>
      <c r="O77" s="19"/>
      <c r="P77" s="19"/>
    </row>
    <row r="78" spans="1:16" ht="17.100000000000001" customHeight="1">
      <c r="A78" s="219"/>
      <c r="B78" s="293" t="s">
        <v>668</v>
      </c>
      <c r="C78" s="240"/>
      <c r="D78" s="280" t="s">
        <v>1018</v>
      </c>
      <c r="E78" s="281"/>
      <c r="F78" s="293" t="s">
        <v>1019</v>
      </c>
      <c r="G78" s="386"/>
      <c r="H78" s="686"/>
      <c r="I78" s="20"/>
      <c r="J78" s="686"/>
      <c r="K78" s="686"/>
      <c r="M78" s="20"/>
      <c r="N78" s="19"/>
      <c r="O78" s="19"/>
      <c r="P78" s="19"/>
    </row>
    <row r="79" spans="1:16" ht="23.7" customHeight="1">
      <c r="A79" s="219"/>
      <c r="B79" s="408" t="s">
        <v>1020</v>
      </c>
      <c r="C79" s="248"/>
      <c r="D79" s="248"/>
      <c r="G79" s="250"/>
      <c r="H79" s="238"/>
      <c r="I79" s="238"/>
      <c r="J79" s="238"/>
      <c r="K79" s="687"/>
      <c r="L79" s="13"/>
    </row>
    <row r="80" spans="1:16" ht="17.100000000000001" customHeight="1">
      <c r="A80" s="219"/>
      <c r="B80" s="234" t="s">
        <v>35</v>
      </c>
      <c r="C80" s="18"/>
      <c r="D80" s="127" t="s">
        <v>1021</v>
      </c>
      <c r="E80" s="305"/>
      <c r="F80" s="296" t="s">
        <v>1008</v>
      </c>
      <c r="G80" s="233"/>
      <c r="H80" s="688"/>
      <c r="I80" s="230"/>
      <c r="J80" s="230"/>
      <c r="K80" s="686"/>
      <c r="L80" s="14"/>
      <c r="M80" s="13"/>
      <c r="N80" s="13"/>
      <c r="O80" s="13"/>
    </row>
    <row r="81" spans="1:16" ht="18.75" customHeight="1">
      <c r="A81" s="219"/>
      <c r="B81" s="234"/>
      <c r="C81" s="18"/>
      <c r="D81" s="127" t="s">
        <v>1022</v>
      </c>
      <c r="E81" s="187"/>
      <c r="F81" s="1614"/>
      <c r="G81" s="1698"/>
      <c r="H81" s="688"/>
      <c r="I81" s="230"/>
      <c r="J81" s="230"/>
      <c r="K81" s="686"/>
    </row>
    <row r="82" spans="1:16" ht="19.350000000000001" customHeight="1">
      <c r="A82" s="219"/>
      <c r="B82" s="127"/>
      <c r="C82" s="18"/>
      <c r="D82" s="127"/>
      <c r="E82" s="187"/>
      <c r="F82" s="1614"/>
      <c r="G82" s="1698"/>
      <c r="H82" s="689"/>
      <c r="I82" s="689"/>
      <c r="J82" s="689"/>
      <c r="K82" s="689"/>
    </row>
    <row r="83" spans="1:16" ht="19.5" customHeight="1">
      <c r="A83" s="219"/>
      <c r="B83" s="292"/>
      <c r="C83" s="293"/>
      <c r="D83" s="293"/>
      <c r="E83" s="290"/>
      <c r="F83" s="1699"/>
      <c r="G83" s="1700"/>
      <c r="H83" s="689"/>
      <c r="I83" s="689"/>
      <c r="J83" s="689"/>
      <c r="K83" s="689"/>
    </row>
    <row r="84" spans="1:16" ht="21.6" customHeight="1">
      <c r="A84" s="219"/>
      <c r="B84" s="408" t="s">
        <v>1023</v>
      </c>
      <c r="C84" s="248"/>
      <c r="D84" s="248"/>
      <c r="E84" s="248"/>
      <c r="F84" s="248"/>
      <c r="G84" s="250"/>
      <c r="H84" s="238"/>
      <c r="I84" s="238"/>
      <c r="J84" s="238"/>
      <c r="K84" s="687"/>
      <c r="L84" s="16"/>
    </row>
    <row r="85" spans="1:16" ht="17.100000000000001" customHeight="1">
      <c r="A85" s="219"/>
      <c r="B85" s="234" t="s">
        <v>35</v>
      </c>
      <c r="C85" s="18"/>
      <c r="D85" s="127"/>
      <c r="E85" s="187"/>
      <c r="F85" s="296" t="s">
        <v>1008</v>
      </c>
      <c r="G85" s="233"/>
      <c r="H85" s="689"/>
      <c r="I85" s="689"/>
      <c r="J85" s="689"/>
      <c r="K85" s="689"/>
      <c r="M85" s="16"/>
      <c r="N85" s="16"/>
      <c r="O85" s="16"/>
      <c r="P85" s="16"/>
    </row>
    <row r="86" spans="1:16" ht="31.35" customHeight="1">
      <c r="A86" s="219"/>
      <c r="B86" s="234"/>
      <c r="C86" s="18"/>
      <c r="D86" s="127"/>
      <c r="E86" s="187"/>
      <c r="F86" s="1614"/>
      <c r="G86" s="1698"/>
      <c r="H86" s="689"/>
      <c r="I86" s="689"/>
      <c r="J86" s="689"/>
      <c r="K86" s="689"/>
    </row>
    <row r="87" spans="1:16" ht="17.100000000000001" customHeight="1">
      <c r="A87" s="219"/>
      <c r="B87" s="127"/>
      <c r="C87" s="18"/>
      <c r="D87" s="127"/>
      <c r="E87" s="187"/>
      <c r="F87" s="1614"/>
      <c r="G87" s="1698"/>
      <c r="H87" s="689"/>
      <c r="I87" s="689"/>
      <c r="J87" s="689"/>
      <c r="K87" s="689"/>
    </row>
    <row r="88" spans="1:16" ht="17.100000000000001" customHeight="1" thickBot="1">
      <c r="A88" s="219"/>
      <c r="B88" s="316"/>
      <c r="C88" s="266"/>
      <c r="D88" s="266"/>
      <c r="E88" s="198"/>
      <c r="F88" s="1701"/>
      <c r="G88" s="1702"/>
      <c r="H88" s="689"/>
      <c r="I88" s="689"/>
      <c r="J88" s="689"/>
      <c r="K88" s="689"/>
    </row>
    <row r="89" spans="1:16" ht="17.100000000000001" customHeight="1" thickTop="1">
      <c r="B89" s="317"/>
      <c r="F89" s="170"/>
    </row>
    <row r="90" spans="1:16" ht="17.100000000000001" customHeight="1">
      <c r="F90" s="170"/>
    </row>
    <row r="91" spans="1:16" ht="17.100000000000001" customHeight="1"/>
    <row r="92" spans="1:16" ht="17.100000000000001" customHeight="1">
      <c r="C92" s="317"/>
    </row>
    <row r="93" spans="1:16" ht="17.100000000000001" customHeight="1"/>
    <row r="94" spans="1:16" ht="17.100000000000001" customHeight="1"/>
    <row r="95" spans="1:16" ht="17.100000000000001" customHeight="1">
      <c r="C95" s="318"/>
      <c r="D95" s="20"/>
    </row>
    <row r="96" spans="1:16" ht="17.100000000000001" customHeight="1">
      <c r="F96" s="170"/>
    </row>
    <row r="97" spans="2:15" ht="17.100000000000001" customHeight="1"/>
    <row r="98" spans="2:15" ht="27" customHeight="1">
      <c r="F98" s="170"/>
    </row>
    <row r="99" spans="2:15" ht="17.100000000000001" customHeight="1"/>
    <row r="100" spans="2:15" ht="17.100000000000001" customHeight="1">
      <c r="C100" s="246"/>
    </row>
    <row r="101" spans="2:15">
      <c r="C101" s="246"/>
    </row>
    <row r="102" spans="2:15">
      <c r="C102" s="246"/>
    </row>
    <row r="103" spans="2:15">
      <c r="C103" s="19"/>
    </row>
    <row r="106" spans="2:15">
      <c r="K106" s="8"/>
      <c r="L106" s="8"/>
      <c r="M106" s="8"/>
      <c r="N106" s="245"/>
      <c r="O106" s="8"/>
    </row>
    <row r="107" spans="2:15">
      <c r="K107" s="246"/>
    </row>
    <row r="108" spans="2:15">
      <c r="G108" s="170"/>
      <c r="K108" s="246"/>
    </row>
    <row r="109" spans="2:15">
      <c r="B109" s="319"/>
      <c r="C109" s="246"/>
      <c r="D109" s="246"/>
      <c r="E109" s="320"/>
      <c r="F109" s="320"/>
      <c r="G109" s="320"/>
      <c r="H109" s="320"/>
      <c r="K109" s="246"/>
    </row>
    <row r="110" spans="2:15">
      <c r="B110" s="319"/>
      <c r="C110" s="246"/>
      <c r="D110" s="246"/>
      <c r="E110" s="246"/>
      <c r="F110" s="246"/>
      <c r="G110" s="246"/>
      <c r="H110" s="246"/>
      <c r="K110" s="246"/>
    </row>
    <row r="111" spans="2:15">
      <c r="B111" s="319"/>
      <c r="C111" s="246"/>
      <c r="D111" s="246"/>
      <c r="E111" s="246"/>
      <c r="F111" s="246"/>
      <c r="G111" s="246"/>
      <c r="H111" s="246"/>
      <c r="K111" s="246"/>
    </row>
    <row r="112" spans="2:15">
      <c r="E112" s="246"/>
      <c r="F112" s="246"/>
      <c r="G112" s="246"/>
      <c r="H112" s="246"/>
      <c r="K112" s="246"/>
    </row>
    <row r="118" spans="2:10">
      <c r="B118" s="321"/>
      <c r="C118" s="8"/>
      <c r="D118" s="8"/>
      <c r="E118" s="8"/>
      <c r="F118" s="8"/>
      <c r="G118" s="8"/>
      <c r="H118" s="8"/>
      <c r="I118" s="8"/>
      <c r="J118" s="8"/>
    </row>
    <row r="119" spans="2:10">
      <c r="B119" s="319"/>
      <c r="C119" s="20"/>
      <c r="D119" s="20"/>
      <c r="E119" s="320"/>
      <c r="F119" s="320"/>
      <c r="G119" s="320"/>
      <c r="H119" s="320"/>
    </row>
    <row r="120" spans="2:10">
      <c r="B120" s="319"/>
      <c r="C120" s="20"/>
      <c r="D120" s="20"/>
      <c r="E120" s="320"/>
      <c r="F120" s="320"/>
      <c r="G120" s="320"/>
      <c r="H120" s="320"/>
    </row>
    <row r="121" spans="2:10">
      <c r="B121" s="319"/>
      <c r="C121" s="20"/>
      <c r="D121" s="20"/>
      <c r="E121" s="320"/>
      <c r="F121" s="320"/>
      <c r="G121" s="320"/>
      <c r="H121" s="320"/>
    </row>
    <row r="122" spans="2:10">
      <c r="B122" s="319"/>
      <c r="C122" s="20"/>
      <c r="D122" s="20"/>
      <c r="E122" s="320"/>
      <c r="F122" s="320"/>
      <c r="G122" s="320"/>
      <c r="H122" s="320"/>
    </row>
    <row r="123" spans="2:10">
      <c r="B123" s="319"/>
      <c r="C123" s="20"/>
      <c r="D123" s="20"/>
      <c r="E123" s="320"/>
      <c r="F123" s="320"/>
      <c r="G123" s="320"/>
      <c r="H123" s="320"/>
    </row>
  </sheetData>
  <mergeCells count="34">
    <mergeCell ref="C2:E2"/>
    <mergeCell ref="F2:I2"/>
    <mergeCell ref="J2:K8"/>
    <mergeCell ref="C3:E3"/>
    <mergeCell ref="C4:E4"/>
    <mergeCell ref="G4:I4"/>
    <mergeCell ref="C5:E5"/>
    <mergeCell ref="G5:I5"/>
    <mergeCell ref="C6:E6"/>
    <mergeCell ref="G6:I6"/>
    <mergeCell ref="C7:E7"/>
    <mergeCell ref="G7:I7"/>
    <mergeCell ref="C8:E8"/>
    <mergeCell ref="G8:I8"/>
    <mergeCell ref="F12:G16"/>
    <mergeCell ref="D50:E50"/>
    <mergeCell ref="B19:B20"/>
    <mergeCell ref="C19:C20"/>
    <mergeCell ref="F20:G27"/>
    <mergeCell ref="B21:B22"/>
    <mergeCell ref="C21:C22"/>
    <mergeCell ref="B23:B24"/>
    <mergeCell ref="C23:C24"/>
    <mergeCell ref="B14:B15"/>
    <mergeCell ref="B16:B17"/>
    <mergeCell ref="F86:G88"/>
    <mergeCell ref="D51:E51"/>
    <mergeCell ref="D52:E52"/>
    <mergeCell ref="D53:E53"/>
    <mergeCell ref="I40:I45"/>
    <mergeCell ref="F45:G47"/>
    <mergeCell ref="F48:G48"/>
    <mergeCell ref="D49:E49"/>
    <mergeCell ref="F81:G83"/>
  </mergeCells>
  <conditionalFormatting sqref="I11:I13">
    <cfRule type="expression" dxfId="174" priority="15">
      <formula>$I$11="Nein"</formula>
    </cfRule>
  </conditionalFormatting>
  <conditionalFormatting sqref="I14:I18">
    <cfRule type="expression" dxfId="172" priority="14">
      <formula>$I$14="Nein"</formula>
    </cfRule>
  </conditionalFormatting>
  <conditionalFormatting sqref="I19:I21">
    <cfRule type="expression" dxfId="171" priority="13">
      <formula>$I$19="Nein"</formula>
    </cfRule>
  </conditionalFormatting>
  <conditionalFormatting sqref="I22:I25">
    <cfRule type="expression" dxfId="170" priority="12">
      <formula>$I$22="Nein"</formula>
    </cfRule>
  </conditionalFormatting>
  <conditionalFormatting sqref="I26:I28">
    <cfRule type="expression" dxfId="169" priority="11">
      <formula>$I$26="Nein"</formula>
    </cfRule>
  </conditionalFormatting>
  <conditionalFormatting sqref="J11:J13">
    <cfRule type="expression" dxfId="168" priority="10">
      <formula>$J$11="Nein"</formula>
    </cfRule>
  </conditionalFormatting>
  <conditionalFormatting sqref="J14:J18">
    <cfRule type="expression" dxfId="166" priority="9">
      <formula>$J$14="Nein"</formula>
    </cfRule>
  </conditionalFormatting>
  <conditionalFormatting sqref="J19:J21">
    <cfRule type="expression" dxfId="165" priority="8">
      <formula>$J$19="Nein"</formula>
    </cfRule>
  </conditionalFormatting>
  <conditionalFormatting sqref="J22:J25">
    <cfRule type="expression" dxfId="164" priority="7">
      <formula>$J$22="Nein"</formula>
    </cfRule>
  </conditionalFormatting>
  <conditionalFormatting sqref="J26:J28">
    <cfRule type="expression" dxfId="163" priority="6">
      <formula>$J$26="Nein"</formula>
    </cfRule>
  </conditionalFormatting>
  <conditionalFormatting sqref="K11:K13">
    <cfRule type="expression" dxfId="162" priority="5">
      <formula>$K$11="Nein"</formula>
    </cfRule>
  </conditionalFormatting>
  <conditionalFormatting sqref="K14:K18">
    <cfRule type="expression" dxfId="160" priority="4">
      <formula>$K$14="Nein"</formula>
    </cfRule>
  </conditionalFormatting>
  <conditionalFormatting sqref="K19:K21">
    <cfRule type="expression" dxfId="159" priority="3">
      <formula>$K$19="Nein"</formula>
    </cfRule>
  </conditionalFormatting>
  <conditionalFormatting sqref="K22:K25">
    <cfRule type="expression" dxfId="158" priority="2">
      <formula>$K$22="Nein"</formula>
    </cfRule>
  </conditionalFormatting>
  <conditionalFormatting sqref="K26:K28">
    <cfRule type="expression" dxfId="157" priority="1">
      <formula>$K$26="Nein"</formula>
    </cfRule>
  </conditionalFormatting>
  <pageMargins left="0.7" right="0.7" top="0.78740157499999996" bottom="0.78740157499999996" header="0.3" footer="0.3"/>
  <pageSetup paperSize="9" scale="44" fitToHeight="0" orientation="landscape" r:id="rId1"/>
  <headerFooter>
    <oddHeader>&amp;L
&amp;C&amp;"-,Fett"Maßnahmenpaket Fenster und Türen&amp;R&amp;"-,Fett"&amp;D</oddHeader>
    <oddFooter>&amp;R&amp;"-,Fett"&amp;P</oddFooter>
  </headerFooter>
  <rowBreaks count="1" manualBreakCount="1">
    <brk id="90" min="1" max="11" man="1"/>
  </rowBreaks>
  <colBreaks count="1" manualBreakCount="1">
    <brk id="10" min="1" max="71" man="1"/>
  </colBreaks>
  <extLst>
    <ext xmlns:x14="http://schemas.microsoft.com/office/spreadsheetml/2009/9/main" uri="{78C0D931-6437-407d-A8EE-F0AAD7539E65}">
      <x14:conditionalFormattings>
        <x14:conditionalFormatting xmlns:xm="http://schemas.microsoft.com/office/excel/2006/main">
          <x14:cfRule type="expression" priority="17" id="{57448434-A96B-4888-B438-CF6DD8C1DF6C}">
            <xm:f>Allgemein!$C$91=$I$10</xm:f>
            <x14:dxf>
              <fill>
                <patternFill>
                  <bgColor theme="9" tint="0.79998168889431442"/>
                </patternFill>
              </fill>
            </x14:dxf>
          </x14:cfRule>
          <xm:sqref>I11:I45</xm:sqref>
        </x14:conditionalFormatting>
        <x14:conditionalFormatting xmlns:xm="http://schemas.microsoft.com/office/excel/2006/main">
          <x14:cfRule type="expression" priority="18" id="{128250FF-26AD-492A-BFBB-1D581F8CC89B}">
            <xm:f>Allgemein!$C$91=$J$10</xm:f>
            <x14:dxf>
              <fill>
                <patternFill>
                  <bgColor theme="9" tint="0.79998168889431442"/>
                </patternFill>
              </fill>
            </x14:dxf>
          </x14:cfRule>
          <xm:sqref>J11:J45</xm:sqref>
        </x14:conditionalFormatting>
        <x14:conditionalFormatting xmlns:xm="http://schemas.microsoft.com/office/excel/2006/main">
          <x14:cfRule type="expression" priority="16" id="{8653F3E0-D465-465A-8C93-DB559AAA507E}">
            <xm:f>Allgemein!$C$91=$K$10</xm:f>
            <x14:dxf>
              <fill>
                <patternFill>
                  <bgColor theme="9" tint="0.79998168889431442"/>
                </patternFill>
              </fill>
            </x14:dxf>
          </x14:cfRule>
          <xm:sqref>K11:K45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C7585041-FE68-461F-81C7-2E185F245D1B}">
          <x14:formula1>
            <xm:f>Datenbank!$S$3:$S$4</xm:f>
          </x14:formula1>
          <xm:sqref>I11:K11 J15:K15 I26 I22 I19 I14:I15</xm:sqref>
        </x14:dataValidation>
        <x14:dataValidation type="list" allowBlank="1" showInputMessage="1" showErrorMessage="1" xr:uid="{9FF08890-C837-4740-B066-80FA2184111D}">
          <x14:formula1>
            <xm:f>'Datenbank-Preise'!$T$168:$T$172</xm:f>
          </x14:formula1>
          <xm:sqref>I38:K38</xm:sqref>
        </x14:dataValidation>
        <x14:dataValidation type="list" allowBlank="1" showInputMessage="1" showErrorMessage="1" xr:uid="{E050E9B7-DE4D-462E-A3A0-5DDDBF8EEDD2}">
          <x14:formula1>
            <xm:f>'Datenbank-Preise'!$B$168:$B$195</xm:f>
          </x14:formula1>
          <xm:sqref>I17:K17 I24:K24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9DA4B-C400-4AAE-A8A8-77140BBCA56E}">
  <dimension ref="A1:Q43"/>
  <sheetViews>
    <sheetView showGridLines="0" topLeftCell="A6" zoomScale="90" zoomScaleNormal="90" workbookViewId="0">
      <selection activeCell="D25" sqref="D25:E27"/>
    </sheetView>
  </sheetViews>
  <sheetFormatPr baseColWidth="10" defaultColWidth="11.5546875" defaultRowHeight="16.8"/>
  <cols>
    <col min="1" max="1" width="11.5546875" style="10"/>
    <col min="2" max="2" width="42.44140625" style="10" customWidth="1"/>
    <col min="3" max="3" width="37.5546875" style="10" customWidth="1"/>
    <col min="4" max="4" width="33.6640625" style="10" customWidth="1"/>
    <col min="5" max="5" width="25" style="10" customWidth="1"/>
    <col min="6" max="6" width="31.6640625" style="10" customWidth="1"/>
    <col min="7" max="7" width="26.33203125" style="10" customWidth="1"/>
    <col min="8" max="8" width="23.33203125" style="10" customWidth="1"/>
    <col min="9" max="9" width="25.33203125" style="10" customWidth="1"/>
    <col min="10" max="10" width="12.5546875" style="10" customWidth="1"/>
    <col min="11" max="11" width="13.5546875" style="10" customWidth="1"/>
    <col min="12" max="12" width="20.44140625" style="10" customWidth="1"/>
    <col min="13" max="13" width="24.44140625" style="10" customWidth="1"/>
    <col min="14" max="14" width="18.5546875" style="10" customWidth="1"/>
    <col min="15" max="16384" width="11.5546875" style="10"/>
  </cols>
  <sheetData>
    <row r="1" spans="1:10" ht="17.399999999999999" thickBot="1">
      <c r="B1" s="217"/>
      <c r="G1" s="217"/>
      <c r="I1" s="217"/>
    </row>
    <row r="2" spans="1:10" ht="34.5" customHeight="1" thickTop="1">
      <c r="A2" s="219"/>
      <c r="B2" s="127" t="s">
        <v>0</v>
      </c>
      <c r="C2" s="261">
        <f>Allgemein!C2</f>
        <v>0</v>
      </c>
      <c r="D2" s="1729" t="s">
        <v>919</v>
      </c>
      <c r="E2" s="1730"/>
      <c r="F2" s="1730"/>
      <c r="G2" s="1730"/>
      <c r="H2" s="1652" t="e" vm="1">
        <v>#VALUE!</v>
      </c>
      <c r="I2" s="1654"/>
      <c r="J2" s="220"/>
    </row>
    <row r="3" spans="1:10" ht="16.5" customHeight="1">
      <c r="A3" s="219"/>
      <c r="B3" s="127" t="s">
        <v>4</v>
      </c>
      <c r="C3" s="18">
        <f>Allgemein!C3</f>
        <v>0</v>
      </c>
      <c r="D3" s="385"/>
      <c r="E3" s="1132" t="s">
        <v>255</v>
      </c>
      <c r="F3" s="470"/>
      <c r="G3" s="470"/>
      <c r="H3" s="1655"/>
      <c r="I3" s="1656"/>
      <c r="J3" s="220"/>
    </row>
    <row r="4" spans="1:10" ht="16.5" customHeight="1">
      <c r="A4" s="219"/>
      <c r="B4" s="127" t="s">
        <v>5</v>
      </c>
      <c r="C4" s="18">
        <f>Allgemein!C4</f>
        <v>0</v>
      </c>
      <c r="D4" s="473" t="s">
        <v>256</v>
      </c>
      <c r="E4" s="1632">
        <f>Allgemein!C97</f>
        <v>0</v>
      </c>
      <c r="F4" s="1632"/>
      <c r="G4" s="1632"/>
      <c r="H4" s="1655"/>
      <c r="I4" s="1656"/>
      <c r="J4" s="220"/>
    </row>
    <row r="5" spans="1:10" ht="16.5" customHeight="1">
      <c r="A5" s="219"/>
      <c r="B5" s="127" t="s">
        <v>8</v>
      </c>
      <c r="C5" s="18">
        <f>Allgemein!C5</f>
        <v>0</v>
      </c>
      <c r="D5" s="475" t="s">
        <v>257</v>
      </c>
      <c r="E5" s="1680">
        <f>Allgemein!G97</f>
        <v>0</v>
      </c>
      <c r="F5" s="1680"/>
      <c r="G5" s="1680"/>
      <c r="H5" s="1655"/>
      <c r="I5" s="1656"/>
      <c r="J5" s="220"/>
    </row>
    <row r="6" spans="1:10">
      <c r="A6" s="219"/>
      <c r="B6" s="127" t="s">
        <v>11</v>
      </c>
      <c r="C6" s="18">
        <f>Allgemein!C6</f>
        <v>0</v>
      </c>
      <c r="D6" s="479" t="s">
        <v>259</v>
      </c>
      <c r="E6" s="1728" t="str">
        <f>Allgemein!C47</f>
        <v>-</v>
      </c>
      <c r="F6" s="1728"/>
      <c r="G6" s="1728"/>
      <c r="H6" s="1655"/>
      <c r="I6" s="1656"/>
      <c r="J6" s="220"/>
    </row>
    <row r="7" spans="1:10">
      <c r="A7" s="219"/>
      <c r="B7" s="127" t="s">
        <v>12</v>
      </c>
      <c r="C7" s="18">
        <f>Allgemein!C7</f>
        <v>0</v>
      </c>
      <c r="D7" s="203" t="s">
        <v>171</v>
      </c>
      <c r="E7" s="1503" t="str">
        <f>Allgemein!C63</f>
        <v>-</v>
      </c>
      <c r="F7" s="1503"/>
      <c r="G7" s="1503"/>
      <c r="H7" s="1655"/>
      <c r="I7" s="1656"/>
      <c r="J7" s="220"/>
    </row>
    <row r="8" spans="1:10" ht="17.399999999999999" thickBot="1">
      <c r="A8" s="219"/>
      <c r="B8" s="316" t="s">
        <v>14</v>
      </c>
      <c r="C8" s="210">
        <f>Allgemein!C8</f>
        <v>0</v>
      </c>
      <c r="D8" s="204" t="s">
        <v>261</v>
      </c>
      <c r="E8" s="1667" t="str">
        <f>Allgemein!C79</f>
        <v>-</v>
      </c>
      <c r="F8" s="1667"/>
      <c r="G8" s="1667"/>
      <c r="H8" s="1657"/>
      <c r="I8" s="1659"/>
      <c r="J8" s="220"/>
    </row>
    <row r="9" spans="1:10" ht="31.35" customHeight="1" thickTop="1">
      <c r="A9" s="219"/>
      <c r="B9" s="267" t="s">
        <v>490</v>
      </c>
      <c r="C9" s="19"/>
      <c r="I9" s="703"/>
    </row>
    <row r="10" spans="1:10" ht="18.600000000000001">
      <c r="A10" s="219"/>
      <c r="B10" s="222" t="s">
        <v>263</v>
      </c>
      <c r="C10" s="223"/>
      <c r="D10" s="665" t="s">
        <v>294</v>
      </c>
      <c r="E10" s="225"/>
      <c r="F10" s="714" t="s">
        <v>265</v>
      </c>
      <c r="G10" s="979" t="s">
        <v>106</v>
      </c>
      <c r="H10" s="980" t="s">
        <v>159</v>
      </c>
      <c r="I10" s="981" t="s">
        <v>171</v>
      </c>
    </row>
    <row r="11" spans="1:10" ht="18.600000000000001">
      <c r="B11" s="253" t="s">
        <v>920</v>
      </c>
      <c r="C11" s="189"/>
      <c r="D11" s="127" t="s">
        <v>921</v>
      </c>
      <c r="E11" s="187"/>
      <c r="F11" s="756" t="s">
        <v>771</v>
      </c>
      <c r="G11" s="982" t="str" cm="1">
        <f t="array" ref="G11">_xlfn.XLOOKUP(F11&amp;Allgemein!C47,Tabelle2529[[#Headers],[Kellerdeckendämmung:]]&amp;Tabelle2529[Position Keller],Tabelle2529[Kellerdeckendämmung:],"",0,1)</f>
        <v>Nein</v>
      </c>
      <c r="H11" s="982" t="str" cm="1">
        <f t="array" ref="H11">_xlfn.XLOOKUP(F11&amp;Allgemein!C63,Tabelle2529[[#Headers],[Kellerdeckendämmung:]]&amp;Tabelle2529[Position Keller],Tabelle2529[Kellerdeckendämmung:],"",0,1)</f>
        <v>Nein</v>
      </c>
      <c r="I11" s="963" t="str" cm="1">
        <f t="array" ref="I11">_xlfn.XLOOKUP(F11&amp;Allgemein!C79,Tabelle2529[[#Headers],[Kellerdeckendämmung:]]&amp;Tabelle2529[Position Keller],Tabelle2529[Kellerdeckendämmung:],"",0,1)</f>
        <v>Nein</v>
      </c>
    </row>
    <row r="12" spans="1:10">
      <c r="B12" s="234" t="s">
        <v>922</v>
      </c>
      <c r="C12" s="187"/>
      <c r="D12" s="750"/>
      <c r="E12" s="763"/>
      <c r="F12" s="759" t="s">
        <v>923</v>
      </c>
      <c r="G12" s="955">
        <f>IF(G11="Ja",E13,0)</f>
        <v>0</v>
      </c>
      <c r="H12" s="983">
        <f>IF(H11="Ja",E13,0)</f>
        <v>0</v>
      </c>
      <c r="I12" s="963">
        <f>IF(I11="Ja",E13,0)</f>
        <v>0</v>
      </c>
    </row>
    <row r="13" spans="1:10" ht="19.5" customHeight="1">
      <c r="A13" s="219"/>
      <c r="B13" s="234" t="s">
        <v>924</v>
      </c>
      <c r="C13" s="187"/>
      <c r="D13" s="766" t="s">
        <v>925</v>
      </c>
      <c r="E13" s="853">
        <f>Allgemein!C19</f>
        <v>0</v>
      </c>
      <c r="F13" s="684" t="s">
        <v>926</v>
      </c>
      <c r="G13" s="955" t="str">
        <f>Allgemein!D47</f>
        <v>-</v>
      </c>
      <c r="H13" s="957" t="str">
        <f>Allgemein!D63</f>
        <v>-</v>
      </c>
      <c r="I13" s="960" t="str">
        <f>Allgemein!D79</f>
        <v>-</v>
      </c>
    </row>
    <row r="14" spans="1:10" ht="28.5" customHeight="1">
      <c r="A14" s="219"/>
      <c r="B14" s="1724" t="s">
        <v>927</v>
      </c>
      <c r="C14" s="1483"/>
      <c r="D14" s="1249" t="s">
        <v>928</v>
      </c>
      <c r="E14" s="1250">
        <f>Allgemein!E19*2+Allgemein!E20*2</f>
        <v>0</v>
      </c>
      <c r="F14" s="761" t="s">
        <v>772</v>
      </c>
      <c r="G14" s="982" t="str" cm="1">
        <f t="array" ref="G14">_xlfn.XLOOKUP(F14&amp;Allgemein!C47,Tabelle2529[[#Headers],[Dämmung des Fußbodens:]]&amp;Tabelle2529[Position Keller],Tabelle2529[Dämmung des Fußbodens:],"",0,1)</f>
        <v>Nein</v>
      </c>
      <c r="H14" s="956" t="str" cm="1">
        <f t="array" ref="H14">_xlfn.XLOOKUP(F14&amp;Allgemein!C63,Tabelle2529[[#Headers],[Dämmung des Fußbodens:]]&amp;Tabelle2529[Position Keller],Tabelle2529[Dämmung des Fußbodens:],"",0,1)</f>
        <v>Nein</v>
      </c>
      <c r="I14" s="963" t="str" cm="1">
        <f t="array" ref="I14">_xlfn.XLOOKUP(F14&amp;Allgemein!C79,Tabelle2529[[#Headers],[Dämmung des Fußbodens:]]&amp;Tabelle2529[Position Keller],Tabelle2529[Dämmung des Fußbodens:],"",0,1)</f>
        <v>Nein</v>
      </c>
    </row>
    <row r="15" spans="1:10" ht="18" customHeight="1">
      <c r="A15" s="219"/>
      <c r="B15" s="1724"/>
      <c r="C15" s="1483"/>
      <c r="D15" s="766" t="s">
        <v>929</v>
      </c>
      <c r="E15" s="853"/>
      <c r="F15" s="760" t="s">
        <v>923</v>
      </c>
      <c r="G15" s="956">
        <f>IF(G14="Ja",E13,0)</f>
        <v>0</v>
      </c>
      <c r="H15" s="956">
        <f>IF(H14="Ja",E13,0)</f>
        <v>0</v>
      </c>
      <c r="I15" s="963">
        <f>IF(I14="Ja",E13,0)</f>
        <v>0</v>
      </c>
    </row>
    <row r="16" spans="1:10" ht="18.600000000000001">
      <c r="A16" s="219"/>
      <c r="B16" s="260" t="s">
        <v>930</v>
      </c>
      <c r="C16" s="187"/>
      <c r="D16" s="766" t="s">
        <v>931</v>
      </c>
      <c r="E16" s="853"/>
      <c r="F16" s="684" t="s">
        <v>926</v>
      </c>
      <c r="G16" s="957" t="str">
        <f>Allgemein!D47</f>
        <v>-</v>
      </c>
      <c r="H16" s="957" t="str">
        <f>Allgemein!D63</f>
        <v>-</v>
      </c>
      <c r="I16" s="963" t="str">
        <f>Allgemein!D79</f>
        <v>-</v>
      </c>
    </row>
    <row r="17" spans="1:17" ht="16.5" customHeight="1">
      <c r="A17" s="219"/>
      <c r="B17" s="260"/>
      <c r="C17" s="187"/>
      <c r="D17" s="750" t="s">
        <v>932</v>
      </c>
      <c r="E17" s="763"/>
      <c r="F17" s="762" t="s">
        <v>685</v>
      </c>
      <c r="G17" s="956" t="str" cm="1">
        <f t="array" ref="G17">_xlfn.XLOOKUP(F17&amp;Allgemein!C47,Tabelle2529[[#Headers],[Einblasdämmung:]]&amp;Tabelle2529[Position Keller],Tabelle2529[Einblasdämmung:],"",0,1)</f>
        <v>Nein</v>
      </c>
      <c r="H17" s="956" t="str" cm="1">
        <f t="array" ref="H17">_xlfn.XLOOKUP(F17&amp;Allgemein!C63,Tabelle2529[[#Headers],[Einblasdämmung:]]&amp;Tabelle2529[Position Keller],Tabelle2529[Einblasdämmung:],"",0,1)</f>
        <v>Nein</v>
      </c>
      <c r="I17" s="984" t="str" cm="1">
        <f t="array" ref="I17">_xlfn.XLOOKUP(F17&amp;Allgemein!C79,Tabelle2529[[#Headers],[Einblasdämmung:]]&amp;Tabelle2529[Position Keller],Tabelle2529[Einblasdämmung:],"",0,1)</f>
        <v>Nein</v>
      </c>
    </row>
    <row r="18" spans="1:17" ht="33.6">
      <c r="B18" s="381" t="s">
        <v>933</v>
      </c>
      <c r="C18" s="187"/>
      <c r="D18" s="1683"/>
      <c r="E18" s="1684"/>
      <c r="F18" s="759" t="s">
        <v>923</v>
      </c>
      <c r="G18" s="956">
        <f>IF(G17="Ja",E13,0)</f>
        <v>0</v>
      </c>
      <c r="H18" s="956">
        <f>IF(H17="Ja",E13,0)</f>
        <v>0</v>
      </c>
      <c r="I18" s="963">
        <f>IF(I17="Ja",E13,0)</f>
        <v>0</v>
      </c>
    </row>
    <row r="19" spans="1:17" ht="21" customHeight="1">
      <c r="A19" s="219"/>
      <c r="B19" s="344" t="s">
        <v>934</v>
      </c>
      <c r="C19" s="189"/>
      <c r="D19" s="1683"/>
      <c r="E19" s="1684"/>
      <c r="F19" s="451" t="s">
        <v>935</v>
      </c>
      <c r="G19" s="957"/>
      <c r="H19" s="957"/>
      <c r="I19" s="960"/>
      <c r="J19" s="298"/>
    </row>
    <row r="20" spans="1:17" ht="18" customHeight="1">
      <c r="A20" s="219"/>
      <c r="B20" s="127" t="s">
        <v>936</v>
      </c>
      <c r="C20" s="187"/>
      <c r="D20" s="750"/>
      <c r="E20" s="763"/>
      <c r="F20" s="762" t="s">
        <v>937</v>
      </c>
      <c r="G20" s="1254" t="str">
        <f>_xlfn.XLOOKUP(Allgemein!$C$48,'Datenbank-Preise'!B74:B79,'Datenbank-Preise'!D74:D79,"Nein",0,1)</f>
        <v>Nein</v>
      </c>
      <c r="H20" s="1254" t="str">
        <f>_xlfn.XLOOKUP(Allgemein!$C$64,'Datenbank-Preise'!B74:B79,'Datenbank-Preise'!D74:D79,"Nein",0,1)</f>
        <v>Nein</v>
      </c>
      <c r="I20" s="999" t="str">
        <f>_xlfn.XLOOKUP(Allgemein!$C$80,'Datenbank-Preise'!B74:B79,'Datenbank-Preise'!D74:D79,"Nein",0,1)</f>
        <v>Nein</v>
      </c>
    </row>
    <row r="21" spans="1:17" ht="20.100000000000001" customHeight="1">
      <c r="A21" s="219"/>
      <c r="B21" s="127" t="s">
        <v>938</v>
      </c>
      <c r="C21" s="187"/>
      <c r="D21" s="750"/>
      <c r="E21" s="763"/>
      <c r="F21" s="759" t="s">
        <v>923</v>
      </c>
      <c r="G21" s="1255">
        <f>IF(G20="Ja",$E$15,0)</f>
        <v>0</v>
      </c>
      <c r="H21" s="1255">
        <f>IF(H20="Ja",$E$15,0)</f>
        <v>0</v>
      </c>
      <c r="I21" s="999">
        <f>IF(I20="Ja",$E$15,0)</f>
        <v>0</v>
      </c>
    </row>
    <row r="22" spans="1:17">
      <c r="A22" s="219"/>
      <c r="B22" s="293" t="s">
        <v>939</v>
      </c>
      <c r="C22" s="290"/>
      <c r="D22" s="764"/>
      <c r="E22" s="765"/>
      <c r="F22" s="451" t="s">
        <v>935</v>
      </c>
      <c r="G22" s="1256"/>
      <c r="H22" s="1257"/>
      <c r="I22" s="1258"/>
    </row>
    <row r="23" spans="1:17" ht="18.600000000000001">
      <c r="A23" s="219"/>
      <c r="B23" s="344" t="s">
        <v>940</v>
      </c>
      <c r="C23" s="189"/>
      <c r="D23" s="127"/>
      <c r="E23" s="331"/>
      <c r="F23" s="762" t="s">
        <v>941</v>
      </c>
      <c r="G23" s="362" t="str">
        <f>_xlfn.XLOOKUP(Allgemein!$C$48,'Datenbank-Preise'!B74:B79,'Datenbank-Preise'!C74:C79,"Nein",0,1)</f>
        <v>Nein</v>
      </c>
      <c r="H23" s="362" t="str">
        <f>_xlfn.XLOOKUP(Allgemein!$C$64,'Datenbank-Preise'!B74:B79,'Datenbank-Preise'!C74:C79,"Nein",0,1)</f>
        <v>Nein</v>
      </c>
      <c r="I23" s="1218" t="str">
        <f>_xlfn.XLOOKUP(Allgemein!$C$80,'Datenbank-Preise'!B74:B79,'Datenbank-Preise'!C74:C79,"Nein",0,1)</f>
        <v>Nein</v>
      </c>
    </row>
    <row r="24" spans="1:17" ht="35.25" customHeight="1">
      <c r="A24" s="219"/>
      <c r="B24" s="293" t="s">
        <v>942</v>
      </c>
      <c r="C24" s="281"/>
      <c r="D24" s="127" t="s">
        <v>943</v>
      </c>
      <c r="E24" s="215"/>
      <c r="F24" s="1241" t="s">
        <v>923</v>
      </c>
      <c r="G24" s="362">
        <f>IF(G23="Ja",$E$16,0)</f>
        <v>0</v>
      </c>
      <c r="H24" s="362">
        <f>IF(H23="Ja",$E$16,0)</f>
        <v>0</v>
      </c>
      <c r="I24" s="1218">
        <f>IF(I23="Ja",$E$16,0)</f>
        <v>0</v>
      </c>
    </row>
    <row r="25" spans="1:17">
      <c r="A25" s="219"/>
      <c r="B25" s="344" t="s">
        <v>944</v>
      </c>
      <c r="C25" s="189"/>
      <c r="D25" s="1688"/>
      <c r="E25" s="1689"/>
      <c r="F25" s="1242" t="s">
        <v>935</v>
      </c>
      <c r="G25" s="362"/>
      <c r="H25" s="1246"/>
      <c r="I25" s="1247"/>
      <c r="J25" s="8"/>
      <c r="K25" s="8"/>
      <c r="L25" s="8"/>
      <c r="M25" s="16"/>
      <c r="N25" s="16"/>
      <c r="O25" s="16"/>
      <c r="P25" s="16"/>
      <c r="Q25" s="16"/>
    </row>
    <row r="26" spans="1:17" ht="18.75" customHeight="1">
      <c r="A26" s="219"/>
      <c r="B26" s="127" t="s">
        <v>945</v>
      </c>
      <c r="C26" s="187"/>
      <c r="D26" s="1596"/>
      <c r="E26" s="1689"/>
      <c r="F26" s="1243" t="s">
        <v>785</v>
      </c>
      <c r="G26" s="1251" t="str">
        <f>_xlfn.XLOOKUP(Allgemein!$C$48,'Datenbank-Preise'!B74:B79,'Datenbank-Preise'!E74:E79,"Nein",0,1)</f>
        <v>Nein</v>
      </c>
      <c r="H26" s="209" t="str">
        <f>_xlfn.XLOOKUP(Allgemein!$C$64,'Datenbank-Preise'!B74:B79,'Datenbank-Preise'!E74:E79,"Nein",0,1)</f>
        <v>Nein</v>
      </c>
      <c r="I26" s="233" t="str">
        <f>_xlfn.XLOOKUP(Allgemein!$C$80,'Datenbank-Preise'!B74:B79,'Datenbank-Preise'!E74:E79,"Nein",0,1)</f>
        <v>Nein</v>
      </c>
      <c r="L26" s="20"/>
      <c r="M26" s="15"/>
      <c r="N26" s="15"/>
      <c r="O26" s="15"/>
    </row>
    <row r="27" spans="1:17" ht="18.600000000000001" customHeight="1">
      <c r="A27" s="219"/>
      <c r="B27" s="387" t="s">
        <v>946</v>
      </c>
      <c r="C27" s="290"/>
      <c r="D27" s="1690"/>
      <c r="E27" s="1691"/>
      <c r="F27" s="1241" t="s">
        <v>947</v>
      </c>
      <c r="G27" s="362">
        <f>IF(G26="Ja",$E$15,0)</f>
        <v>0</v>
      </c>
      <c r="H27" s="362">
        <f>IF(H26="Ja",$E$15,0)</f>
        <v>0</v>
      </c>
      <c r="I27" s="1218">
        <f>IF(I26="Ja",$E$15,0)</f>
        <v>0</v>
      </c>
    </row>
    <row r="28" spans="1:17">
      <c r="A28" s="219"/>
      <c r="B28" s="344" t="s">
        <v>948</v>
      </c>
      <c r="C28" s="189"/>
      <c r="D28" s="1725"/>
      <c r="E28" s="1726"/>
      <c r="F28" s="1244" t="s">
        <v>671</v>
      </c>
      <c r="G28" s="362"/>
      <c r="H28" s="1246"/>
      <c r="I28" s="1247"/>
    </row>
    <row r="29" spans="1:17" ht="18.600000000000001">
      <c r="A29" s="219"/>
      <c r="B29" s="127" t="s">
        <v>949</v>
      </c>
      <c r="C29" s="187"/>
      <c r="D29" s="1602"/>
      <c r="E29" s="1689"/>
      <c r="F29" s="1243" t="s">
        <v>950</v>
      </c>
      <c r="G29" s="1248" t="str">
        <f>_xlfn.XLOOKUP(Allgemein!$C$48,'Datenbank-Preise'!B74:B79,'Datenbank-Preise'!F74:F79,"Nein",0,1)</f>
        <v>Nein</v>
      </c>
      <c r="H29" s="362" t="str">
        <f>_xlfn.XLOOKUP(Allgemein!$C$64,'Datenbank-Preise'!B74:B79,'Datenbank-Preise'!F74:F79,"Nein",0,1)</f>
        <v>Nein</v>
      </c>
      <c r="I29" s="1218" t="str">
        <f>_xlfn.XLOOKUP(Allgemein!$C$80,'Datenbank-Preise'!B74:B79,'Datenbank-Preise'!F74:F79,"Nein",0,1)</f>
        <v>Nein</v>
      </c>
    </row>
    <row r="30" spans="1:17">
      <c r="A30" s="219"/>
      <c r="B30" s="127" t="s">
        <v>951</v>
      </c>
      <c r="C30" s="187"/>
      <c r="D30" s="1602"/>
      <c r="E30" s="1689"/>
      <c r="F30" s="1241" t="s">
        <v>952</v>
      </c>
      <c r="G30" s="362">
        <f>IF(G29="Ja",$E$14,0)</f>
        <v>0</v>
      </c>
      <c r="H30" s="362">
        <f>IF(H29="Ja",$E$14,0)</f>
        <v>0</v>
      </c>
      <c r="I30" s="1218">
        <f>IF(I29="Ja",$E$14,0)</f>
        <v>0</v>
      </c>
    </row>
    <row r="31" spans="1:17" ht="17.399999999999999" thickBot="1">
      <c r="A31" s="219"/>
      <c r="B31" s="127" t="s">
        <v>953</v>
      </c>
      <c r="C31" s="189"/>
      <c r="D31" s="1603"/>
      <c r="E31" s="1727"/>
      <c r="F31" s="1244" t="s">
        <v>671</v>
      </c>
      <c r="G31" s="278"/>
      <c r="H31" s="278"/>
      <c r="I31" s="215"/>
    </row>
    <row r="32" spans="1:17">
      <c r="A32" s="219"/>
      <c r="B32" s="229" t="s">
        <v>954</v>
      </c>
      <c r="C32" s="229" t="s">
        <v>955</v>
      </c>
      <c r="D32" s="229" t="s">
        <v>956</v>
      </c>
      <c r="E32" s="241" t="s">
        <v>957</v>
      </c>
      <c r="F32" s="1245" t="s">
        <v>958</v>
      </c>
      <c r="G32" s="1721"/>
      <c r="H32" s="1721"/>
      <c r="I32" s="1718"/>
    </row>
    <row r="33" spans="1:9">
      <c r="A33" s="219"/>
      <c r="B33" s="18"/>
      <c r="C33" s="18"/>
      <c r="D33" s="18"/>
      <c r="E33" s="233"/>
      <c r="F33" s="683"/>
      <c r="G33" s="1722"/>
      <c r="H33" s="1722"/>
      <c r="I33" s="1719"/>
    </row>
    <row r="34" spans="1:9" ht="15.6" customHeight="1">
      <c r="A34" s="219"/>
      <c r="B34" s="18"/>
      <c r="C34" s="18"/>
      <c r="D34" s="18"/>
      <c r="E34" s="233"/>
      <c r="F34" s="683"/>
      <c r="G34" s="1722"/>
      <c r="H34" s="1722"/>
      <c r="I34" s="1719"/>
    </row>
    <row r="35" spans="1:9" ht="15.6" customHeight="1">
      <c r="A35" s="219"/>
      <c r="B35" s="18"/>
      <c r="C35" s="18"/>
      <c r="D35" s="18"/>
      <c r="E35" s="233"/>
      <c r="F35" s="683"/>
      <c r="G35" s="1722"/>
      <c r="H35" s="1722"/>
      <c r="I35" s="1719"/>
    </row>
    <row r="36" spans="1:9" ht="17.399999999999999" thickBot="1">
      <c r="A36" s="219"/>
      <c r="B36" s="388"/>
      <c r="C36" s="199"/>
      <c r="D36" s="199"/>
      <c r="E36" s="378"/>
      <c r="F36" s="1398"/>
      <c r="G36" s="1723"/>
      <c r="H36" s="1723"/>
      <c r="I36" s="1720"/>
    </row>
    <row r="37" spans="1:9" ht="17.399999999999999" thickTop="1">
      <c r="B37" s="220"/>
      <c r="C37" s="220"/>
      <c r="D37" s="220"/>
      <c r="E37" s="220"/>
    </row>
    <row r="38" spans="1:9">
      <c r="B38" s="220"/>
      <c r="C38" s="220"/>
      <c r="D38" s="220"/>
      <c r="E38" s="220"/>
    </row>
    <row r="39" spans="1:9">
      <c r="B39" s="220"/>
      <c r="C39" s="220"/>
      <c r="D39" s="220"/>
      <c r="E39" s="318"/>
      <c r="F39" s="19"/>
      <c r="G39" s="220"/>
      <c r="H39" s="220"/>
      <c r="I39" s="220"/>
    </row>
    <row r="40" spans="1:9">
      <c r="D40" s="220"/>
      <c r="E40" s="220"/>
      <c r="F40" s="220"/>
      <c r="G40" s="220"/>
      <c r="H40" s="220"/>
      <c r="I40" s="220"/>
    </row>
    <row r="41" spans="1:9">
      <c r="D41" s="220"/>
      <c r="E41" s="220"/>
      <c r="F41" s="220"/>
      <c r="G41" s="220"/>
      <c r="H41" s="220"/>
      <c r="I41" s="220"/>
    </row>
    <row r="42" spans="1:9">
      <c r="F42" s="170"/>
    </row>
    <row r="43" spans="1:9">
      <c r="F43" s="170"/>
    </row>
  </sheetData>
  <mergeCells count="15">
    <mergeCell ref="E4:G4"/>
    <mergeCell ref="E6:G6"/>
    <mergeCell ref="E7:G7"/>
    <mergeCell ref="E8:G8"/>
    <mergeCell ref="H2:I8"/>
    <mergeCell ref="E5:G5"/>
    <mergeCell ref="D2:G2"/>
    <mergeCell ref="I32:I36"/>
    <mergeCell ref="H32:H36"/>
    <mergeCell ref="G32:G36"/>
    <mergeCell ref="B14:B15"/>
    <mergeCell ref="C14:C15"/>
    <mergeCell ref="D18:E19"/>
    <mergeCell ref="D25:E27"/>
    <mergeCell ref="D28:E31"/>
  </mergeCells>
  <conditionalFormatting sqref="G11:G13">
    <cfRule type="expression" dxfId="156" priority="21">
      <formula>$G$11="Nein"</formula>
    </cfRule>
  </conditionalFormatting>
  <conditionalFormatting sqref="G14:G16">
    <cfRule type="expression" dxfId="154" priority="18">
      <formula>$G$14="Nein"</formula>
    </cfRule>
  </conditionalFormatting>
  <conditionalFormatting sqref="G17:G19">
    <cfRule type="expression" dxfId="153" priority="15">
      <formula>$G$17="Nein"</formula>
    </cfRule>
  </conditionalFormatting>
  <conditionalFormatting sqref="G20:G22">
    <cfRule type="expression" dxfId="152" priority="12">
      <formula>$G$20="Nein"</formula>
    </cfRule>
  </conditionalFormatting>
  <conditionalFormatting sqref="G23:G25">
    <cfRule type="expression" dxfId="151" priority="9">
      <formula>$G$23="Nein"</formula>
    </cfRule>
  </conditionalFormatting>
  <conditionalFormatting sqref="G26:G28">
    <cfRule type="expression" dxfId="150" priority="6">
      <formula>$G$26="Nein"</formula>
    </cfRule>
  </conditionalFormatting>
  <conditionalFormatting sqref="G29:G31">
    <cfRule type="expression" dxfId="149" priority="3">
      <formula>$G$29="Nein"</formula>
    </cfRule>
  </conditionalFormatting>
  <conditionalFormatting sqref="H11:H13">
    <cfRule type="expression" dxfId="148" priority="20">
      <formula>$H$11="Nein"</formula>
    </cfRule>
  </conditionalFormatting>
  <conditionalFormatting sqref="H14:H16">
    <cfRule type="expression" dxfId="146" priority="17">
      <formula>$H$14="Nein"</formula>
    </cfRule>
  </conditionalFormatting>
  <conditionalFormatting sqref="H17:H19">
    <cfRule type="expression" dxfId="145" priority="14">
      <formula>$H$17="Nein"</formula>
    </cfRule>
  </conditionalFormatting>
  <conditionalFormatting sqref="H20:H22">
    <cfRule type="expression" dxfId="144" priority="11">
      <formula>$H$20="Nein"</formula>
    </cfRule>
  </conditionalFormatting>
  <conditionalFormatting sqref="H23:H25">
    <cfRule type="expression" dxfId="143" priority="8">
      <formula>$H$23="Nein"</formula>
    </cfRule>
  </conditionalFormatting>
  <conditionalFormatting sqref="H26:H28">
    <cfRule type="expression" dxfId="142" priority="5">
      <formula>$H$26="Nein"</formula>
    </cfRule>
  </conditionalFormatting>
  <conditionalFormatting sqref="H29:H31">
    <cfRule type="expression" dxfId="141" priority="2">
      <formula>$H$29="Nein"</formula>
    </cfRule>
  </conditionalFormatting>
  <conditionalFormatting sqref="I11:I13">
    <cfRule type="expression" dxfId="140" priority="19">
      <formula>$I$11="Nein"</formula>
    </cfRule>
  </conditionalFormatting>
  <conditionalFormatting sqref="I14:I16">
    <cfRule type="expression" dxfId="138" priority="16">
      <formula>$I$14="Nein"</formula>
    </cfRule>
  </conditionalFormatting>
  <conditionalFormatting sqref="I17:I19">
    <cfRule type="expression" dxfId="137" priority="13">
      <formula>$I$17="Nein"</formula>
    </cfRule>
  </conditionalFormatting>
  <conditionalFormatting sqref="I20:I22">
    <cfRule type="expression" dxfId="136" priority="10">
      <formula>$I$20="Nein"</formula>
    </cfRule>
  </conditionalFormatting>
  <conditionalFormatting sqref="I23:I25">
    <cfRule type="expression" dxfId="135" priority="7">
      <formula>$I$23="Nein"</formula>
    </cfRule>
  </conditionalFormatting>
  <conditionalFormatting sqref="I26:I28">
    <cfRule type="expression" dxfId="134" priority="4">
      <formula>$I$26="Nein"</formula>
    </cfRule>
  </conditionalFormatting>
  <conditionalFormatting sqref="I29:I31">
    <cfRule type="expression" dxfId="133" priority="1">
      <formula>$I$29="Nein"</formula>
    </cfRule>
  </conditionalFormatting>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4" id="{0CC55716-2B5B-4AC2-8AA9-DA7C21765812}">
            <xm:f>Allgemein!$C$91=$G$10</xm:f>
            <x14:dxf>
              <fill>
                <patternFill>
                  <bgColor theme="9" tint="0.79998168889431442"/>
                </patternFill>
              </fill>
            </x14:dxf>
          </x14:cfRule>
          <xm:sqref>G11:G32</xm:sqref>
        </x14:conditionalFormatting>
        <x14:conditionalFormatting xmlns:xm="http://schemas.microsoft.com/office/excel/2006/main">
          <x14:cfRule type="expression" priority="23" id="{25CC874A-1EF4-4A52-9DBF-9BE69CD3C43F}">
            <xm:f>Allgemein!$C$91=$H$10</xm:f>
            <x14:dxf>
              <fill>
                <patternFill>
                  <bgColor theme="9" tint="0.79998168889431442"/>
                </patternFill>
              </fill>
            </x14:dxf>
          </x14:cfRule>
          <xm:sqref>H11:H32</xm:sqref>
        </x14:conditionalFormatting>
        <x14:conditionalFormatting xmlns:xm="http://schemas.microsoft.com/office/excel/2006/main">
          <x14:cfRule type="expression" priority="22" id="{E10751D7-81A6-4E52-943C-26AF14C1933F}">
            <xm:f>Allgemein!$C$91=$I$10</xm:f>
            <x14:dxf>
              <fill>
                <patternFill>
                  <bgColor theme="9" tint="0.79998168889431442"/>
                </patternFill>
              </fill>
            </x14:dxf>
          </x14:cfRule>
          <xm:sqref>I11:I32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782767A-30DD-4DE2-8D5B-63AEE6E9A1E5}">
          <x14:formula1>
            <xm:f>Datenbank!$S$3:$S$4</xm:f>
          </x14:formula1>
          <xm:sqref>G11:I11 G14:I14 G17:I17 G20:I20 G23:I23 G26:I26 G29:I29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52655-ECDD-48D0-A602-B376642D18F3}">
  <dimension ref="A1:K33"/>
  <sheetViews>
    <sheetView showGridLines="0" zoomScale="85" zoomScaleNormal="85" workbookViewId="0">
      <selection activeCell="H27" sqref="H27"/>
    </sheetView>
  </sheetViews>
  <sheetFormatPr baseColWidth="10" defaultColWidth="11.5546875" defaultRowHeight="16.8"/>
  <cols>
    <col min="1" max="1" width="11.5546875" style="10"/>
    <col min="2" max="2" width="33.5546875" style="10" customWidth="1"/>
    <col min="3" max="3" width="20.5546875" style="10" customWidth="1"/>
    <col min="4" max="4" width="27.44140625" style="10" customWidth="1"/>
    <col min="5" max="5" width="21.44140625" style="10" customWidth="1"/>
    <col min="6" max="6" width="32.44140625" style="10" customWidth="1"/>
    <col min="7" max="7" width="35.44140625" style="10" customWidth="1"/>
    <col min="8" max="8" width="31.5546875" style="10" customWidth="1"/>
    <col min="9" max="9" width="22.44140625" style="10" customWidth="1"/>
    <col min="10" max="10" width="20.44140625" style="10" customWidth="1"/>
    <col min="11" max="11" width="21" style="10" customWidth="1"/>
    <col min="12" max="16384" width="11.5546875" style="10"/>
  </cols>
  <sheetData>
    <row r="1" spans="1:11" ht="17.399999999999999" thickBot="1">
      <c r="A1" s="220"/>
      <c r="B1" s="427"/>
      <c r="C1" s="220"/>
      <c r="D1" s="220"/>
      <c r="F1" s="220"/>
    </row>
    <row r="2" spans="1:11" ht="17.850000000000001" customHeight="1" thickTop="1">
      <c r="A2" s="219"/>
      <c r="B2" s="127" t="s">
        <v>0</v>
      </c>
      <c r="C2" s="1629">
        <f>Allgemein!C2</f>
        <v>0</v>
      </c>
      <c r="D2" s="1629"/>
      <c r="E2" s="1630"/>
      <c r="F2" s="1558" t="s">
        <v>1120</v>
      </c>
      <c r="G2" s="1559"/>
      <c r="H2" s="1559"/>
      <c r="I2" s="1652" t="e" vm="1">
        <v>#VALUE!</v>
      </c>
      <c r="J2" s="1653"/>
      <c r="K2" s="1654"/>
    </row>
    <row r="3" spans="1:11" ht="17.100000000000001" customHeight="1">
      <c r="A3" s="219"/>
      <c r="B3" s="127" t="s">
        <v>4</v>
      </c>
      <c r="C3" s="1477">
        <f>Allgemein!C3</f>
        <v>0</v>
      </c>
      <c r="D3" s="1477"/>
      <c r="E3" s="1631"/>
      <c r="F3" s="1561"/>
      <c r="G3" s="1562"/>
      <c r="H3" s="1562"/>
      <c r="I3" s="1655"/>
      <c r="J3" s="1623"/>
      <c r="K3" s="1656"/>
    </row>
    <row r="4" spans="1:11" ht="17.100000000000001" customHeight="1">
      <c r="A4" s="219"/>
      <c r="B4" s="127" t="s">
        <v>5</v>
      </c>
      <c r="C4" s="1477">
        <f>Allgemein!C4</f>
        <v>0</v>
      </c>
      <c r="D4" s="1477"/>
      <c r="E4" s="1631"/>
      <c r="F4" s="263"/>
      <c r="G4" s="264"/>
      <c r="H4" s="264"/>
      <c r="I4" s="1655"/>
      <c r="J4" s="1623"/>
      <c r="K4" s="1656"/>
    </row>
    <row r="5" spans="1:11" ht="17.100000000000001" customHeight="1">
      <c r="A5" s="219"/>
      <c r="B5" s="127" t="s">
        <v>8</v>
      </c>
      <c r="C5" s="1477">
        <f>Allgemein!C5</f>
        <v>0</v>
      </c>
      <c r="D5" s="1477"/>
      <c r="E5" s="1631"/>
      <c r="F5" s="1612" t="s">
        <v>1121</v>
      </c>
      <c r="G5" s="1731" t="s">
        <v>1122</v>
      </c>
      <c r="H5" s="1731"/>
      <c r="I5" s="1655"/>
      <c r="J5" s="1623"/>
      <c r="K5" s="1656"/>
    </row>
    <row r="6" spans="1:11">
      <c r="A6" s="219"/>
      <c r="B6" s="127" t="s">
        <v>11</v>
      </c>
      <c r="C6" s="1477">
        <f>Allgemein!C6</f>
        <v>0</v>
      </c>
      <c r="D6" s="1477"/>
      <c r="E6" s="1631"/>
      <c r="F6" s="1612"/>
      <c r="G6" s="1731"/>
      <c r="H6" s="1731"/>
      <c r="I6" s="1655"/>
      <c r="J6" s="1623"/>
      <c r="K6" s="1656"/>
    </row>
    <row r="7" spans="1:11">
      <c r="A7" s="219"/>
      <c r="B7" s="127" t="s">
        <v>12</v>
      </c>
      <c r="C7" s="1477">
        <f>Allgemein!C7</f>
        <v>0</v>
      </c>
      <c r="D7" s="1477"/>
      <c r="E7" s="1631"/>
      <c r="F7" s="1612" t="s">
        <v>1123</v>
      </c>
      <c r="G7" s="1734" t="s">
        <v>1124</v>
      </c>
      <c r="H7" s="1734"/>
      <c r="I7" s="1655"/>
      <c r="J7" s="1623"/>
      <c r="K7" s="1656"/>
    </row>
    <row r="8" spans="1:11" ht="17.399999999999999" thickBot="1">
      <c r="A8" s="219"/>
      <c r="B8" s="266" t="s">
        <v>14</v>
      </c>
      <c r="C8" s="1627">
        <f>Allgemein!C8</f>
        <v>0</v>
      </c>
      <c r="D8" s="1627"/>
      <c r="E8" s="1628"/>
      <c r="F8" s="1732"/>
      <c r="G8" s="1735"/>
      <c r="H8" s="1735"/>
      <c r="I8" s="1657"/>
      <c r="J8" s="1658"/>
      <c r="K8" s="1659"/>
    </row>
    <row r="9" spans="1:11" ht="27.6" thickTop="1">
      <c r="A9" s="219"/>
      <c r="B9" s="369" t="s">
        <v>1125</v>
      </c>
      <c r="C9" s="19"/>
      <c r="D9" s="19"/>
      <c r="K9" s="219"/>
    </row>
    <row r="10" spans="1:11">
      <c r="A10" s="219"/>
      <c r="B10" s="424" t="s">
        <v>263</v>
      </c>
      <c r="C10" s="223"/>
      <c r="D10" s="223"/>
      <c r="E10" s="223"/>
      <c r="F10" s="665" t="s">
        <v>294</v>
      </c>
      <c r="G10" s="666"/>
      <c r="H10" s="592" t="s">
        <v>265</v>
      </c>
      <c r="I10" s="271"/>
      <c r="J10" s="271"/>
      <c r="K10" s="272"/>
    </row>
    <row r="11" spans="1:11">
      <c r="A11" s="219"/>
      <c r="B11" s="306" t="s">
        <v>1126</v>
      </c>
      <c r="C11" s="127"/>
      <c r="D11" s="18"/>
      <c r="E11" s="127"/>
      <c r="F11" s="899"/>
      <c r="G11" s="900"/>
      <c r="H11" s="308" t="s">
        <v>1127</v>
      </c>
      <c r="I11" s="308">
        <v>1</v>
      </c>
      <c r="J11" s="1738"/>
      <c r="K11" s="1739"/>
    </row>
    <row r="12" spans="1:11">
      <c r="A12" s="219"/>
      <c r="B12" s="234" t="s">
        <v>1128</v>
      </c>
      <c r="C12" s="127"/>
      <c r="D12" s="18"/>
      <c r="E12" s="127"/>
      <c r="F12" s="451"/>
      <c r="G12" s="869"/>
      <c r="H12" s="128"/>
      <c r="I12" s="128">
        <v>2</v>
      </c>
      <c r="J12" s="1614"/>
      <c r="K12" s="1698"/>
    </row>
    <row r="13" spans="1:11">
      <c r="A13" s="219"/>
      <c r="B13" s="234" t="s">
        <v>1129</v>
      </c>
      <c r="C13" s="127"/>
      <c r="D13" s="18"/>
      <c r="E13" s="127"/>
      <c r="F13" s="451"/>
      <c r="G13" s="869"/>
      <c r="H13" s="128"/>
      <c r="I13" s="128">
        <v>3</v>
      </c>
      <c r="J13" s="1614"/>
      <c r="K13" s="1698"/>
    </row>
    <row r="14" spans="1:11">
      <c r="A14" s="219"/>
      <c r="B14" s="234"/>
      <c r="C14" s="127"/>
      <c r="D14" s="18"/>
      <c r="E14" s="127"/>
      <c r="F14" s="451"/>
      <c r="G14" s="869"/>
      <c r="H14" s="128"/>
      <c r="I14" s="128">
        <v>4</v>
      </c>
      <c r="J14" s="1614"/>
      <c r="K14" s="1698"/>
    </row>
    <row r="15" spans="1:11">
      <c r="A15" s="219"/>
      <c r="B15" s="234" t="s">
        <v>1130</v>
      </c>
      <c r="C15" s="127"/>
      <c r="D15" s="18"/>
      <c r="E15" s="127"/>
      <c r="F15" s="451"/>
      <c r="G15" s="869"/>
      <c r="H15" s="128"/>
      <c r="I15" s="128">
        <v>5</v>
      </c>
      <c r="J15" s="1614"/>
      <c r="K15" s="1698"/>
    </row>
    <row r="16" spans="1:11">
      <c r="A16" s="219"/>
      <c r="B16" s="234" t="s">
        <v>1131</v>
      </c>
      <c r="C16" s="127"/>
      <c r="D16" s="18"/>
      <c r="E16" s="127"/>
      <c r="F16" s="451"/>
      <c r="G16" s="869"/>
      <c r="H16" s="128"/>
      <c r="I16" s="128">
        <v>6</v>
      </c>
      <c r="J16" s="1614"/>
      <c r="K16" s="1698"/>
    </row>
    <row r="17" spans="1:11">
      <c r="A17" s="219"/>
      <c r="B17" s="234"/>
      <c r="C17" s="127"/>
      <c r="D17" s="18"/>
      <c r="E17" s="127"/>
      <c r="F17" s="451"/>
      <c r="G17" s="869"/>
      <c r="H17" s="128" t="s">
        <v>1132</v>
      </c>
      <c r="I17" s="128"/>
      <c r="J17" s="128"/>
      <c r="K17" s="315"/>
    </row>
    <row r="18" spans="1:11">
      <c r="A18" s="219"/>
      <c r="B18" s="234" t="s">
        <v>1133</v>
      </c>
      <c r="C18" s="127"/>
      <c r="D18" s="18"/>
      <c r="E18" s="127"/>
      <c r="F18" s="451"/>
      <c r="G18" s="869"/>
      <c r="H18" s="1736"/>
      <c r="I18" s="1614"/>
      <c r="J18" s="1614"/>
      <c r="K18" s="1698"/>
    </row>
    <row r="19" spans="1:11">
      <c r="A19" s="219"/>
      <c r="B19" s="234" t="s">
        <v>1134</v>
      </c>
      <c r="C19" s="127"/>
      <c r="D19" s="18"/>
      <c r="E19" s="127"/>
      <c r="F19" s="451"/>
      <c r="G19" s="869"/>
      <c r="H19" s="1736"/>
      <c r="I19" s="1614"/>
      <c r="J19" s="1614"/>
      <c r="K19" s="1698"/>
    </row>
    <row r="20" spans="1:11">
      <c r="A20" s="219"/>
      <c r="B20" s="234"/>
      <c r="C20" s="127"/>
      <c r="D20" s="18"/>
      <c r="E20" s="127"/>
      <c r="F20" s="451"/>
      <c r="G20" s="869"/>
      <c r="H20" s="1736"/>
      <c r="I20" s="1614"/>
      <c r="J20" s="1614"/>
      <c r="K20" s="1698"/>
    </row>
    <row r="21" spans="1:11">
      <c r="A21" s="219"/>
      <c r="B21" s="662" t="s">
        <v>1135</v>
      </c>
      <c r="C21" s="663"/>
      <c r="D21" s="664"/>
      <c r="E21" s="663"/>
      <c r="F21" s="452"/>
      <c r="G21" s="901"/>
      <c r="H21" s="1737"/>
      <c r="I21" s="1699"/>
      <c r="J21" s="1699"/>
      <c r="K21" s="1700"/>
    </row>
    <row r="22" spans="1:11">
      <c r="B22" s="897"/>
      <c r="C22" s="220"/>
      <c r="D22" s="19"/>
      <c r="E22" s="897"/>
      <c r="F22" s="447"/>
      <c r="G22" s="447"/>
      <c r="H22" s="447"/>
      <c r="I22" s="447"/>
      <c r="J22" s="447"/>
      <c r="K22" s="447"/>
    </row>
    <row r="23" spans="1:11" s="367" customFormat="1" ht="21.75" customHeight="1">
      <c r="F23" s="368"/>
      <c r="G23" s="10"/>
      <c r="H23" s="368"/>
      <c r="I23" s="10"/>
      <c r="J23" s="10"/>
      <c r="K23" s="10"/>
    </row>
    <row r="24" spans="1:11" s="660" customFormat="1" ht="16.5" customHeight="1">
      <c r="B24" s="220"/>
      <c r="C24" s="220"/>
      <c r="D24" s="19"/>
      <c r="F24" s="898"/>
      <c r="G24" s="898"/>
      <c r="H24" s="898"/>
      <c r="I24" s="898"/>
      <c r="J24" s="898"/>
      <c r="K24" s="898"/>
    </row>
    <row r="25" spans="1:11" ht="16.5" customHeight="1">
      <c r="B25" s="220"/>
      <c r="C25" s="220"/>
      <c r="D25" s="19"/>
      <c r="F25" s="898"/>
      <c r="G25" s="898"/>
      <c r="H25" s="898"/>
      <c r="I25" s="898"/>
      <c r="J25" s="898"/>
      <c r="K25" s="898"/>
    </row>
    <row r="26" spans="1:11" ht="16.5" customHeight="1">
      <c r="F26" s="898"/>
      <c r="G26" s="898"/>
      <c r="H26" s="898"/>
      <c r="I26" s="898"/>
      <c r="J26" s="898"/>
      <c r="K26" s="898"/>
    </row>
    <row r="27" spans="1:11" ht="38.25" customHeight="1">
      <c r="B27" s="20"/>
      <c r="C27" s="220"/>
      <c r="D27" s="19"/>
      <c r="F27" s="898"/>
      <c r="G27" s="898"/>
      <c r="H27" s="898"/>
      <c r="I27" s="898"/>
      <c r="J27" s="898"/>
      <c r="K27" s="898"/>
    </row>
    <row r="28" spans="1:11" s="660" customFormat="1" ht="16.5" customHeight="1">
      <c r="C28" s="10"/>
      <c r="D28" s="19"/>
      <c r="E28" s="10"/>
      <c r="F28" s="898"/>
      <c r="G28" s="898"/>
      <c r="H28" s="898"/>
      <c r="I28" s="898"/>
      <c r="J28" s="898"/>
      <c r="K28" s="898"/>
    </row>
    <row r="29" spans="1:11" ht="21.75" customHeight="1">
      <c r="F29" s="898"/>
      <c r="G29" s="898"/>
      <c r="H29" s="898"/>
      <c r="I29" s="898"/>
      <c r="J29" s="898"/>
      <c r="K29" s="898"/>
    </row>
    <row r="30" spans="1:11" ht="16.5" customHeight="1">
      <c r="B30" s="1733"/>
      <c r="C30" s="1733"/>
      <c r="D30" s="19"/>
      <c r="E30" s="660"/>
      <c r="F30" s="898"/>
      <c r="G30" s="898"/>
      <c r="H30" s="898"/>
      <c r="I30" s="898"/>
      <c r="J30" s="898"/>
      <c r="K30" s="898"/>
    </row>
    <row r="31" spans="1:11" ht="16.5" customHeight="1">
      <c r="B31" s="660"/>
      <c r="C31" s="660"/>
      <c r="D31" s="19"/>
      <c r="E31" s="894"/>
      <c r="F31" s="898"/>
      <c r="G31" s="898"/>
      <c r="H31" s="898"/>
      <c r="I31" s="898"/>
      <c r="J31" s="898"/>
      <c r="K31" s="898"/>
    </row>
    <row r="32" spans="1:11" ht="16.5" customHeight="1">
      <c r="B32" s="661"/>
      <c r="C32" s="661"/>
      <c r="D32" s="894"/>
      <c r="E32" s="894"/>
      <c r="F32" s="898"/>
      <c r="G32" s="898"/>
      <c r="H32" s="898"/>
      <c r="I32" s="898"/>
      <c r="J32" s="898"/>
      <c r="K32" s="898"/>
    </row>
    <row r="33" spans="6:11" ht="16.5" customHeight="1">
      <c r="F33" s="898"/>
      <c r="G33" s="898"/>
      <c r="H33" s="898"/>
      <c r="I33" s="898"/>
      <c r="J33" s="898"/>
      <c r="K33" s="898"/>
    </row>
  </sheetData>
  <mergeCells count="21">
    <mergeCell ref="B30:C30"/>
    <mergeCell ref="G7:H8"/>
    <mergeCell ref="C8:E8"/>
    <mergeCell ref="C2:E2"/>
    <mergeCell ref="F2:H3"/>
    <mergeCell ref="H18:K21"/>
    <mergeCell ref="J16:K16"/>
    <mergeCell ref="J11:K11"/>
    <mergeCell ref="J12:K12"/>
    <mergeCell ref="J13:K13"/>
    <mergeCell ref="J14:K14"/>
    <mergeCell ref="J15:K15"/>
    <mergeCell ref="I2:K8"/>
    <mergeCell ref="C3:E3"/>
    <mergeCell ref="C5:E5"/>
    <mergeCell ref="F5:F6"/>
    <mergeCell ref="G5:H6"/>
    <mergeCell ref="C6:E6"/>
    <mergeCell ref="C7:E7"/>
    <mergeCell ref="F7:F8"/>
    <mergeCell ref="C4:E4"/>
  </mergeCells>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0FAC604-2AAF-4EA2-9E8F-A6EA12D7CBFD}">
          <x14:formula1>
            <xm:f>'Datenbank-Preise'!$AJ$168:$AJ$174</xm:f>
          </x14:formula1>
          <xm:sqref>J11:K16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5FA7D-5C19-48E5-B9B3-F94562C38AA1}">
  <dimension ref="A1:P55"/>
  <sheetViews>
    <sheetView showGridLines="0" topLeftCell="A7" zoomScale="80" zoomScaleNormal="80" workbookViewId="0">
      <selection activeCell="M33" sqref="M33"/>
    </sheetView>
  </sheetViews>
  <sheetFormatPr baseColWidth="10" defaultColWidth="11.5546875" defaultRowHeight="16.8"/>
  <cols>
    <col min="1" max="1" width="11.5546875" style="10"/>
    <col min="2" max="2" width="41.33203125" style="10" customWidth="1"/>
    <col min="3" max="3" width="26.33203125" style="10" customWidth="1"/>
    <col min="4" max="4" width="29.6640625" style="10" customWidth="1"/>
    <col min="5" max="5" width="23.44140625" style="10" customWidth="1"/>
    <col min="6" max="6" width="26" style="10" customWidth="1"/>
    <col min="7" max="7" width="25.5546875" style="10" customWidth="1"/>
    <col min="8" max="8" width="31.5546875" style="10" customWidth="1"/>
    <col min="9" max="9" width="22" style="10" customWidth="1"/>
    <col min="10" max="10" width="22.33203125" style="10" customWidth="1"/>
    <col min="11" max="11" width="22.6640625" style="10" customWidth="1"/>
    <col min="12" max="16384" width="11.5546875" style="10"/>
  </cols>
  <sheetData>
    <row r="1" spans="1:16" ht="17.399999999999999" thickBot="1"/>
    <row r="2" spans="1:16" ht="33.75" customHeight="1" thickTop="1">
      <c r="B2" s="705" t="s">
        <v>0</v>
      </c>
      <c r="C2" s="1629">
        <f>Allgemein!C2</f>
        <v>0</v>
      </c>
      <c r="D2" s="1629"/>
      <c r="E2" s="1558" t="s">
        <v>491</v>
      </c>
      <c r="F2" s="1559"/>
      <c r="G2" s="1559"/>
      <c r="H2" s="1559"/>
      <c r="I2" s="1559"/>
      <c r="J2" s="1652" t="e" vm="1">
        <v>#VALUE!</v>
      </c>
      <c r="K2" s="1654"/>
      <c r="N2" s="220"/>
      <c r="O2" s="220"/>
    </row>
    <row r="3" spans="1:16" ht="17.100000000000001" customHeight="1">
      <c r="B3" s="234" t="s">
        <v>4</v>
      </c>
      <c r="C3" s="1477">
        <f>Allgemein!C3</f>
        <v>0</v>
      </c>
      <c r="D3" s="1477"/>
      <c r="E3" s="200"/>
      <c r="F3" s="110" t="s">
        <v>255</v>
      </c>
      <c r="G3" s="110"/>
      <c r="H3" s="110"/>
      <c r="I3" s="293"/>
      <c r="J3" s="1655"/>
      <c r="K3" s="1656"/>
      <c r="M3" s="220"/>
      <c r="N3" s="220"/>
      <c r="O3" s="220"/>
    </row>
    <row r="4" spans="1:16" ht="17.100000000000001" customHeight="1">
      <c r="B4" s="234" t="s">
        <v>5</v>
      </c>
      <c r="C4" s="1477">
        <f>Allgemein!C4</f>
        <v>0</v>
      </c>
      <c r="D4" s="1477"/>
      <c r="E4" s="473" t="s">
        <v>256</v>
      </c>
      <c r="F4" s="1632">
        <f>Allgemein!C100</f>
        <v>0</v>
      </c>
      <c r="G4" s="1632"/>
      <c r="H4" s="1632"/>
      <c r="I4" s="1632"/>
      <c r="J4" s="1655"/>
      <c r="K4" s="1656"/>
      <c r="M4" s="220"/>
      <c r="N4" s="220"/>
      <c r="O4" s="220"/>
    </row>
    <row r="5" spans="1:16" ht="17.100000000000001" customHeight="1">
      <c r="B5" s="234" t="s">
        <v>8</v>
      </c>
      <c r="C5" s="1477">
        <f>Allgemein!C5</f>
        <v>0</v>
      </c>
      <c r="D5" s="1477"/>
      <c r="E5" s="475" t="s">
        <v>257</v>
      </c>
      <c r="F5" s="1680">
        <f>Allgemein!G100</f>
        <v>0</v>
      </c>
      <c r="G5" s="1680"/>
      <c r="H5" s="1680"/>
      <c r="I5" s="1680"/>
      <c r="J5" s="1655"/>
      <c r="K5" s="1656"/>
      <c r="M5" s="220"/>
      <c r="N5" s="220"/>
      <c r="O5" s="220"/>
    </row>
    <row r="6" spans="1:16">
      <c r="B6" s="234" t="s">
        <v>11</v>
      </c>
      <c r="C6" s="1477">
        <f>Allgemein!C6</f>
        <v>0</v>
      </c>
      <c r="D6" s="1631"/>
      <c r="E6" s="123" t="s">
        <v>259</v>
      </c>
      <c r="F6" s="1740">
        <f>Allgemein!C50</f>
        <v>0</v>
      </c>
      <c r="G6" s="1740"/>
      <c r="H6" s="1740"/>
      <c r="I6" s="1740"/>
      <c r="J6" s="1655"/>
      <c r="K6" s="1656"/>
      <c r="M6" s="220"/>
      <c r="N6" s="220"/>
      <c r="O6" s="220"/>
    </row>
    <row r="7" spans="1:16">
      <c r="B7" s="234" t="s">
        <v>12</v>
      </c>
      <c r="C7" s="1477">
        <f>Allgemein!C7</f>
        <v>0</v>
      </c>
      <c r="D7" s="1477"/>
      <c r="E7" s="203" t="s">
        <v>260</v>
      </c>
      <c r="F7" s="1740">
        <f>Allgemein!C66</f>
        <v>0</v>
      </c>
      <c r="G7" s="1740"/>
      <c r="H7" s="1740"/>
      <c r="I7" s="1740"/>
      <c r="J7" s="1655"/>
      <c r="K7" s="1656"/>
      <c r="M7" s="220"/>
      <c r="N7" s="220"/>
      <c r="O7" s="220"/>
    </row>
    <row r="8" spans="1:16" ht="17.399999999999999" thickBot="1">
      <c r="B8" s="316" t="s">
        <v>14</v>
      </c>
      <c r="C8" s="1627">
        <f>Allgemein!C8</f>
        <v>0</v>
      </c>
      <c r="D8" s="1627"/>
      <c r="E8" s="204" t="s">
        <v>261</v>
      </c>
      <c r="F8" s="1667">
        <f>Allgemein!C82</f>
        <v>0</v>
      </c>
      <c r="G8" s="1667"/>
      <c r="H8" s="1667"/>
      <c r="I8" s="1751"/>
      <c r="J8" s="1655"/>
      <c r="K8" s="1656"/>
      <c r="M8" s="220"/>
      <c r="N8" s="220"/>
      <c r="O8" s="220"/>
    </row>
    <row r="9" spans="1:16" ht="31.35" customHeight="1" thickTop="1">
      <c r="B9" s="247" t="s">
        <v>1024</v>
      </c>
      <c r="C9" s="19"/>
      <c r="D9" s="19"/>
      <c r="H9" s="249"/>
      <c r="J9" s="175"/>
      <c r="K9" s="703"/>
    </row>
    <row r="10" spans="1:16" ht="17.850000000000001" customHeight="1">
      <c r="B10" s="222" t="s">
        <v>1025</v>
      </c>
      <c r="C10" s="223"/>
      <c r="D10" s="224"/>
      <c r="E10" s="269"/>
      <c r="F10" s="251" t="s">
        <v>294</v>
      </c>
      <c r="G10" s="288"/>
      <c r="H10" s="412" t="s">
        <v>1026</v>
      </c>
      <c r="I10" s="985"/>
      <c r="J10" s="986"/>
      <c r="K10" s="994"/>
    </row>
    <row r="11" spans="1:16" ht="17.100000000000001" customHeight="1">
      <c r="A11" s="219"/>
      <c r="B11" s="123" t="s">
        <v>1027</v>
      </c>
      <c r="C11" s="364">
        <f>Allgemein!C40</f>
        <v>0</v>
      </c>
      <c r="D11" s="1696" t="s">
        <v>1028</v>
      </c>
      <c r="E11" s="1753"/>
      <c r="F11" s="127" t="s">
        <v>1029</v>
      </c>
      <c r="G11" s="305"/>
      <c r="H11" s="123" t="s">
        <v>211</v>
      </c>
      <c r="I11" s="1190" t="str">
        <f>Allgemein!C125&amp;" kW"</f>
        <v>0 kW</v>
      </c>
      <c r="J11" s="1754" t="s">
        <v>1030</v>
      </c>
      <c r="K11" s="1755"/>
    </row>
    <row r="12" spans="1:16" ht="17.100000000000001" customHeight="1">
      <c r="A12" s="219"/>
      <c r="B12" s="123" t="s">
        <v>1031</v>
      </c>
      <c r="C12" s="364">
        <f>Allgemein!C16</f>
        <v>0</v>
      </c>
      <c r="D12" s="1477" t="str">
        <f>_xlfn.TEXTJOIN(" + ",TRUE,Allgemein!D26,Allgemein!D27,Allgemein!D28,Allgemein!D29,Allgemein!D30,Allgemein!D31)</f>
        <v>- + - + - + - + - + -</v>
      </c>
      <c r="E12" s="1483"/>
      <c r="F12" s="127" t="s">
        <v>1032</v>
      </c>
      <c r="G12" s="187"/>
      <c r="H12" s="123" t="s">
        <v>1033</v>
      </c>
      <c r="I12" s="1190" t="str">
        <f>_xlfn.TEXTJOIN(" / ",FALSE,Allgemein!C123&amp;" kWh/m²a",Allgemein!C133)</f>
        <v>0 kWh/m²a / 3,5</v>
      </c>
      <c r="J12" s="1741"/>
      <c r="K12" s="1742"/>
    </row>
    <row r="13" spans="1:16" ht="17.100000000000001" customHeight="1" thickBot="1">
      <c r="A13" s="219"/>
      <c r="B13" s="123" t="s">
        <v>1034</v>
      </c>
      <c r="C13" s="450">
        <f>Allgemein!E14</f>
        <v>0</v>
      </c>
      <c r="D13" s="1627"/>
      <c r="E13" s="1752"/>
      <c r="F13" s="682" t="s">
        <v>1035</v>
      </c>
      <c r="G13" s="1281"/>
      <c r="H13" s="138" t="s">
        <v>345</v>
      </c>
      <c r="I13" s="1191" t="str">
        <f>Allgemein!C134&amp;" kWh/a"</f>
        <v>0 kWh/a</v>
      </c>
      <c r="J13" s="1743"/>
      <c r="K13" s="1744"/>
    </row>
    <row r="14" spans="1:16" ht="28.95" customHeight="1" thickTop="1">
      <c r="B14" s="324" t="s">
        <v>1036</v>
      </c>
      <c r="C14" s="373"/>
      <c r="D14" s="19"/>
      <c r="H14" s="249"/>
      <c r="I14" s="1192"/>
      <c r="J14" s="1193"/>
      <c r="K14" s="1194"/>
    </row>
    <row r="15" spans="1:16">
      <c r="B15" s="391" t="s">
        <v>1037</v>
      </c>
      <c r="C15" s="223"/>
      <c r="D15" s="224"/>
      <c r="E15" s="269"/>
      <c r="F15" s="251" t="s">
        <v>294</v>
      </c>
      <c r="G15" s="288"/>
      <c r="H15" s="748" t="s">
        <v>265</v>
      </c>
      <c r="I15" s="985" t="s">
        <v>106</v>
      </c>
      <c r="J15" s="986" t="s">
        <v>159</v>
      </c>
      <c r="K15" s="987" t="s">
        <v>171</v>
      </c>
    </row>
    <row r="16" spans="1:16" ht="18.600000000000001">
      <c r="B16" s="253" t="s">
        <v>1038</v>
      </c>
      <c r="C16" s="18"/>
      <c r="D16" s="296"/>
      <c r="E16" s="275"/>
      <c r="F16" s="1760" t="s">
        <v>1039</v>
      </c>
      <c r="G16" s="1761"/>
      <c r="H16" s="773" t="s">
        <v>790</v>
      </c>
      <c r="I16" s="972">
        <f>Datenbank!J95</f>
        <v>0</v>
      </c>
      <c r="J16" s="972">
        <f>Datenbank!J204</f>
        <v>0</v>
      </c>
      <c r="K16" s="988">
        <f>Datenbank!J321</f>
        <v>0</v>
      </c>
      <c r="M16" s="770"/>
      <c r="N16" s="770"/>
      <c r="O16" s="770"/>
      <c r="P16" s="770"/>
    </row>
    <row r="17" spans="2:11">
      <c r="B17" s="234" t="s">
        <v>1040</v>
      </c>
      <c r="C17" s="18"/>
      <c r="D17" s="127" t="s">
        <v>1041</v>
      </c>
      <c r="E17" s="187"/>
      <c r="F17" s="1760"/>
      <c r="G17" s="1761"/>
      <c r="H17" s="757" t="s">
        <v>1041</v>
      </c>
      <c r="I17" s="956"/>
      <c r="J17" s="956"/>
      <c r="K17" s="963"/>
    </row>
    <row r="18" spans="2:11" ht="16.95" customHeight="1">
      <c r="B18" s="234" t="s">
        <v>35</v>
      </c>
      <c r="C18" s="18"/>
      <c r="D18" s="127" t="s">
        <v>1042</v>
      </c>
      <c r="E18" s="735" t="str">
        <f>_xlfn.TEXTJOIN(" ",FALSE,Allgemein!L17,Allgemein!O16&amp;"/a")</f>
        <v xml:space="preserve"> /a</v>
      </c>
      <c r="F18" s="127"/>
      <c r="G18" s="187"/>
      <c r="H18" s="757" t="s">
        <v>1043</v>
      </c>
      <c r="I18" s="956"/>
      <c r="J18" s="956"/>
      <c r="K18" s="989"/>
    </row>
    <row r="19" spans="2:11">
      <c r="B19" s="253" t="s">
        <v>1044</v>
      </c>
      <c r="C19" s="472"/>
      <c r="D19" s="296"/>
      <c r="E19" s="305"/>
      <c r="F19" s="123"/>
      <c r="G19" s="123"/>
      <c r="H19" s="749" t="s">
        <v>285</v>
      </c>
      <c r="I19" s="1745"/>
      <c r="J19" s="1745"/>
      <c r="K19" s="1747"/>
    </row>
    <row r="20" spans="2:11" ht="16.95" customHeight="1">
      <c r="B20" s="234" t="s">
        <v>1045</v>
      </c>
      <c r="C20" s="18"/>
      <c r="D20" s="127" t="s">
        <v>1046</v>
      </c>
      <c r="E20" s="187"/>
      <c r="F20" s="1760" t="s">
        <v>1047</v>
      </c>
      <c r="G20" s="1761"/>
      <c r="H20" s="694"/>
      <c r="I20" s="1746"/>
      <c r="J20" s="1745"/>
      <c r="K20" s="1748"/>
    </row>
    <row r="21" spans="2:11" ht="18.600000000000001">
      <c r="B21" s="234" t="s">
        <v>43</v>
      </c>
      <c r="C21" s="18"/>
      <c r="D21" s="127" t="s">
        <v>1048</v>
      </c>
      <c r="E21" s="187"/>
      <c r="F21" s="1760"/>
      <c r="G21" s="1761"/>
      <c r="H21" s="1119" t="s">
        <v>794</v>
      </c>
      <c r="I21" s="1112" cm="1">
        <f t="array" ref="I21">_xlfn.XLOOKUP(H21&amp;Allgemein!C50,Heizungspositionen[[#Headers],[Ausbau Bestandsheizung:]]&amp;Heizungspositionen[Position Heizung],Heizungspositionen[Ausbau Bestandsheizung:],"",0,1)</f>
        <v>0</v>
      </c>
      <c r="J21" s="1117" cm="1">
        <f t="array" ref="J21">_xlfn.XLOOKUP(H21&amp;Allgemein!C66,Heizungspositionen[[#Headers],[Ausbau Bestandsheizung:]]&amp;Heizungspositionen[Position Heizung],Heizungspositionen[Ausbau Bestandsheizung:],"",0,1)</f>
        <v>0</v>
      </c>
      <c r="K21" s="948" cm="1">
        <f t="array" ref="K21">_xlfn.XLOOKUP(H21&amp;Allgemein!C82,Heizungspositionen[[#Headers],[Ausbau Bestandsheizung:]]&amp;Heizungspositionen[Position Heizung],Heizungspositionen[Ausbau Bestandsheizung:],"",0,1)</f>
        <v>0</v>
      </c>
    </row>
    <row r="22" spans="2:11">
      <c r="B22" s="253" t="s">
        <v>1049</v>
      </c>
      <c r="C22" s="472"/>
      <c r="D22" s="296"/>
      <c r="E22" s="305"/>
      <c r="F22" s="134"/>
      <c r="G22" s="123"/>
      <c r="H22" s="691" t="s">
        <v>285</v>
      </c>
      <c r="I22" s="1722"/>
      <c r="J22" s="1722"/>
      <c r="K22" s="1719"/>
    </row>
    <row r="23" spans="2:11" ht="19.2" customHeight="1">
      <c r="B23" s="234" t="s">
        <v>1050</v>
      </c>
      <c r="C23" s="18"/>
      <c r="D23" s="127" t="s">
        <v>1008</v>
      </c>
      <c r="E23" s="187"/>
      <c r="F23" s="1760" t="s">
        <v>1051</v>
      </c>
      <c r="G23" s="1761"/>
      <c r="H23" s="771"/>
      <c r="I23" s="1764"/>
      <c r="J23" s="1764"/>
      <c r="K23" s="1719"/>
    </row>
    <row r="24" spans="2:11" ht="18.600000000000001">
      <c r="B24" s="234" t="s">
        <v>1052</v>
      </c>
      <c r="C24" s="18"/>
      <c r="D24" s="123"/>
      <c r="E24" s="726"/>
      <c r="F24" s="1760"/>
      <c r="G24" s="1761"/>
      <c r="H24" s="1119" t="s">
        <v>814</v>
      </c>
      <c r="I24" s="1112" t="str" cm="1">
        <f t="array" ref="I24">_xlfn.XLOOKUP(H24&amp;Allgemein!D50,Wärmeübertragungspositionen[[#Headers],[neue Standardheizkörper:]]&amp;Wärmeübertragungspositionen[Position Wärmeabgabe],Wärmeübertragungspositionen[neue Standardheizkörper:],"",0,1)</f>
        <v/>
      </c>
      <c r="J24" s="1112" t="str" cm="1">
        <f t="array" ref="J24">_xlfn.XLOOKUP(H24&amp;Allgemein!D66,Wärmeübertragungspositionen[[#Headers],[neue Standardheizkörper:]]&amp;Wärmeübertragungspositionen[Position Wärmeabgabe],Wärmeübertragungspositionen[neue Standardheizkörper:],"",0,1)</f>
        <v/>
      </c>
      <c r="K24" s="1118" t="str" cm="1">
        <f t="array" ref="K24">_xlfn.XLOOKUP(H24&amp;Allgemein!D82,Wärmeübertragungspositionen[[#Headers],[neue Standardheizkörper:]]&amp;Wärmeübertragungspositionen[Position Wärmeabgabe],Wärmeübertragungspositionen[neue Standardheizkörper:],"",0,1)</f>
        <v/>
      </c>
    </row>
    <row r="25" spans="2:11">
      <c r="B25" s="120" t="s">
        <v>1053</v>
      </c>
      <c r="C25" s="123"/>
      <c r="D25" s="123"/>
      <c r="E25" s="188"/>
      <c r="F25" s="683" t="s">
        <v>1054</v>
      </c>
      <c r="G25" s="123"/>
      <c r="H25" s="694" t="s">
        <v>1055</v>
      </c>
      <c r="I25" s="1112"/>
      <c r="J25" s="1112"/>
      <c r="K25" s="948"/>
    </row>
    <row r="26" spans="2:11" ht="18.600000000000001" customHeight="1">
      <c r="B26" s="131" t="s">
        <v>1056</v>
      </c>
      <c r="C26" s="364" cm="1">
        <f t="array" ref="C26">SUM(IF(Heizflächen!I12:I36="Kompaktheizkörper profiliert",1,0))+SUM(IF(Heizflächen!I12:I36="Kompaktheizkörper glatt",1,0))+SUM(IF(Heizflächen!I12:I36="Handtuchheizkörper",1,0))</f>
        <v>0</v>
      </c>
      <c r="D26" s="123" t="s">
        <v>1057</v>
      </c>
      <c r="E26" s="726">
        <f>SUMIF(Heizflächen!I12:I36,"Fußbodenheizung",Heizflächen!E12:E36)-SUMIF(Heizflächen!I12:I36,"Fußbodenheizung",Heizflächen!F12:F36)</f>
        <v>0</v>
      </c>
      <c r="F26" s="1762"/>
      <c r="G26" s="1763"/>
      <c r="H26" s="708" t="s">
        <v>1058</v>
      </c>
      <c r="I26" s="957"/>
      <c r="J26" s="956"/>
      <c r="K26" s="963"/>
    </row>
    <row r="27" spans="2:11" ht="16.95" customHeight="1">
      <c r="B27" s="292" t="s">
        <v>1059</v>
      </c>
      <c r="C27" s="18" cm="1">
        <f t="array" ref="C27">SUM(IF(Heizflächen!J12:J36="Radiator",1,0))</f>
        <v>0</v>
      </c>
      <c r="D27" s="123" t="s">
        <v>154</v>
      </c>
      <c r="E27" s="726"/>
      <c r="F27" s="1762"/>
      <c r="G27" s="1763"/>
      <c r="H27" s="1115" t="s">
        <v>801</v>
      </c>
      <c r="I27" s="956" t="str" cm="1">
        <f t="array" ref="I27">_xlfn.XLOOKUP(H27&amp;Allgemein!D50,Wärmeübertragungspositionen[[#Headers],[Wärmepumpenheizkörper:]]&amp;Wärmeübertragungspositionen[Position Wärmeabgabe],Wärmeübertragungspositionen[Wärmepumpenheizkörper:],"",0,1)</f>
        <v/>
      </c>
      <c r="J27" s="982" t="str" cm="1">
        <f t="array" ref="J27">_xlfn.XLOOKUP(H27&amp;Allgemein!D66,Wärmeübertragungspositionen[[#Headers],[Wärmepumpenheizkörper:]]&amp;Wärmeübertragungspositionen[Position Wärmeabgabe],Wärmeübertragungspositionen[Wärmepumpenheizkörper:],"",0,1)</f>
        <v/>
      </c>
      <c r="K27" s="984" t="str" cm="1">
        <f t="array" ref="K27">_xlfn.XLOOKUP(H27&amp;Allgemein!D82,Wärmeübertragungspositionen[[#Headers],[Wärmepumpenheizkörper:]]&amp;Wärmeübertragungspositionen[Position Wärmeabgabe],Wärmeübertragungspositionen[Wärmepumpenheizkörper:],"",0,1)</f>
        <v/>
      </c>
    </row>
    <row r="28" spans="2:11" ht="16.95" customHeight="1">
      <c r="B28" s="135" t="s">
        <v>1060</v>
      </c>
      <c r="C28" s="472"/>
      <c r="D28" s="296"/>
      <c r="E28" s="305"/>
      <c r="F28" s="683" t="s">
        <v>154</v>
      </c>
      <c r="G28" s="683"/>
      <c r="H28" s="750" t="s">
        <v>1061</v>
      </c>
      <c r="I28" s="956"/>
      <c r="J28" s="956"/>
      <c r="K28" s="963"/>
    </row>
    <row r="29" spans="2:11" ht="18.600000000000001" customHeight="1">
      <c r="B29" s="471" t="s">
        <v>1062</v>
      </c>
      <c r="C29" s="18" t="s">
        <v>1063</v>
      </c>
      <c r="D29" s="18" t="s">
        <v>1064</v>
      </c>
      <c r="E29" s="18" t="s">
        <v>1065</v>
      </c>
      <c r="F29" s="1756"/>
      <c r="G29" s="1757"/>
      <c r="H29" s="707" t="s">
        <v>285</v>
      </c>
      <c r="I29" s="957"/>
      <c r="J29" s="957"/>
      <c r="K29" s="963"/>
    </row>
    <row r="30" spans="2:11" ht="16.95" customHeight="1">
      <c r="B30" s="471"/>
      <c r="C30" s="18"/>
      <c r="D30" s="18"/>
      <c r="E30" s="18"/>
      <c r="F30" s="1756"/>
      <c r="G30" s="1757"/>
      <c r="H30" s="1116" t="s">
        <v>803</v>
      </c>
      <c r="I30" s="956" t="str" cm="1">
        <f t="array" ref="I30">_xlfn.XLOOKUP(H30&amp;Allgemein!D50,Wärmeübertragungspositionen[[#Headers],[Flächenheizung:]]&amp;Wärmeübertragungspositionen[Position Wärmeabgabe],Wärmeübertragungspositionen[Flächenheizung:],"",0,1)</f>
        <v/>
      </c>
      <c r="J30" s="956" t="str" cm="1">
        <f t="array" ref="J30">_xlfn.XLOOKUP(H30&amp;Allgemein!D66,Wärmeübertragungspositionen[[#Headers],[Flächenheizung:]]&amp;Wärmeübertragungspositionen[Position Wärmeabgabe],Wärmeübertragungspositionen[Flächenheizung:],"",0,1)</f>
        <v/>
      </c>
      <c r="K30" s="984" t="str" cm="1">
        <f t="array" ref="K30">_xlfn.XLOOKUP(H30&amp;Allgemein!D82,Wärmeübertragungspositionen[[#Headers],[Flächenheizung:]]&amp;Wärmeübertragungspositionen[Position Wärmeabgabe],Wärmeübertragungspositionen[Flächenheizung:],"",0,1)</f>
        <v/>
      </c>
    </row>
    <row r="31" spans="2:11" ht="16.95" customHeight="1">
      <c r="B31" s="131"/>
      <c r="C31" s="123"/>
      <c r="D31" s="123"/>
      <c r="E31" s="123"/>
      <c r="F31" s="1756"/>
      <c r="G31" s="1757"/>
      <c r="H31" s="750" t="s">
        <v>1066</v>
      </c>
      <c r="I31" s="1112"/>
      <c r="J31" s="1112"/>
      <c r="K31" s="948"/>
    </row>
    <row r="32" spans="2:11" ht="17.7" customHeight="1" thickBot="1">
      <c r="B32" s="234"/>
      <c r="C32" s="18"/>
      <c r="D32" s="266"/>
      <c r="E32" s="199"/>
      <c r="F32" s="1758"/>
      <c r="G32" s="1759"/>
      <c r="H32" s="709" t="s">
        <v>285</v>
      </c>
      <c r="I32" s="1113"/>
      <c r="J32" s="1113"/>
      <c r="K32" s="1114"/>
    </row>
    <row r="33" spans="2:11" ht="30.6" customHeight="1" thickTop="1">
      <c r="B33" s="324" t="s">
        <v>1067</v>
      </c>
      <c r="C33" s="509"/>
      <c r="D33" s="220"/>
      <c r="E33" s="220"/>
      <c r="F33" s="220"/>
      <c r="G33" s="220"/>
      <c r="H33" s="444"/>
      <c r="I33" s="991"/>
      <c r="J33" s="991"/>
      <c r="K33" s="992"/>
    </row>
    <row r="34" spans="2:11">
      <c r="B34" s="222" t="s">
        <v>263</v>
      </c>
      <c r="C34" s="223"/>
      <c r="D34" s="223"/>
      <c r="E34" s="287"/>
      <c r="F34" s="251" t="s">
        <v>294</v>
      </c>
      <c r="G34" s="288"/>
      <c r="H34" s="772" t="s">
        <v>265</v>
      </c>
      <c r="I34" s="986" t="s">
        <v>106</v>
      </c>
      <c r="J34" s="986" t="s">
        <v>159</v>
      </c>
      <c r="K34" s="987" t="s">
        <v>171</v>
      </c>
    </row>
    <row r="35" spans="2:11" ht="18.600000000000001">
      <c r="B35" s="135" t="s">
        <v>1068</v>
      </c>
      <c r="C35" s="127"/>
      <c r="D35" s="127"/>
      <c r="E35" s="189"/>
      <c r="F35" s="308"/>
      <c r="G35" s="308"/>
      <c r="H35" s="773" t="s">
        <v>795</v>
      </c>
      <c r="I35" s="993" cm="1">
        <f t="array" ref="I35">_xlfn.XLOOKUP(H35&amp;Allgemein!C50,Heizungspositionen[[#Headers],[Neuer Trinkwasserspeicher:]]&amp;Heizungspositionen[Position Heizung],Heizungspositionen[Neuer Trinkwasserspeicher:],"",0,1)</f>
        <v>0</v>
      </c>
      <c r="J35" s="982" cm="1">
        <f t="array" ref="J35">_xlfn.XLOOKUP(H35&amp;Allgemein!C66,Heizungspositionen[[#Headers],[Neuer Trinkwasserspeicher:]]&amp;Heizungspositionen[Position Heizung],Heizungspositionen[Neuer Trinkwasserspeicher:],"",0,1)</f>
        <v>0</v>
      </c>
      <c r="K35" s="990" cm="1">
        <f t="array" ref="K35">_xlfn.XLOOKUP(H35&amp;Allgemein!C82,Heizungspositionen[[#Headers],[Neuer Trinkwasserspeicher:]]&amp;Heizungspositionen[Position Heizung],Heizungspositionen[Neuer Trinkwasserspeicher:],"",0,1)</f>
        <v>0</v>
      </c>
    </row>
    <row r="36" spans="2:11">
      <c r="B36" s="131" t="s">
        <v>1069</v>
      </c>
      <c r="C36" s="18"/>
      <c r="D36" s="123" t="s">
        <v>35</v>
      </c>
      <c r="E36" s="187"/>
      <c r="F36" s="128"/>
      <c r="G36" s="128"/>
      <c r="H36" s="749" t="s">
        <v>283</v>
      </c>
      <c r="I36" s="955"/>
      <c r="J36" s="956"/>
      <c r="K36" s="989"/>
    </row>
    <row r="37" spans="2:11">
      <c r="B37" s="131" t="s">
        <v>43</v>
      </c>
      <c r="C37" s="18"/>
      <c r="D37" s="123"/>
      <c r="E37" s="187"/>
      <c r="F37" s="128"/>
      <c r="G37" s="128"/>
      <c r="H37" s="749" t="s">
        <v>285</v>
      </c>
      <c r="I37" s="1745"/>
      <c r="J37" s="1745"/>
      <c r="K37" s="1747"/>
    </row>
    <row r="38" spans="2:11">
      <c r="B38" s="120" t="s">
        <v>1070</v>
      </c>
      <c r="C38" s="18"/>
      <c r="D38" s="123" t="s">
        <v>35</v>
      </c>
      <c r="E38" s="187"/>
      <c r="F38" s="128"/>
      <c r="G38" s="128"/>
      <c r="H38" s="750"/>
      <c r="I38" s="1745"/>
      <c r="J38" s="1745"/>
      <c r="K38" s="1747"/>
    </row>
    <row r="39" spans="2:11">
      <c r="B39" s="131" t="s">
        <v>1069</v>
      </c>
      <c r="C39" s="18"/>
      <c r="D39" s="123" t="s">
        <v>43</v>
      </c>
      <c r="E39" s="187"/>
      <c r="F39" s="128"/>
      <c r="G39" s="128"/>
      <c r="H39" s="750"/>
      <c r="I39" s="1745"/>
      <c r="J39" s="1745"/>
      <c r="K39" s="1747"/>
    </row>
    <row r="40" spans="2:11">
      <c r="B40" s="120" t="s">
        <v>1071</v>
      </c>
      <c r="C40" s="123"/>
      <c r="D40" s="123"/>
      <c r="E40" s="188"/>
      <c r="F40" s="128"/>
      <c r="G40" s="128"/>
      <c r="H40" s="750"/>
      <c r="I40" s="1745"/>
      <c r="J40" s="1745"/>
      <c r="K40" s="1747"/>
    </row>
    <row r="41" spans="2:11" ht="17.399999999999999" thickBot="1">
      <c r="B41" s="137" t="s">
        <v>1072</v>
      </c>
      <c r="C41" s="199"/>
      <c r="D41" s="138" t="s">
        <v>1073</v>
      </c>
      <c r="E41" s="706"/>
      <c r="F41" s="1108"/>
      <c r="G41" s="1108"/>
      <c r="H41" s="1109"/>
      <c r="I41" s="1749"/>
      <c r="J41" s="1749"/>
      <c r="K41" s="1750"/>
    </row>
    <row r="42" spans="2:11" ht="17.399999999999999" thickTop="1">
      <c r="B42" s="181"/>
      <c r="C42" s="19"/>
      <c r="F42" s="1111"/>
      <c r="G42" s="803"/>
      <c r="H42" s="1111"/>
      <c r="I42" s="1110"/>
      <c r="J42" s="1110"/>
      <c r="K42" s="1110"/>
    </row>
    <row r="43" spans="2:11">
      <c r="F43" s="803"/>
      <c r="G43" s="803"/>
      <c r="H43" s="803"/>
      <c r="I43" s="1110"/>
      <c r="J43" s="1110"/>
      <c r="K43" s="1110"/>
    </row>
    <row r="44" spans="2:11">
      <c r="F44" s="803"/>
      <c r="G44" s="803"/>
      <c r="H44" s="803"/>
      <c r="I44" s="1110"/>
      <c r="J44" s="1110"/>
      <c r="K44" s="1110"/>
    </row>
    <row r="45" spans="2:11">
      <c r="F45" s="803"/>
      <c r="G45" s="803"/>
      <c r="H45" s="803"/>
      <c r="I45" s="1110"/>
      <c r="J45" s="1110"/>
      <c r="K45" s="1110"/>
    </row>
    <row r="46" spans="2:11">
      <c r="F46" s="803"/>
      <c r="G46" s="803"/>
      <c r="H46" s="803"/>
      <c r="I46" s="1110"/>
      <c r="J46" s="1110"/>
      <c r="K46" s="1110"/>
    </row>
    <row r="47" spans="2:11">
      <c r="F47" s="803"/>
      <c r="G47" s="803"/>
      <c r="H47" s="803"/>
      <c r="I47" s="1110"/>
      <c r="J47" s="1110"/>
      <c r="K47" s="1110"/>
    </row>
    <row r="48" spans="2:11">
      <c r="F48" s="803"/>
      <c r="G48" s="803"/>
      <c r="H48" s="803"/>
      <c r="I48" s="1110"/>
      <c r="J48" s="1110"/>
      <c r="K48" s="1110"/>
    </row>
    <row r="49" spans="2:11">
      <c r="F49" s="803"/>
      <c r="G49" s="803"/>
      <c r="H49" s="803"/>
      <c r="I49" s="1110"/>
      <c r="J49" s="1110"/>
      <c r="K49" s="1110"/>
    </row>
    <row r="55" spans="2:11">
      <c r="B55" s="317"/>
    </row>
  </sheetData>
  <mergeCells count="35">
    <mergeCell ref="D12:E13"/>
    <mergeCell ref="D11:E11"/>
    <mergeCell ref="J11:K11"/>
    <mergeCell ref="F29:G32"/>
    <mergeCell ref="F20:F21"/>
    <mergeCell ref="G20:G21"/>
    <mergeCell ref="F23:F24"/>
    <mergeCell ref="G23:G24"/>
    <mergeCell ref="F16:F17"/>
    <mergeCell ref="G16:G17"/>
    <mergeCell ref="F26:G27"/>
    <mergeCell ref="J22:J23"/>
    <mergeCell ref="K22:K23"/>
    <mergeCell ref="I22:I23"/>
    <mergeCell ref="I37:I41"/>
    <mergeCell ref="J37:J41"/>
    <mergeCell ref="K37:K41"/>
    <mergeCell ref="C7:D7"/>
    <mergeCell ref="C8:D8"/>
    <mergeCell ref="J2:K8"/>
    <mergeCell ref="C2:D2"/>
    <mergeCell ref="C3:D3"/>
    <mergeCell ref="C4:D4"/>
    <mergeCell ref="C5:D5"/>
    <mergeCell ref="C6:D6"/>
    <mergeCell ref="E2:I2"/>
    <mergeCell ref="F4:I4"/>
    <mergeCell ref="F7:I7"/>
    <mergeCell ref="F8:I8"/>
    <mergeCell ref="F5:I5"/>
    <mergeCell ref="F6:I6"/>
    <mergeCell ref="J12:K13"/>
    <mergeCell ref="I19:I20"/>
    <mergeCell ref="J19:J20"/>
    <mergeCell ref="K19:K20"/>
  </mergeCells>
  <phoneticPr fontId="1" type="noConversion"/>
  <conditionalFormatting sqref="I16:I19">
    <cfRule type="expression" dxfId="132" priority="33">
      <formula>$I$16="Nein"</formula>
    </cfRule>
  </conditionalFormatting>
  <conditionalFormatting sqref="I21:I23">
    <cfRule type="expression" dxfId="130" priority="15">
      <formula>$I$21="Nein"</formula>
    </cfRule>
  </conditionalFormatting>
  <conditionalFormatting sqref="I24:I26">
    <cfRule type="expression" dxfId="129" priority="12">
      <formula>$I$24="Nein"</formula>
    </cfRule>
  </conditionalFormatting>
  <conditionalFormatting sqref="I27:I29">
    <cfRule type="expression" dxfId="128" priority="9">
      <formula>$I$27="Nein"</formula>
    </cfRule>
  </conditionalFormatting>
  <conditionalFormatting sqref="I30:I32">
    <cfRule type="expression" dxfId="127" priority="6">
      <formula>$I$30="Nein"</formula>
    </cfRule>
  </conditionalFormatting>
  <conditionalFormatting sqref="I35:I41">
    <cfRule type="expression" dxfId="125" priority="3">
      <formula>$I$35="Nein"</formula>
    </cfRule>
  </conditionalFormatting>
  <conditionalFormatting sqref="J16:J19">
    <cfRule type="expression" dxfId="124" priority="32">
      <formula>$J$16="Nein"</formula>
    </cfRule>
  </conditionalFormatting>
  <conditionalFormatting sqref="J21:J23">
    <cfRule type="expression" dxfId="122" priority="14">
      <formula>$J$21="Nein"</formula>
    </cfRule>
  </conditionalFormatting>
  <conditionalFormatting sqref="J24:J26">
    <cfRule type="expression" dxfId="121" priority="11">
      <formula>$J$24="Nein"</formula>
    </cfRule>
  </conditionalFormatting>
  <conditionalFormatting sqref="J27:J29">
    <cfRule type="expression" dxfId="120" priority="8">
      <formula>$J$27="Nein"</formula>
    </cfRule>
  </conditionalFormatting>
  <conditionalFormatting sqref="J30:J32">
    <cfRule type="expression" dxfId="119" priority="5">
      <formula>$J$30="Nein"</formula>
    </cfRule>
  </conditionalFormatting>
  <conditionalFormatting sqref="J35:J41">
    <cfRule type="expression" dxfId="117" priority="2">
      <formula>$J$35="Nein"</formula>
    </cfRule>
  </conditionalFormatting>
  <conditionalFormatting sqref="K16:K19">
    <cfRule type="expression" dxfId="116" priority="31">
      <formula>$K$16="Nein"</formula>
    </cfRule>
  </conditionalFormatting>
  <conditionalFormatting sqref="K21:K23">
    <cfRule type="expression" dxfId="114" priority="13">
      <formula>$K$21="Nein"</formula>
    </cfRule>
  </conditionalFormatting>
  <conditionalFormatting sqref="K24:K26">
    <cfRule type="expression" dxfId="113" priority="10">
      <formula>$K$24="Nein"</formula>
    </cfRule>
  </conditionalFormatting>
  <conditionalFormatting sqref="K27:K29">
    <cfRule type="expression" dxfId="112" priority="7">
      <formula>$K$27="Nein"</formula>
    </cfRule>
  </conditionalFormatting>
  <conditionalFormatting sqref="K30:K32">
    <cfRule type="expression" dxfId="111" priority="4">
      <formula>$K$30="Nein"</formula>
    </cfRule>
  </conditionalFormatting>
  <conditionalFormatting sqref="K35:K41">
    <cfRule type="expression" dxfId="109" priority="1">
      <formula>$K$35="Nein"</formula>
    </cfRule>
  </conditionalFormatting>
  <dataValidations count="4">
    <dataValidation type="list" allowBlank="1" showInputMessage="1" showErrorMessage="1" sqref="I17:K17" xr:uid="{A1911C22-7934-4138-B049-89C8D358B151}">
      <formula1>Heizungshersteller</formula1>
    </dataValidation>
    <dataValidation type="list" allowBlank="1" showInputMessage="1" showErrorMessage="1" sqref="I18" xr:uid="{860DA882-839E-4617-B56E-3B44063973FC}">
      <formula1>INDIRECT($I$17)</formula1>
    </dataValidation>
    <dataValidation type="list" allowBlank="1" showInputMessage="1" showErrorMessage="1" sqref="J18" xr:uid="{D1597168-C0E2-48D1-AC4E-D29FFE114043}">
      <formula1>INDIRECT($J$17)</formula1>
    </dataValidation>
    <dataValidation type="list" allowBlank="1" showInputMessage="1" showErrorMessage="1" sqref="K18" xr:uid="{45216165-CA09-4205-A6B9-3E9A69CD2113}">
      <formula1>INDIRECT($K$17)</formula1>
    </dataValidation>
  </dataValidations>
  <pageMargins left="0.7" right="0.7" top="0.78740157499999996" bottom="0.78740157499999996" header="0.3" footer="0.3"/>
  <extLst>
    <ext xmlns:x14="http://schemas.microsoft.com/office/spreadsheetml/2009/9/main" uri="{78C0D931-6437-407d-A8EE-F0AAD7539E65}">
      <x14:conditionalFormattings>
        <x14:conditionalFormatting xmlns:xm="http://schemas.microsoft.com/office/excel/2006/main">
          <x14:cfRule type="expression" priority="326" id="{827B3E49-8167-41C0-B586-93F8BE5BC6CE}">
            <xm:f>Allgemein!$C$91=$I$15</xm:f>
            <x14:dxf>
              <fill>
                <patternFill>
                  <bgColor theme="9" tint="0.79998168889431442"/>
                </patternFill>
              </fill>
            </x14:dxf>
          </x14:cfRule>
          <xm:sqref>I16:I32</xm:sqref>
        </x14:conditionalFormatting>
        <x14:conditionalFormatting xmlns:xm="http://schemas.microsoft.com/office/excel/2006/main">
          <x14:cfRule type="expression" priority="38" id="{0C2FC07C-3139-40D2-A54C-FAA4B4853DF3}">
            <xm:f>Allgemein!$C$91=$I$34</xm:f>
            <x14:dxf>
              <fill>
                <patternFill>
                  <bgColor theme="9" tint="0.79998168889431442"/>
                </patternFill>
              </fill>
            </x14:dxf>
          </x14:cfRule>
          <xm:sqref>I35:I37</xm:sqref>
        </x14:conditionalFormatting>
        <x14:conditionalFormatting xmlns:xm="http://schemas.microsoft.com/office/excel/2006/main">
          <x14:cfRule type="expression" priority="327" id="{A49FBBDA-7A3A-4432-96B7-D2D51C684C09}">
            <xm:f>Allgemein!$C$91=$J$15</xm:f>
            <x14:dxf>
              <fill>
                <patternFill>
                  <bgColor theme="9" tint="0.79998168889431442"/>
                </patternFill>
              </fill>
            </x14:dxf>
          </x14:cfRule>
          <xm:sqref>J16:J32</xm:sqref>
        </x14:conditionalFormatting>
        <x14:conditionalFormatting xmlns:xm="http://schemas.microsoft.com/office/excel/2006/main">
          <x14:cfRule type="expression" priority="36" id="{8CDB51BA-BC2A-4D7B-92D6-BD12A167CB3B}">
            <xm:f>Allgemein!$C$91=$J$34</xm:f>
            <x14:dxf>
              <fill>
                <patternFill>
                  <bgColor theme="9" tint="0.79998168889431442"/>
                </patternFill>
              </fill>
            </x14:dxf>
          </x14:cfRule>
          <xm:sqref>J35:J37</xm:sqref>
        </x14:conditionalFormatting>
        <x14:conditionalFormatting xmlns:xm="http://schemas.microsoft.com/office/excel/2006/main">
          <x14:cfRule type="expression" priority="328" id="{08FF54E0-AF0E-4C8E-820B-0B81A1E7465D}">
            <xm:f>Allgemein!$C$91=$K$15</xm:f>
            <x14:dxf>
              <fill>
                <patternFill>
                  <bgColor theme="9" tint="0.79998168889431442"/>
                </patternFill>
              </fill>
            </x14:dxf>
          </x14:cfRule>
          <xm:sqref>K16:K32</xm:sqref>
        </x14:conditionalFormatting>
        <x14:conditionalFormatting xmlns:xm="http://schemas.microsoft.com/office/excel/2006/main">
          <x14:cfRule type="expression" priority="34" id="{96132DFD-5D46-40C2-A1A6-223B3983CC87}">
            <xm:f>Allgemein!$C$91=$K$34</xm:f>
            <x14:dxf>
              <fill>
                <patternFill>
                  <bgColor theme="9" tint="0.79998168889431442"/>
                </patternFill>
              </fill>
            </x14:dxf>
          </x14:cfRule>
          <xm:sqref>K35:K37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558876D-21A4-4E8A-A317-2DFB1C007210}">
          <x14:formula1>
            <xm:f>Datenbank!$S$3:$S$4</xm:f>
          </x14:formula1>
          <xm:sqref>I16:K16 I21:K21 I30 I35:K35 J30:K30 I27:K27 I24:K24</xm:sqref>
        </x14:dataValidation>
        <x14:dataValidation type="list" allowBlank="1" showInputMessage="1" showErrorMessage="1" xr:uid="{B60CFFBB-D256-484D-A72E-A7C7B0A46413}">
          <x14:formula1>
            <xm:f>'Datenbank-Preise'!$X$168:$X$169</xm:f>
          </x14:formula1>
          <xm:sqref>I36:K36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CC690-E039-402C-9723-448F96D9C2BF}">
  <dimension ref="A1:AI115"/>
  <sheetViews>
    <sheetView showGridLines="0" zoomScale="70" zoomScaleNormal="70" workbookViewId="0">
      <pane xSplit="4" topLeftCell="E1" activePane="topRight" state="frozen"/>
      <selection pane="topRight" activeCell="J27" sqref="J27"/>
    </sheetView>
  </sheetViews>
  <sheetFormatPr baseColWidth="10" defaultColWidth="11.5546875" defaultRowHeight="16.8"/>
  <cols>
    <col min="1" max="1" width="11.5546875" style="10"/>
    <col min="2" max="2" width="14.33203125" style="10" customWidth="1"/>
    <col min="3" max="3" width="15.44140625" style="10" customWidth="1"/>
    <col min="4" max="4" width="23.5546875" style="10" customWidth="1"/>
    <col min="5" max="5" width="14.44140625" style="10" customWidth="1"/>
    <col min="6" max="6" width="23.5546875" style="10" customWidth="1"/>
    <col min="7" max="7" width="27.5546875" style="10" customWidth="1"/>
    <col min="8" max="8" width="24.44140625" style="10" customWidth="1"/>
    <col min="9" max="9" width="25.5546875" style="10" customWidth="1"/>
    <col min="10" max="10" width="21.44140625" style="10" customWidth="1"/>
    <col min="11" max="11" width="19.5546875" style="10" customWidth="1"/>
    <col min="12" max="12" width="29.44140625" style="10" customWidth="1"/>
    <col min="13" max="13" width="23.5546875" style="10" customWidth="1"/>
    <col min="14" max="14" width="29.44140625" style="10" customWidth="1"/>
    <col min="15" max="15" width="29" style="246" customWidth="1"/>
    <col min="16" max="16" width="28.44140625" style="10" customWidth="1"/>
    <col min="17" max="17" width="16.44140625" style="10" customWidth="1"/>
    <col min="18" max="18" width="27.44140625" style="10" customWidth="1"/>
    <col min="19" max="19" width="24.44140625" style="10" customWidth="1"/>
    <col min="20" max="20" width="19.44140625" style="10" customWidth="1"/>
    <col min="21" max="21" width="22" style="10" customWidth="1"/>
    <col min="22" max="22" width="19.44140625" style="10" customWidth="1"/>
    <col min="23" max="16384" width="11.5546875" style="10"/>
  </cols>
  <sheetData>
    <row r="1" spans="1:22" ht="17.399999999999999" thickBot="1"/>
    <row r="2" spans="1:22" ht="17.850000000000001" customHeight="1" thickTop="1">
      <c r="A2" s="219"/>
      <c r="B2" s="1767" t="s">
        <v>0</v>
      </c>
      <c r="C2" s="1768"/>
      <c r="D2" s="1768"/>
      <c r="E2" s="1629">
        <f>Allgemein!C2</f>
        <v>0</v>
      </c>
      <c r="F2" s="1629"/>
      <c r="G2" s="393"/>
      <c r="H2" s="394"/>
      <c r="I2" s="1559" t="s">
        <v>1053</v>
      </c>
      <c r="J2" s="1559"/>
      <c r="K2" s="1559"/>
      <c r="L2" s="1559"/>
      <c r="M2" s="1559"/>
      <c r="N2" s="1559"/>
      <c r="O2" s="1559"/>
      <c r="P2" s="1559"/>
      <c r="Q2" s="394"/>
      <c r="R2" s="395"/>
      <c r="S2" s="1550" t="e" vm="1">
        <v>#VALUE!</v>
      </c>
      <c r="T2" s="1550"/>
      <c r="U2" s="1550"/>
      <c r="V2" s="1551"/>
    </row>
    <row r="3" spans="1:22" ht="17.100000000000001" customHeight="1">
      <c r="A3" s="219"/>
      <c r="B3" s="1765" t="s">
        <v>4</v>
      </c>
      <c r="C3" s="1503"/>
      <c r="D3" s="1503"/>
      <c r="E3" s="1477">
        <f>Allgemein!C3</f>
        <v>0</v>
      </c>
      <c r="F3" s="1631"/>
      <c r="G3" s="396"/>
      <c r="H3" s="322"/>
      <c r="I3" s="1562"/>
      <c r="J3" s="1562"/>
      <c r="K3" s="1562"/>
      <c r="L3" s="1562"/>
      <c r="M3" s="1562"/>
      <c r="N3" s="1562"/>
      <c r="O3" s="1562"/>
      <c r="P3" s="1562"/>
      <c r="Q3" s="322"/>
      <c r="R3" s="323"/>
      <c r="S3" s="1552"/>
      <c r="T3" s="1552"/>
      <c r="U3" s="1552"/>
      <c r="V3" s="1553"/>
    </row>
    <row r="4" spans="1:22" ht="18.600000000000001" customHeight="1">
      <c r="A4" s="219"/>
      <c r="B4" s="1765" t="s">
        <v>5</v>
      </c>
      <c r="C4" s="1503"/>
      <c r="D4" s="1503"/>
      <c r="E4" s="1477">
        <f>Allgemein!C4</f>
        <v>0</v>
      </c>
      <c r="F4" s="1631"/>
      <c r="G4" s="263"/>
      <c r="H4" s="264"/>
      <c r="I4" s="264"/>
      <c r="J4" s="264"/>
      <c r="K4" s="264"/>
      <c r="L4" s="264"/>
      <c r="M4" s="264"/>
      <c r="N4" s="264"/>
      <c r="O4" s="264"/>
      <c r="P4" s="264"/>
      <c r="Q4" s="264"/>
      <c r="R4" s="265"/>
      <c r="S4" s="1552"/>
      <c r="T4" s="1552"/>
      <c r="U4" s="1552"/>
      <c r="V4" s="1553"/>
    </row>
    <row r="5" spans="1:22">
      <c r="A5" s="219"/>
      <c r="B5" s="1765" t="s">
        <v>8</v>
      </c>
      <c r="C5" s="1503"/>
      <c r="D5" s="1503"/>
      <c r="E5" s="1477">
        <f>Allgemein!C5</f>
        <v>0</v>
      </c>
      <c r="F5" s="1631"/>
      <c r="G5" s="1612"/>
      <c r="H5" s="1477"/>
      <c r="I5" s="1477"/>
      <c r="J5" s="1477"/>
      <c r="K5" s="179"/>
      <c r="L5" s="179"/>
      <c r="M5" s="179"/>
      <c r="N5" s="179"/>
      <c r="O5" s="179"/>
      <c r="P5" s="179"/>
      <c r="Q5" s="179"/>
      <c r="R5" s="397"/>
      <c r="S5" s="1552"/>
      <c r="T5" s="1552"/>
      <c r="U5" s="1552"/>
      <c r="V5" s="1553"/>
    </row>
    <row r="6" spans="1:22">
      <c r="A6" s="219"/>
      <c r="B6" s="1765" t="s">
        <v>11</v>
      </c>
      <c r="C6" s="1503"/>
      <c r="D6" s="1503"/>
      <c r="E6" s="1477">
        <f>Allgemein!C6</f>
        <v>0</v>
      </c>
      <c r="F6" s="1631"/>
      <c r="G6" s="1612"/>
      <c r="H6" s="1477"/>
      <c r="I6" s="1477"/>
      <c r="J6" s="1477"/>
      <c r="K6" s="179"/>
      <c r="L6" s="179"/>
      <c r="M6" s="179"/>
      <c r="N6" s="179"/>
      <c r="O6" s="179"/>
      <c r="P6" s="179"/>
      <c r="Q6" s="179"/>
      <c r="R6" s="397"/>
      <c r="S6" s="1552"/>
      <c r="T6" s="1552"/>
      <c r="U6" s="1552"/>
      <c r="V6" s="1553"/>
    </row>
    <row r="7" spans="1:22">
      <c r="A7" s="219"/>
      <c r="B7" s="1765" t="s">
        <v>12</v>
      </c>
      <c r="C7" s="1503"/>
      <c r="D7" s="1503"/>
      <c r="E7" s="1477">
        <f>Allgemein!C7</f>
        <v>0</v>
      </c>
      <c r="F7" s="1631"/>
      <c r="G7" s="1612"/>
      <c r="H7" s="1477"/>
      <c r="I7" s="1477"/>
      <c r="J7" s="1477"/>
      <c r="K7" s="398"/>
      <c r="L7" s="398"/>
      <c r="M7" s="398"/>
      <c r="N7" s="398"/>
      <c r="O7" s="398"/>
      <c r="P7" s="398"/>
      <c r="Q7" s="398"/>
      <c r="R7" s="399"/>
      <c r="S7" s="1552"/>
      <c r="T7" s="1552"/>
      <c r="U7" s="1552"/>
      <c r="V7" s="1553"/>
    </row>
    <row r="8" spans="1:22" ht="17.399999999999999" thickBot="1">
      <c r="A8" s="219"/>
      <c r="B8" s="1766" t="s">
        <v>14</v>
      </c>
      <c r="C8" s="1667"/>
      <c r="D8" s="1667"/>
      <c r="E8" s="1627">
        <f>Allgemein!C8</f>
        <v>0</v>
      </c>
      <c r="F8" s="1628"/>
      <c r="G8" s="1732"/>
      <c r="H8" s="1627"/>
      <c r="I8" s="1627"/>
      <c r="J8" s="1627"/>
      <c r="K8" s="400"/>
      <c r="L8" s="400"/>
      <c r="M8" s="400"/>
      <c r="N8" s="400"/>
      <c r="O8" s="400"/>
      <c r="P8" s="400"/>
      <c r="Q8" s="400"/>
      <c r="R8" s="401"/>
      <c r="S8" s="1554"/>
      <c r="T8" s="1554"/>
      <c r="U8" s="1554"/>
      <c r="V8" s="1555"/>
    </row>
    <row r="9" spans="1:22" ht="27.6" thickTop="1">
      <c r="A9" s="219"/>
      <c r="B9" s="267" t="s">
        <v>1136</v>
      </c>
      <c r="D9" s="19"/>
      <c r="E9" s="262"/>
      <c r="F9" s="181"/>
      <c r="G9" s="181"/>
      <c r="H9" s="181"/>
      <c r="I9" s="181"/>
      <c r="J9" s="181"/>
      <c r="K9" s="181"/>
      <c r="L9" s="181"/>
      <c r="M9" s="175"/>
      <c r="N9" s="181"/>
      <c r="O9" s="258"/>
      <c r="P9" s="181"/>
      <c r="Q9" s="181"/>
      <c r="R9" s="181"/>
      <c r="S9" s="181"/>
      <c r="T9" s="181"/>
      <c r="U9" s="181"/>
      <c r="V9" s="221"/>
    </row>
    <row r="10" spans="1:22" s="317" customFormat="1">
      <c r="A10" s="410"/>
      <c r="B10" s="1104" t="s">
        <v>1137</v>
      </c>
      <c r="C10" s="1104"/>
      <c r="D10" s="402"/>
      <c r="E10" s="402"/>
      <c r="F10" s="402"/>
      <c r="G10" s="729"/>
      <c r="H10" s="404" t="s">
        <v>1138</v>
      </c>
      <c r="I10" s="402"/>
      <c r="J10" s="402"/>
      <c r="K10" s="402"/>
      <c r="L10" s="729"/>
      <c r="M10" s="1769" t="s">
        <v>1139</v>
      </c>
      <c r="N10" s="1770"/>
      <c r="O10" s="404" t="s">
        <v>1140</v>
      </c>
      <c r="P10" s="402"/>
      <c r="Q10" s="402"/>
      <c r="R10" s="402"/>
      <c r="S10" s="727" t="s">
        <v>573</v>
      </c>
      <c r="T10" s="402"/>
      <c r="U10" s="402"/>
      <c r="V10" s="403"/>
    </row>
    <row r="11" spans="1:22" s="167" customFormat="1" ht="53.85" customHeight="1">
      <c r="A11" s="1105"/>
      <c r="B11" s="405" t="s">
        <v>296</v>
      </c>
      <c r="C11" s="1103" t="s">
        <v>29</v>
      </c>
      <c r="D11" s="177" t="s">
        <v>443</v>
      </c>
      <c r="E11" s="177" t="s">
        <v>1141</v>
      </c>
      <c r="F11" s="177" t="s">
        <v>1142</v>
      </c>
      <c r="G11" s="713" t="s">
        <v>1143</v>
      </c>
      <c r="H11" s="177" t="s">
        <v>1144</v>
      </c>
      <c r="I11" s="177" t="s">
        <v>1145</v>
      </c>
      <c r="J11" s="177" t="s">
        <v>295</v>
      </c>
      <c r="K11" s="177" t="s">
        <v>454</v>
      </c>
      <c r="L11" s="713" t="s">
        <v>1146</v>
      </c>
      <c r="M11" s="177" t="s">
        <v>424</v>
      </c>
      <c r="N11" s="712" t="s">
        <v>425</v>
      </c>
      <c r="O11" s="177" t="s">
        <v>1147</v>
      </c>
      <c r="P11" s="177" t="s">
        <v>1148</v>
      </c>
      <c r="Q11" s="177" t="s">
        <v>1149</v>
      </c>
      <c r="R11" s="712" t="s">
        <v>458</v>
      </c>
      <c r="S11" s="177" t="s">
        <v>1150</v>
      </c>
      <c r="T11" s="177" t="s">
        <v>1151</v>
      </c>
      <c r="U11" s="177" t="s">
        <v>1152</v>
      </c>
      <c r="V11" s="372" t="s">
        <v>1153</v>
      </c>
    </row>
    <row r="12" spans="1:22">
      <c r="A12" s="219"/>
      <c r="B12" s="115"/>
      <c r="C12" s="115"/>
      <c r="D12" s="115"/>
      <c r="E12" s="115"/>
      <c r="F12" s="115"/>
      <c r="G12" s="668"/>
      <c r="H12" s="115">
        <v>1</v>
      </c>
      <c r="I12" s="168"/>
      <c r="J12" s="168"/>
      <c r="K12" s="115"/>
      <c r="L12" s="728"/>
      <c r="M12" s="168"/>
      <c r="N12" s="728"/>
      <c r="O12" s="168"/>
      <c r="P12" s="168"/>
      <c r="Q12" s="168"/>
      <c r="R12" s="728"/>
      <c r="S12" s="168"/>
      <c r="T12" s="168"/>
      <c r="U12" s="168"/>
      <c r="V12" s="406"/>
    </row>
    <row r="13" spans="1:22">
      <c r="A13" s="219"/>
      <c r="B13" s="115"/>
      <c r="C13" s="115"/>
      <c r="D13" s="115"/>
      <c r="E13" s="115"/>
      <c r="F13" s="115"/>
      <c r="G13" s="668"/>
      <c r="H13" s="115">
        <v>2</v>
      </c>
      <c r="I13" s="168"/>
      <c r="J13" s="168"/>
      <c r="K13" s="115"/>
      <c r="L13" s="728"/>
      <c r="M13" s="168"/>
      <c r="N13" s="728"/>
      <c r="O13" s="168"/>
      <c r="P13" s="168"/>
      <c r="Q13" s="168"/>
      <c r="R13" s="728"/>
      <c r="S13" s="168"/>
      <c r="T13" s="168"/>
      <c r="U13" s="168"/>
      <c r="V13" s="406"/>
    </row>
    <row r="14" spans="1:22">
      <c r="A14" s="219"/>
      <c r="B14" s="115"/>
      <c r="C14" s="115"/>
      <c r="D14" s="115"/>
      <c r="E14" s="115"/>
      <c r="F14" s="115"/>
      <c r="G14" s="668"/>
      <c r="H14" s="115">
        <v>3</v>
      </c>
      <c r="I14" s="168"/>
      <c r="J14" s="168"/>
      <c r="K14" s="115"/>
      <c r="L14" s="728"/>
      <c r="M14" s="168"/>
      <c r="N14" s="728"/>
      <c r="O14" s="168"/>
      <c r="P14" s="168"/>
      <c r="Q14" s="168"/>
      <c r="R14" s="728"/>
      <c r="S14" s="168"/>
      <c r="T14" s="168"/>
      <c r="U14" s="168"/>
      <c r="V14" s="406"/>
    </row>
    <row r="15" spans="1:22">
      <c r="A15" s="219"/>
      <c r="B15" s="115"/>
      <c r="C15" s="115"/>
      <c r="D15" s="115"/>
      <c r="E15" s="115"/>
      <c r="F15" s="115"/>
      <c r="G15" s="668"/>
      <c r="H15" s="115">
        <v>4</v>
      </c>
      <c r="I15" s="168"/>
      <c r="J15" s="168"/>
      <c r="K15" s="115"/>
      <c r="L15" s="728"/>
      <c r="M15" s="168"/>
      <c r="N15" s="728"/>
      <c r="O15" s="168"/>
      <c r="P15" s="168"/>
      <c r="Q15" s="168"/>
      <c r="R15" s="728"/>
      <c r="S15" s="168"/>
      <c r="T15" s="168"/>
      <c r="U15" s="168"/>
      <c r="V15" s="406"/>
    </row>
    <row r="16" spans="1:22">
      <c r="A16" s="219"/>
      <c r="B16" s="115"/>
      <c r="C16" s="115"/>
      <c r="D16" s="115"/>
      <c r="E16" s="115"/>
      <c r="F16" s="115"/>
      <c r="G16" s="668"/>
      <c r="H16" s="115">
        <v>5</v>
      </c>
      <c r="I16" s="168"/>
      <c r="J16" s="168"/>
      <c r="K16" s="115"/>
      <c r="L16" s="728"/>
      <c r="M16" s="168"/>
      <c r="N16" s="728"/>
      <c r="O16" s="168"/>
      <c r="P16" s="168"/>
      <c r="Q16" s="168"/>
      <c r="R16" s="728"/>
      <c r="S16" s="168"/>
      <c r="T16" s="168"/>
      <c r="U16" s="168"/>
      <c r="V16" s="406"/>
    </row>
    <row r="17" spans="1:22">
      <c r="A17" s="219"/>
      <c r="B17" s="115"/>
      <c r="C17" s="115"/>
      <c r="D17" s="115"/>
      <c r="E17" s="115"/>
      <c r="F17" s="115"/>
      <c r="G17" s="668"/>
      <c r="H17" s="115">
        <v>6</v>
      </c>
      <c r="I17" s="168"/>
      <c r="J17" s="168"/>
      <c r="K17" s="115"/>
      <c r="L17" s="728"/>
      <c r="M17" s="168"/>
      <c r="N17" s="728"/>
      <c r="O17" s="168"/>
      <c r="P17" s="168"/>
      <c r="Q17" s="168"/>
      <c r="R17" s="728"/>
      <c r="S17" s="168"/>
      <c r="T17" s="168"/>
      <c r="U17" s="168"/>
      <c r="V17" s="406"/>
    </row>
    <row r="18" spans="1:22">
      <c r="A18" s="219"/>
      <c r="B18" s="115"/>
      <c r="C18" s="115"/>
      <c r="D18" s="115"/>
      <c r="E18" s="115"/>
      <c r="F18" s="115"/>
      <c r="G18" s="668"/>
      <c r="H18" s="115">
        <v>7</v>
      </c>
      <c r="I18" s="168"/>
      <c r="J18" s="168"/>
      <c r="K18" s="115"/>
      <c r="L18" s="728"/>
      <c r="M18" s="168"/>
      <c r="N18" s="728"/>
      <c r="O18" s="168"/>
      <c r="P18" s="168"/>
      <c r="Q18" s="168"/>
      <c r="R18" s="728"/>
      <c r="S18" s="168"/>
      <c r="T18" s="168"/>
      <c r="U18" s="168"/>
      <c r="V18" s="406"/>
    </row>
    <row r="19" spans="1:22">
      <c r="A19" s="219"/>
      <c r="B19" s="115"/>
      <c r="C19" s="115"/>
      <c r="D19" s="115"/>
      <c r="E19" s="115"/>
      <c r="F19" s="115"/>
      <c r="G19" s="668"/>
      <c r="H19" s="115">
        <v>8</v>
      </c>
      <c r="I19" s="168"/>
      <c r="J19" s="168"/>
      <c r="K19" s="115"/>
      <c r="L19" s="728"/>
      <c r="M19" s="168"/>
      <c r="N19" s="728"/>
      <c r="O19" s="168"/>
      <c r="P19" s="168"/>
      <c r="Q19" s="168"/>
      <c r="R19" s="728"/>
      <c r="S19" s="168"/>
      <c r="T19" s="168"/>
      <c r="U19" s="168"/>
      <c r="V19" s="406"/>
    </row>
    <row r="20" spans="1:22">
      <c r="A20" s="219"/>
      <c r="B20" s="115"/>
      <c r="C20" s="115"/>
      <c r="D20" s="115"/>
      <c r="E20" s="115"/>
      <c r="F20" s="115"/>
      <c r="G20" s="668"/>
      <c r="H20" s="115">
        <v>9</v>
      </c>
      <c r="I20" s="168"/>
      <c r="J20" s="168"/>
      <c r="K20" s="115"/>
      <c r="L20" s="728"/>
      <c r="M20" s="168"/>
      <c r="N20" s="728"/>
      <c r="O20" s="168"/>
      <c r="P20" s="168"/>
      <c r="Q20" s="168"/>
      <c r="R20" s="728"/>
      <c r="S20" s="168"/>
      <c r="T20" s="168"/>
      <c r="U20" s="168"/>
      <c r="V20" s="406"/>
    </row>
    <row r="21" spans="1:22">
      <c r="A21" s="219"/>
      <c r="B21" s="115"/>
      <c r="C21" s="115"/>
      <c r="D21" s="115"/>
      <c r="E21" s="115"/>
      <c r="F21" s="115"/>
      <c r="G21" s="668"/>
      <c r="H21" s="115">
        <v>10</v>
      </c>
      <c r="I21" s="168"/>
      <c r="J21" s="168"/>
      <c r="K21" s="115"/>
      <c r="L21" s="728"/>
      <c r="M21" s="168"/>
      <c r="N21" s="728"/>
      <c r="O21" s="168"/>
      <c r="P21" s="168"/>
      <c r="Q21" s="168"/>
      <c r="R21" s="728"/>
      <c r="S21" s="168"/>
      <c r="T21" s="168"/>
      <c r="U21" s="168"/>
      <c r="V21" s="406"/>
    </row>
    <row r="22" spans="1:22">
      <c r="A22" s="219"/>
      <c r="B22" s="115"/>
      <c r="C22" s="115"/>
      <c r="D22" s="115"/>
      <c r="E22" s="115"/>
      <c r="F22" s="115"/>
      <c r="G22" s="668"/>
      <c r="H22" s="115">
        <v>11</v>
      </c>
      <c r="I22" s="168"/>
      <c r="J22" s="168"/>
      <c r="K22" s="115"/>
      <c r="L22" s="728"/>
      <c r="M22" s="168"/>
      <c r="N22" s="728"/>
      <c r="O22" s="168"/>
      <c r="P22" s="168"/>
      <c r="Q22" s="168"/>
      <c r="R22" s="728"/>
      <c r="S22" s="168"/>
      <c r="T22" s="168"/>
      <c r="U22" s="168"/>
      <c r="V22" s="406"/>
    </row>
    <row r="23" spans="1:22">
      <c r="A23" s="219"/>
      <c r="B23" s="115"/>
      <c r="C23" s="115"/>
      <c r="D23" s="115"/>
      <c r="E23" s="115"/>
      <c r="F23" s="115"/>
      <c r="G23" s="668"/>
      <c r="H23" s="115">
        <v>12</v>
      </c>
      <c r="I23" s="168"/>
      <c r="J23" s="168"/>
      <c r="K23" s="115"/>
      <c r="L23" s="728"/>
      <c r="M23" s="168"/>
      <c r="N23" s="728"/>
      <c r="O23" s="168"/>
      <c r="P23" s="168"/>
      <c r="Q23" s="168"/>
      <c r="R23" s="728"/>
      <c r="S23" s="168"/>
      <c r="T23" s="168"/>
      <c r="U23" s="168"/>
      <c r="V23" s="406"/>
    </row>
    <row r="24" spans="1:22">
      <c r="A24" s="219"/>
      <c r="B24" s="115"/>
      <c r="C24" s="115"/>
      <c r="D24" s="115"/>
      <c r="E24" s="115"/>
      <c r="F24" s="115"/>
      <c r="G24" s="668"/>
      <c r="H24" s="115">
        <v>13</v>
      </c>
      <c r="I24" s="168"/>
      <c r="J24" s="168"/>
      <c r="K24" s="115"/>
      <c r="L24" s="728"/>
      <c r="M24" s="168"/>
      <c r="N24" s="728"/>
      <c r="O24" s="168"/>
      <c r="P24" s="168"/>
      <c r="Q24" s="168"/>
      <c r="R24" s="728"/>
      <c r="S24" s="168"/>
      <c r="T24" s="168"/>
      <c r="U24" s="168"/>
      <c r="V24" s="406"/>
    </row>
    <row r="25" spans="1:22">
      <c r="A25" s="219"/>
      <c r="B25" s="115"/>
      <c r="C25" s="115"/>
      <c r="D25" s="115"/>
      <c r="E25" s="115"/>
      <c r="F25" s="115"/>
      <c r="G25" s="668"/>
      <c r="H25" s="115">
        <v>14</v>
      </c>
      <c r="I25" s="168"/>
      <c r="J25" s="168"/>
      <c r="K25" s="115"/>
      <c r="L25" s="728"/>
      <c r="M25" s="168"/>
      <c r="N25" s="728"/>
      <c r="O25" s="168"/>
      <c r="P25" s="168"/>
      <c r="Q25" s="168"/>
      <c r="R25" s="728"/>
      <c r="S25" s="168"/>
      <c r="T25" s="168"/>
      <c r="U25" s="168"/>
      <c r="V25" s="406"/>
    </row>
    <row r="26" spans="1:22">
      <c r="A26" s="219"/>
      <c r="B26" s="115"/>
      <c r="C26" s="115"/>
      <c r="D26" s="115"/>
      <c r="E26" s="115"/>
      <c r="F26" s="115"/>
      <c r="G26" s="668"/>
      <c r="H26" s="115">
        <v>15</v>
      </c>
      <c r="I26" s="168"/>
      <c r="J26" s="168"/>
      <c r="K26" s="115"/>
      <c r="L26" s="728"/>
      <c r="M26" s="168"/>
      <c r="N26" s="728"/>
      <c r="O26" s="168"/>
      <c r="P26" s="168"/>
      <c r="Q26" s="168"/>
      <c r="R26" s="728"/>
      <c r="S26" s="168"/>
      <c r="T26" s="168"/>
      <c r="U26" s="168"/>
      <c r="V26" s="406"/>
    </row>
    <row r="27" spans="1:22">
      <c r="A27" s="219"/>
      <c r="B27" s="115"/>
      <c r="C27" s="115"/>
      <c r="D27" s="115"/>
      <c r="E27" s="115"/>
      <c r="F27" s="115"/>
      <c r="G27" s="668"/>
      <c r="H27" s="115">
        <v>16</v>
      </c>
      <c r="I27" s="168"/>
      <c r="J27" s="168"/>
      <c r="K27" s="115"/>
      <c r="L27" s="728"/>
      <c r="M27" s="168"/>
      <c r="N27" s="728"/>
      <c r="O27" s="168"/>
      <c r="P27" s="168"/>
      <c r="Q27" s="168"/>
      <c r="R27" s="728"/>
      <c r="S27" s="168"/>
      <c r="T27" s="168"/>
      <c r="U27" s="168"/>
      <c r="V27" s="406"/>
    </row>
    <row r="28" spans="1:22">
      <c r="A28" s="219"/>
      <c r="B28" s="115"/>
      <c r="C28" s="115"/>
      <c r="D28" s="115"/>
      <c r="E28" s="115"/>
      <c r="F28" s="115"/>
      <c r="G28" s="668"/>
      <c r="H28" s="115">
        <v>17</v>
      </c>
      <c r="I28" s="168"/>
      <c r="J28" s="168"/>
      <c r="K28" s="115"/>
      <c r="L28" s="728"/>
      <c r="M28" s="168"/>
      <c r="N28" s="728"/>
      <c r="O28" s="168"/>
      <c r="P28" s="168"/>
      <c r="Q28" s="168"/>
      <c r="R28" s="728"/>
      <c r="S28" s="168"/>
      <c r="T28" s="168"/>
      <c r="U28" s="168"/>
      <c r="V28" s="406"/>
    </row>
    <row r="29" spans="1:22">
      <c r="A29" s="219"/>
      <c r="B29" s="115"/>
      <c r="C29" s="115"/>
      <c r="D29" s="115"/>
      <c r="E29" s="115"/>
      <c r="F29" s="115"/>
      <c r="G29" s="668"/>
      <c r="H29" s="115">
        <v>18</v>
      </c>
      <c r="I29" s="168"/>
      <c r="J29" s="168"/>
      <c r="K29" s="115"/>
      <c r="L29" s="728"/>
      <c r="M29" s="168"/>
      <c r="N29" s="728"/>
      <c r="O29" s="168"/>
      <c r="P29" s="168"/>
      <c r="Q29" s="168"/>
      <c r="R29" s="728"/>
      <c r="S29" s="168"/>
      <c r="T29" s="168"/>
      <c r="U29" s="168"/>
      <c r="V29" s="406"/>
    </row>
    <row r="30" spans="1:22">
      <c r="A30" s="219"/>
      <c r="B30" s="115"/>
      <c r="C30" s="115"/>
      <c r="D30" s="115"/>
      <c r="E30" s="115"/>
      <c r="F30" s="115"/>
      <c r="G30" s="668"/>
      <c r="H30" s="115">
        <v>19</v>
      </c>
      <c r="I30" s="168"/>
      <c r="J30" s="168"/>
      <c r="K30" s="115"/>
      <c r="L30" s="728"/>
      <c r="M30" s="168"/>
      <c r="N30" s="728"/>
      <c r="O30" s="168"/>
      <c r="P30" s="168"/>
      <c r="Q30" s="168"/>
      <c r="R30" s="728"/>
      <c r="S30" s="168"/>
      <c r="T30" s="168"/>
      <c r="U30" s="168"/>
      <c r="V30" s="406"/>
    </row>
    <row r="31" spans="1:22">
      <c r="A31" s="219"/>
      <c r="B31" s="115"/>
      <c r="C31" s="115"/>
      <c r="D31" s="115"/>
      <c r="E31" s="115"/>
      <c r="F31" s="115"/>
      <c r="G31" s="668"/>
      <c r="H31" s="115">
        <v>20</v>
      </c>
      <c r="I31" s="168"/>
      <c r="J31" s="168"/>
      <c r="K31" s="115"/>
      <c r="L31" s="728"/>
      <c r="M31" s="168"/>
      <c r="N31" s="728"/>
      <c r="O31" s="168"/>
      <c r="P31" s="168"/>
      <c r="Q31" s="168"/>
      <c r="R31" s="728"/>
      <c r="S31" s="168"/>
      <c r="T31" s="168"/>
      <c r="U31" s="168"/>
      <c r="V31" s="406"/>
    </row>
    <row r="32" spans="1:22">
      <c r="A32" s="219"/>
      <c r="B32" s="115"/>
      <c r="C32" s="115"/>
      <c r="D32" s="115"/>
      <c r="E32" s="115"/>
      <c r="F32" s="115"/>
      <c r="G32" s="668"/>
      <c r="H32" s="115">
        <v>21</v>
      </c>
      <c r="I32" s="168"/>
      <c r="J32" s="168"/>
      <c r="K32" s="115"/>
      <c r="L32" s="728"/>
      <c r="M32" s="168"/>
      <c r="N32" s="728"/>
      <c r="O32" s="168"/>
      <c r="P32" s="168"/>
      <c r="Q32" s="168"/>
      <c r="R32" s="728"/>
      <c r="S32" s="168"/>
      <c r="T32" s="168"/>
      <c r="U32" s="168"/>
      <c r="V32" s="406"/>
    </row>
    <row r="33" spans="1:35">
      <c r="A33" s="219"/>
      <c r="B33" s="115"/>
      <c r="C33" s="115"/>
      <c r="D33" s="115"/>
      <c r="E33" s="115"/>
      <c r="F33" s="115"/>
      <c r="G33" s="668"/>
      <c r="H33" s="115">
        <v>22</v>
      </c>
      <c r="I33" s="168"/>
      <c r="J33" s="168"/>
      <c r="K33" s="115"/>
      <c r="L33" s="728"/>
      <c r="M33" s="168"/>
      <c r="N33" s="728"/>
      <c r="O33" s="168"/>
      <c r="P33" s="168"/>
      <c r="Q33" s="168"/>
      <c r="R33" s="728"/>
      <c r="S33" s="168"/>
      <c r="T33" s="168"/>
      <c r="U33" s="168"/>
      <c r="V33" s="406"/>
    </row>
    <row r="34" spans="1:35">
      <c r="A34" s="219"/>
      <c r="B34" s="115"/>
      <c r="C34" s="115"/>
      <c r="D34" s="115"/>
      <c r="E34" s="115"/>
      <c r="F34" s="115"/>
      <c r="G34" s="668"/>
      <c r="H34" s="115">
        <v>23</v>
      </c>
      <c r="I34" s="168"/>
      <c r="J34" s="168"/>
      <c r="K34" s="115"/>
      <c r="L34" s="728"/>
      <c r="M34" s="168"/>
      <c r="N34" s="728"/>
      <c r="O34" s="168"/>
      <c r="P34" s="168"/>
      <c r="Q34" s="168"/>
      <c r="R34" s="728"/>
      <c r="S34" s="168"/>
      <c r="T34" s="168"/>
      <c r="U34" s="168"/>
      <c r="V34" s="406"/>
    </row>
    <row r="35" spans="1:35">
      <c r="A35" s="219"/>
      <c r="B35" s="115"/>
      <c r="C35" s="115"/>
      <c r="D35" s="115"/>
      <c r="E35" s="115"/>
      <c r="F35" s="115"/>
      <c r="G35" s="668"/>
      <c r="H35" s="115">
        <v>24</v>
      </c>
      <c r="I35" s="168"/>
      <c r="J35" s="168"/>
      <c r="K35" s="115"/>
      <c r="L35" s="728"/>
      <c r="M35" s="168"/>
      <c r="N35" s="728"/>
      <c r="O35" s="168"/>
      <c r="P35" s="168"/>
      <c r="Q35" s="168"/>
      <c r="R35" s="728"/>
      <c r="S35" s="168"/>
      <c r="T35" s="168"/>
      <c r="U35" s="168"/>
      <c r="V35" s="406"/>
    </row>
    <row r="36" spans="1:35">
      <c r="A36" s="219"/>
      <c r="B36" s="115"/>
      <c r="C36" s="115"/>
      <c r="D36" s="115"/>
      <c r="E36" s="115"/>
      <c r="F36" s="115"/>
      <c r="G36" s="668"/>
      <c r="H36" s="115">
        <v>25</v>
      </c>
      <c r="I36" s="168"/>
      <c r="J36" s="168"/>
      <c r="K36" s="115"/>
      <c r="L36" s="728"/>
      <c r="M36" s="168"/>
      <c r="N36" s="728"/>
      <c r="O36" s="168"/>
      <c r="P36" s="168"/>
      <c r="Q36" s="168"/>
      <c r="R36" s="728"/>
      <c r="S36" s="168"/>
      <c r="T36" s="168"/>
      <c r="U36" s="168"/>
      <c r="V36" s="406"/>
    </row>
    <row r="37" spans="1:35" ht="16.2" customHeight="1">
      <c r="A37" s="219"/>
      <c r="B37" s="115"/>
      <c r="C37" s="115"/>
      <c r="D37" s="115"/>
      <c r="E37" s="115"/>
      <c r="F37" s="115"/>
      <c r="G37" s="668"/>
      <c r="H37" s="115">
        <v>26</v>
      </c>
      <c r="I37" s="168"/>
      <c r="J37" s="168"/>
      <c r="K37" s="115"/>
      <c r="L37" s="728"/>
      <c r="M37" s="168"/>
      <c r="N37" s="728"/>
      <c r="O37" s="168"/>
      <c r="P37" s="168"/>
      <c r="Q37" s="168"/>
      <c r="R37" s="728"/>
      <c r="S37" s="168"/>
      <c r="T37" s="168"/>
      <c r="U37" s="168"/>
      <c r="V37" s="406"/>
      <c r="Z37" s="407"/>
      <c r="AA37" s="19"/>
      <c r="AB37" s="19"/>
      <c r="AC37" s="19"/>
      <c r="AD37" s="19"/>
      <c r="AE37" s="19"/>
      <c r="AF37" s="20"/>
      <c r="AG37" s="20"/>
      <c r="AH37" s="19"/>
      <c r="AI37" s="20"/>
    </row>
    <row r="38" spans="1:35" s="317" customFormat="1" ht="24.6" customHeight="1">
      <c r="A38" s="410"/>
      <c r="B38" s="115"/>
      <c r="C38" s="115"/>
      <c r="D38" s="115"/>
      <c r="E38" s="115"/>
      <c r="F38" s="115"/>
      <c r="G38" s="668"/>
      <c r="H38" s="115">
        <v>27</v>
      </c>
      <c r="I38" s="168"/>
      <c r="J38" s="168"/>
      <c r="K38" s="115"/>
      <c r="L38" s="728"/>
      <c r="M38" s="168"/>
      <c r="N38" s="728"/>
      <c r="O38" s="168"/>
      <c r="P38" s="168"/>
      <c r="Q38" s="168"/>
      <c r="R38" s="728"/>
      <c r="S38" s="168"/>
      <c r="T38" s="168"/>
      <c r="U38" s="168"/>
      <c r="V38" s="406"/>
      <c r="Z38" s="245"/>
      <c r="AA38" s="245"/>
      <c r="AB38" s="245"/>
      <c r="AC38" s="245"/>
      <c r="AD38" s="245"/>
      <c r="AE38" s="245"/>
      <c r="AF38" s="8"/>
      <c r="AG38" s="8"/>
      <c r="AH38" s="245"/>
      <c r="AI38" s="8"/>
    </row>
    <row r="39" spans="1:35" s="318" customFormat="1" ht="17.399999999999999" customHeight="1">
      <c r="A39" s="417"/>
      <c r="B39" s="115"/>
      <c r="C39" s="115"/>
      <c r="D39" s="115"/>
      <c r="E39" s="115"/>
      <c r="F39" s="115"/>
      <c r="G39" s="668"/>
      <c r="H39" s="115">
        <v>28</v>
      </c>
      <c r="I39" s="168"/>
      <c r="J39" s="168"/>
      <c r="K39" s="115"/>
      <c r="L39" s="728"/>
      <c r="M39" s="168"/>
      <c r="N39" s="728"/>
      <c r="O39" s="168"/>
      <c r="P39" s="168"/>
      <c r="Q39" s="168"/>
      <c r="R39" s="728"/>
      <c r="S39" s="168"/>
      <c r="T39" s="168"/>
      <c r="U39" s="168"/>
      <c r="V39" s="406"/>
      <c r="Z39" s="8"/>
      <c r="AA39" s="8"/>
      <c r="AB39" s="8"/>
      <c r="AC39" s="8"/>
      <c r="AD39" s="8"/>
      <c r="AE39" s="8"/>
      <c r="AF39" s="20"/>
      <c r="AG39" s="20"/>
      <c r="AH39" s="8"/>
      <c r="AI39" s="20"/>
    </row>
    <row r="40" spans="1:35">
      <c r="A40" s="219"/>
      <c r="B40" s="115"/>
      <c r="C40" s="115"/>
      <c r="D40" s="115"/>
      <c r="E40" s="115"/>
      <c r="F40" s="115"/>
      <c r="G40" s="668"/>
      <c r="H40" s="115">
        <v>29</v>
      </c>
      <c r="I40" s="168"/>
      <c r="J40" s="168"/>
      <c r="K40" s="115"/>
      <c r="L40" s="728"/>
      <c r="M40" s="168"/>
      <c r="N40" s="728"/>
      <c r="O40" s="168"/>
      <c r="P40" s="168"/>
      <c r="Q40" s="168"/>
      <c r="R40" s="728"/>
      <c r="S40" s="168"/>
      <c r="T40" s="168"/>
      <c r="U40" s="168"/>
      <c r="V40" s="406"/>
      <c r="Z40" s="19"/>
      <c r="AA40" s="19"/>
      <c r="AB40" s="19"/>
      <c r="AC40" s="420"/>
      <c r="AD40" s="19"/>
      <c r="AE40" s="19"/>
      <c r="AF40" s="20"/>
      <c r="AG40" s="20"/>
      <c r="AH40" s="19"/>
      <c r="AI40" s="20"/>
    </row>
    <row r="41" spans="1:35">
      <c r="A41" s="219"/>
      <c r="B41" s="115"/>
      <c r="C41" s="115"/>
      <c r="D41" s="115"/>
      <c r="E41" s="115"/>
      <c r="F41" s="115"/>
      <c r="G41" s="668"/>
      <c r="H41" s="115">
        <v>30</v>
      </c>
      <c r="I41" s="168"/>
      <c r="J41" s="168"/>
      <c r="K41" s="115"/>
      <c r="L41" s="728"/>
      <c r="M41" s="168"/>
      <c r="N41" s="728"/>
      <c r="O41" s="168"/>
      <c r="P41" s="168"/>
      <c r="Q41" s="168"/>
      <c r="R41" s="728"/>
      <c r="S41" s="168"/>
      <c r="T41" s="168"/>
      <c r="U41" s="168"/>
      <c r="V41" s="406"/>
      <c r="Z41" s="19"/>
      <c r="AA41" s="19"/>
      <c r="AB41" s="19"/>
      <c r="AC41" s="420"/>
      <c r="AD41" s="19"/>
      <c r="AE41" s="19"/>
      <c r="AF41" s="20"/>
      <c r="AG41" s="20"/>
      <c r="AH41" s="19"/>
      <c r="AI41" s="20"/>
    </row>
    <row r="42" spans="1:35">
      <c r="A42" s="219"/>
      <c r="B42" s="115"/>
      <c r="C42" s="115"/>
      <c r="D42" s="115"/>
      <c r="E42" s="115"/>
      <c r="F42" s="115"/>
      <c r="G42" s="668"/>
      <c r="H42" s="115">
        <v>31</v>
      </c>
      <c r="I42" s="168"/>
      <c r="J42" s="168"/>
      <c r="K42" s="115"/>
      <c r="L42" s="728"/>
      <c r="M42" s="168"/>
      <c r="N42" s="728"/>
      <c r="O42" s="168"/>
      <c r="P42" s="168"/>
      <c r="Q42" s="168"/>
      <c r="R42" s="728"/>
      <c r="S42" s="168"/>
      <c r="T42" s="168"/>
      <c r="U42" s="168"/>
      <c r="V42" s="406"/>
      <c r="Z42" s="19"/>
      <c r="AA42" s="19"/>
      <c r="AB42" s="19"/>
      <c r="AC42" s="420"/>
      <c r="AD42" s="19"/>
      <c r="AE42" s="19"/>
      <c r="AF42" s="20"/>
      <c r="AG42" s="20"/>
      <c r="AH42" s="19"/>
      <c r="AI42" s="20"/>
    </row>
    <row r="43" spans="1:35">
      <c r="A43" s="219"/>
      <c r="B43" s="115"/>
      <c r="C43" s="115"/>
      <c r="D43" s="115"/>
      <c r="E43" s="115"/>
      <c r="F43" s="115"/>
      <c r="G43" s="668"/>
      <c r="H43" s="115">
        <v>32</v>
      </c>
      <c r="I43" s="168"/>
      <c r="J43" s="168"/>
      <c r="K43" s="115"/>
      <c r="L43" s="728"/>
      <c r="M43" s="168"/>
      <c r="N43" s="728"/>
      <c r="O43" s="168"/>
      <c r="P43" s="168"/>
      <c r="Q43" s="168"/>
      <c r="R43" s="728"/>
      <c r="S43" s="168"/>
      <c r="T43" s="168"/>
      <c r="U43" s="168"/>
      <c r="V43" s="406"/>
      <c r="Z43" s="19"/>
      <c r="AA43" s="19"/>
      <c r="AB43" s="19"/>
      <c r="AC43" s="420"/>
      <c r="AD43" s="19"/>
      <c r="AE43" s="19"/>
      <c r="AF43" s="20"/>
      <c r="AG43" s="20"/>
      <c r="AH43" s="19"/>
      <c r="AI43" s="20"/>
    </row>
    <row r="44" spans="1:35">
      <c r="A44" s="219"/>
      <c r="B44" s="115"/>
      <c r="C44" s="115"/>
      <c r="D44" s="115"/>
      <c r="E44" s="115"/>
      <c r="F44" s="115"/>
      <c r="G44" s="668"/>
      <c r="H44" s="115">
        <v>33</v>
      </c>
      <c r="I44" s="168"/>
      <c r="J44" s="168"/>
      <c r="K44" s="115"/>
      <c r="L44" s="728"/>
      <c r="M44" s="168"/>
      <c r="N44" s="728"/>
      <c r="O44" s="168"/>
      <c r="P44" s="168"/>
      <c r="Q44" s="168"/>
      <c r="R44" s="728"/>
      <c r="S44" s="168"/>
      <c r="T44" s="168"/>
      <c r="U44" s="168"/>
      <c r="V44" s="406"/>
      <c r="Z44" s="19"/>
      <c r="AA44" s="19"/>
      <c r="AB44" s="19"/>
      <c r="AC44" s="420"/>
      <c r="AD44" s="19"/>
      <c r="AE44" s="19"/>
      <c r="AF44" s="20"/>
      <c r="AG44" s="20"/>
      <c r="AH44" s="19"/>
      <c r="AI44" s="20"/>
    </row>
    <row r="45" spans="1:35">
      <c r="A45" s="219"/>
      <c r="B45" s="115"/>
      <c r="C45" s="115"/>
      <c r="D45" s="115"/>
      <c r="E45" s="115"/>
      <c r="F45" s="115"/>
      <c r="G45" s="668"/>
      <c r="H45" s="115">
        <v>34</v>
      </c>
      <c r="I45" s="168"/>
      <c r="J45" s="168"/>
      <c r="K45" s="115"/>
      <c r="L45" s="728"/>
      <c r="M45" s="168"/>
      <c r="N45" s="728"/>
      <c r="O45" s="168"/>
      <c r="P45" s="168"/>
      <c r="Q45" s="168"/>
      <c r="R45" s="728"/>
      <c r="S45" s="168"/>
      <c r="T45" s="168"/>
      <c r="U45" s="168"/>
      <c r="V45" s="406"/>
      <c r="Z45" s="19"/>
      <c r="AA45" s="19"/>
      <c r="AB45" s="19"/>
      <c r="AC45" s="420"/>
      <c r="AD45" s="19"/>
      <c r="AE45" s="19"/>
      <c r="AF45" s="20"/>
      <c r="AG45" s="20"/>
      <c r="AH45" s="19"/>
      <c r="AI45" s="20"/>
    </row>
    <row r="46" spans="1:35">
      <c r="A46" s="219"/>
      <c r="B46" s="115"/>
      <c r="C46" s="115"/>
      <c r="D46" s="115"/>
      <c r="E46" s="115"/>
      <c r="F46" s="115"/>
      <c r="G46" s="668"/>
      <c r="H46" s="115">
        <v>35</v>
      </c>
      <c r="I46" s="168"/>
      <c r="J46" s="168"/>
      <c r="K46" s="115"/>
      <c r="L46" s="728"/>
      <c r="M46" s="168"/>
      <c r="N46" s="728"/>
      <c r="O46" s="168"/>
      <c r="P46" s="168"/>
      <c r="Q46" s="168"/>
      <c r="R46" s="728"/>
      <c r="S46" s="168"/>
      <c r="T46" s="168"/>
      <c r="U46" s="168"/>
      <c r="V46" s="406"/>
      <c r="Z46" s="19"/>
      <c r="AA46" s="19"/>
      <c r="AB46" s="19"/>
      <c r="AC46" s="420"/>
      <c r="AD46" s="19"/>
      <c r="AE46" s="19"/>
      <c r="AF46" s="20"/>
      <c r="AG46" s="20"/>
      <c r="AH46" s="19"/>
      <c r="AI46" s="20"/>
    </row>
    <row r="47" spans="1:35">
      <c r="A47" s="219"/>
      <c r="B47" s="115"/>
      <c r="C47" s="115"/>
      <c r="D47" s="115"/>
      <c r="E47" s="115"/>
      <c r="F47" s="115"/>
      <c r="G47" s="668"/>
      <c r="H47" s="115">
        <v>36</v>
      </c>
      <c r="I47" s="168"/>
      <c r="J47" s="168"/>
      <c r="K47" s="115"/>
      <c r="L47" s="728"/>
      <c r="M47" s="168"/>
      <c r="N47" s="728"/>
      <c r="O47" s="168"/>
      <c r="P47" s="168"/>
      <c r="Q47" s="168"/>
      <c r="R47" s="728"/>
      <c r="S47" s="168"/>
      <c r="T47" s="168"/>
      <c r="U47" s="168"/>
      <c r="V47" s="406"/>
      <c r="Z47" s="19"/>
      <c r="AA47" s="19"/>
      <c r="AB47" s="19"/>
      <c r="AC47" s="420"/>
      <c r="AD47" s="19"/>
      <c r="AE47" s="19"/>
      <c r="AF47" s="20"/>
      <c r="AG47" s="20"/>
      <c r="AH47" s="19"/>
      <c r="AI47" s="20"/>
    </row>
    <row r="48" spans="1:35">
      <c r="A48" s="219"/>
      <c r="B48" s="115"/>
      <c r="C48" s="115"/>
      <c r="D48" s="115"/>
      <c r="E48" s="115"/>
      <c r="F48" s="115"/>
      <c r="G48" s="668"/>
      <c r="H48" s="115">
        <v>37</v>
      </c>
      <c r="I48" s="168"/>
      <c r="J48" s="168"/>
      <c r="K48" s="115"/>
      <c r="L48" s="728"/>
      <c r="M48" s="168"/>
      <c r="N48" s="728"/>
      <c r="O48" s="168"/>
      <c r="P48" s="168"/>
      <c r="Q48" s="168"/>
      <c r="R48" s="728"/>
      <c r="S48" s="168"/>
      <c r="T48" s="168"/>
      <c r="U48" s="168"/>
      <c r="V48" s="406"/>
      <c r="Z48" s="19"/>
      <c r="AA48" s="19"/>
      <c r="AB48" s="19"/>
      <c r="AC48" s="420"/>
      <c r="AD48" s="19"/>
      <c r="AE48" s="19"/>
      <c r="AF48" s="20"/>
      <c r="AG48" s="20"/>
      <c r="AH48" s="19"/>
      <c r="AI48" s="20"/>
    </row>
    <row r="49" spans="1:35">
      <c r="A49" s="219"/>
      <c r="B49" s="115"/>
      <c r="C49" s="115"/>
      <c r="D49" s="115"/>
      <c r="E49" s="115"/>
      <c r="F49" s="115"/>
      <c r="G49" s="668"/>
      <c r="H49" s="115">
        <v>38</v>
      </c>
      <c r="I49" s="168"/>
      <c r="J49" s="168"/>
      <c r="K49" s="115"/>
      <c r="L49" s="728"/>
      <c r="M49" s="168"/>
      <c r="N49" s="728"/>
      <c r="O49" s="168"/>
      <c r="P49" s="168"/>
      <c r="Q49" s="168"/>
      <c r="R49" s="728"/>
      <c r="S49" s="168"/>
      <c r="T49" s="168"/>
      <c r="U49" s="168"/>
      <c r="V49" s="406"/>
      <c r="Z49" s="19"/>
      <c r="AA49" s="19"/>
      <c r="AB49" s="19"/>
      <c r="AC49" s="420"/>
      <c r="AD49" s="19"/>
      <c r="AE49" s="19"/>
      <c r="AF49" s="20"/>
      <c r="AG49" s="20"/>
      <c r="AH49" s="19"/>
      <c r="AI49" s="20"/>
    </row>
    <row r="50" spans="1:35">
      <c r="A50" s="219"/>
      <c r="B50" s="115"/>
      <c r="C50" s="115"/>
      <c r="D50" s="115"/>
      <c r="E50" s="115"/>
      <c r="F50" s="115"/>
      <c r="G50" s="668"/>
      <c r="H50" s="115">
        <v>39</v>
      </c>
      <c r="I50" s="168"/>
      <c r="J50" s="168"/>
      <c r="K50" s="115"/>
      <c r="L50" s="728"/>
      <c r="M50" s="168"/>
      <c r="N50" s="728"/>
      <c r="O50" s="168"/>
      <c r="P50" s="168"/>
      <c r="Q50" s="168"/>
      <c r="R50" s="728"/>
      <c r="S50" s="168"/>
      <c r="T50" s="168"/>
      <c r="U50" s="168"/>
      <c r="V50" s="406"/>
      <c r="Z50" s="20"/>
      <c r="AA50" s="20"/>
      <c r="AB50" s="20"/>
      <c r="AC50" s="20"/>
      <c r="AD50" s="20"/>
      <c r="AE50" s="20"/>
      <c r="AF50" s="20"/>
      <c r="AG50" s="20"/>
      <c r="AH50" s="20"/>
      <c r="AI50" s="20"/>
    </row>
    <row r="51" spans="1:35">
      <c r="A51" s="219"/>
      <c r="B51" s="115"/>
      <c r="C51" s="115"/>
      <c r="D51" s="115"/>
      <c r="E51" s="115"/>
      <c r="F51" s="115"/>
      <c r="G51" s="668"/>
      <c r="H51" s="115">
        <v>40</v>
      </c>
      <c r="I51" s="168"/>
      <c r="J51" s="168"/>
      <c r="K51" s="115"/>
      <c r="L51" s="728"/>
      <c r="M51" s="168"/>
      <c r="N51" s="728"/>
      <c r="O51" s="168"/>
      <c r="P51" s="168"/>
      <c r="Q51" s="168"/>
      <c r="R51" s="728"/>
      <c r="S51" s="168"/>
      <c r="T51" s="168"/>
      <c r="U51" s="168"/>
      <c r="V51" s="406"/>
      <c r="Z51" s="20"/>
      <c r="AA51" s="20"/>
      <c r="AB51" s="20"/>
      <c r="AC51" s="20"/>
      <c r="AD51" s="20"/>
      <c r="AE51" s="20"/>
      <c r="AF51" s="20"/>
      <c r="AG51" s="20"/>
      <c r="AH51" s="20"/>
      <c r="AI51" s="20"/>
    </row>
    <row r="52" spans="1:35">
      <c r="A52" s="219"/>
      <c r="B52" s="115"/>
      <c r="C52" s="115"/>
      <c r="D52" s="115"/>
      <c r="E52" s="115"/>
      <c r="F52" s="115"/>
      <c r="G52" s="668"/>
      <c r="H52" s="115">
        <v>41</v>
      </c>
      <c r="I52" s="168"/>
      <c r="J52" s="168"/>
      <c r="K52" s="115"/>
      <c r="L52" s="728"/>
      <c r="M52" s="168"/>
      <c r="N52" s="728"/>
      <c r="O52" s="168"/>
      <c r="P52" s="168"/>
      <c r="Q52" s="168"/>
      <c r="R52" s="728"/>
      <c r="S52" s="168"/>
      <c r="T52" s="168"/>
      <c r="U52" s="168"/>
      <c r="V52" s="406"/>
      <c r="Z52" s="20"/>
      <c r="AA52" s="20"/>
      <c r="AB52" s="20"/>
      <c r="AC52" s="20"/>
      <c r="AD52" s="20"/>
      <c r="AE52" s="20"/>
      <c r="AF52" s="20"/>
      <c r="AG52" s="20"/>
      <c r="AH52" s="20"/>
      <c r="AI52" s="20"/>
    </row>
    <row r="53" spans="1:35">
      <c r="A53" s="219"/>
      <c r="B53" s="115"/>
      <c r="C53" s="115"/>
      <c r="D53" s="115"/>
      <c r="E53" s="115"/>
      <c r="F53" s="115"/>
      <c r="G53" s="668"/>
      <c r="H53" s="115">
        <v>42</v>
      </c>
      <c r="I53" s="168"/>
      <c r="J53" s="168"/>
      <c r="K53" s="115"/>
      <c r="L53" s="728"/>
      <c r="M53" s="168"/>
      <c r="N53" s="728"/>
      <c r="O53" s="168"/>
      <c r="P53" s="168"/>
      <c r="Q53" s="168"/>
      <c r="R53" s="728"/>
      <c r="S53" s="168"/>
      <c r="T53" s="168"/>
      <c r="U53" s="168"/>
      <c r="V53" s="406"/>
      <c r="Z53" s="20"/>
      <c r="AA53" s="20"/>
      <c r="AB53" s="20"/>
      <c r="AC53" s="20"/>
      <c r="AD53" s="20"/>
      <c r="AE53" s="20"/>
      <c r="AF53" s="20"/>
      <c r="AG53" s="20"/>
      <c r="AH53" s="20"/>
      <c r="AI53" s="20"/>
    </row>
    <row r="54" spans="1:35">
      <c r="A54" s="219"/>
      <c r="B54" s="115"/>
      <c r="C54" s="115"/>
      <c r="D54" s="115"/>
      <c r="E54" s="115"/>
      <c r="F54" s="115"/>
      <c r="G54" s="668"/>
      <c r="H54" s="115">
        <v>43</v>
      </c>
      <c r="I54" s="168"/>
      <c r="J54" s="168"/>
      <c r="K54" s="115"/>
      <c r="L54" s="728"/>
      <c r="M54" s="168"/>
      <c r="N54" s="728"/>
      <c r="O54" s="168"/>
      <c r="P54" s="168"/>
      <c r="Q54" s="168"/>
      <c r="R54" s="728"/>
      <c r="S54" s="168"/>
      <c r="T54" s="168"/>
      <c r="U54" s="168"/>
      <c r="V54" s="406"/>
      <c r="Z54" s="20"/>
      <c r="AA54" s="20"/>
      <c r="AB54" s="20"/>
      <c r="AC54" s="20"/>
      <c r="AD54" s="20"/>
      <c r="AE54" s="20"/>
      <c r="AF54" s="20"/>
      <c r="AG54" s="20"/>
      <c r="AH54" s="20"/>
      <c r="AI54" s="20"/>
    </row>
    <row r="55" spans="1:35">
      <c r="A55" s="219"/>
      <c r="B55" s="115"/>
      <c r="C55" s="115"/>
      <c r="D55" s="115"/>
      <c r="E55" s="115"/>
      <c r="F55" s="115"/>
      <c r="G55" s="668"/>
      <c r="H55" s="115">
        <v>44</v>
      </c>
      <c r="I55" s="168"/>
      <c r="J55" s="168"/>
      <c r="K55" s="115"/>
      <c r="L55" s="728"/>
      <c r="M55" s="168"/>
      <c r="N55" s="728"/>
      <c r="O55" s="168"/>
      <c r="P55" s="168"/>
      <c r="Q55" s="168"/>
      <c r="R55" s="728"/>
      <c r="S55" s="168"/>
      <c r="T55" s="168"/>
      <c r="U55" s="168"/>
      <c r="V55" s="406"/>
    </row>
    <row r="56" spans="1:35">
      <c r="A56" s="219"/>
      <c r="B56" s="115"/>
      <c r="C56" s="115"/>
      <c r="D56" s="115"/>
      <c r="E56" s="115"/>
      <c r="F56" s="115"/>
      <c r="G56" s="668"/>
      <c r="H56" s="115">
        <v>45</v>
      </c>
      <c r="I56" s="168"/>
      <c r="J56" s="168"/>
      <c r="K56" s="115"/>
      <c r="L56" s="728"/>
      <c r="M56" s="168"/>
      <c r="N56" s="728"/>
      <c r="O56" s="168"/>
      <c r="P56" s="168"/>
      <c r="Q56" s="168"/>
      <c r="R56" s="728"/>
      <c r="S56" s="168"/>
      <c r="T56" s="168"/>
      <c r="U56" s="168"/>
      <c r="V56" s="406"/>
    </row>
    <row r="57" spans="1:35">
      <c r="A57" s="219"/>
      <c r="B57" s="115"/>
      <c r="C57" s="115"/>
      <c r="D57" s="115"/>
      <c r="E57" s="115"/>
      <c r="F57" s="115"/>
      <c r="G57" s="668"/>
      <c r="H57" s="115">
        <v>46</v>
      </c>
      <c r="I57" s="168"/>
      <c r="J57" s="168"/>
      <c r="K57" s="115"/>
      <c r="L57" s="728"/>
      <c r="M57" s="168"/>
      <c r="N57" s="728"/>
      <c r="O57" s="168"/>
      <c r="P57" s="168"/>
      <c r="Q57" s="168"/>
      <c r="R57" s="728"/>
      <c r="S57" s="168"/>
      <c r="T57" s="168"/>
      <c r="U57" s="168"/>
      <c r="V57" s="406"/>
    </row>
    <row r="58" spans="1:35">
      <c r="A58" s="219"/>
      <c r="B58" s="115"/>
      <c r="C58" s="115"/>
      <c r="D58" s="115"/>
      <c r="E58" s="115"/>
      <c r="F58" s="115"/>
      <c r="G58" s="668"/>
      <c r="H58" s="115">
        <v>47</v>
      </c>
      <c r="I58" s="168"/>
      <c r="J58" s="168"/>
      <c r="K58" s="115"/>
      <c r="L58" s="728"/>
      <c r="M58" s="168"/>
      <c r="N58" s="728"/>
      <c r="O58" s="168"/>
      <c r="P58" s="168"/>
      <c r="Q58" s="168"/>
      <c r="R58" s="728"/>
      <c r="S58" s="168"/>
      <c r="T58" s="168"/>
      <c r="U58" s="168"/>
      <c r="V58" s="406"/>
    </row>
    <row r="59" spans="1:35">
      <c r="A59" s="219"/>
      <c r="B59" s="115"/>
      <c r="C59" s="115"/>
      <c r="D59" s="115"/>
      <c r="E59" s="115"/>
      <c r="F59" s="115"/>
      <c r="G59" s="668"/>
      <c r="H59" s="115">
        <v>48</v>
      </c>
      <c r="I59" s="168"/>
      <c r="J59" s="168"/>
      <c r="K59" s="115"/>
      <c r="L59" s="728"/>
      <c r="M59" s="168"/>
      <c r="N59" s="728"/>
      <c r="O59" s="168"/>
      <c r="P59" s="168"/>
      <c r="Q59" s="168"/>
      <c r="R59" s="728"/>
      <c r="S59" s="168"/>
      <c r="T59" s="168"/>
      <c r="U59" s="168"/>
      <c r="V59" s="406"/>
    </row>
    <row r="60" spans="1:35">
      <c r="A60" s="219"/>
      <c r="B60" s="115"/>
      <c r="C60" s="115"/>
      <c r="D60" s="115"/>
      <c r="E60" s="115"/>
      <c r="F60" s="115"/>
      <c r="G60" s="668"/>
      <c r="H60" s="115">
        <v>49</v>
      </c>
      <c r="I60" s="168"/>
      <c r="J60" s="168"/>
      <c r="K60" s="115"/>
      <c r="L60" s="728"/>
      <c r="M60" s="168"/>
      <c r="N60" s="728"/>
      <c r="O60" s="168"/>
      <c r="P60" s="168"/>
      <c r="Q60" s="168"/>
      <c r="R60" s="728"/>
      <c r="S60" s="168"/>
      <c r="T60" s="168"/>
      <c r="U60" s="168"/>
      <c r="V60" s="406"/>
    </row>
    <row r="61" spans="1:35" ht="17.399999999999999" thickBot="1">
      <c r="A61" s="219"/>
      <c r="B61" s="115"/>
      <c r="C61" s="115"/>
      <c r="D61" s="115"/>
      <c r="E61" s="1400"/>
      <c r="F61" s="1400"/>
      <c r="G61" s="1405"/>
      <c r="H61" s="1400">
        <v>50</v>
      </c>
      <c r="I61" s="1406"/>
      <c r="J61" s="1406"/>
      <c r="K61" s="1400"/>
      <c r="L61" s="1407"/>
      <c r="M61" s="1406"/>
      <c r="N61" s="1407"/>
      <c r="O61" s="1406"/>
      <c r="P61" s="1406"/>
      <c r="Q61" s="1406"/>
      <c r="R61" s="1407"/>
      <c r="S61" s="1406"/>
      <c r="T61" s="1406"/>
      <c r="U61" s="1406"/>
      <c r="V61" s="1412"/>
    </row>
    <row r="62" spans="1:35" ht="27">
      <c r="B62" s="1411" t="s">
        <v>1154</v>
      </c>
      <c r="C62" s="1409"/>
      <c r="D62" s="1409"/>
      <c r="E62" s="19"/>
      <c r="F62" s="19"/>
      <c r="H62" s="19"/>
      <c r="I62" s="20"/>
      <c r="J62" s="20"/>
      <c r="K62" s="19"/>
      <c r="L62" s="1404"/>
      <c r="M62" s="267" t="s">
        <v>1155</v>
      </c>
      <c r="N62" s="19"/>
      <c r="O62" s="19"/>
      <c r="V62" s="219"/>
    </row>
    <row r="63" spans="1:35">
      <c r="A63" s="219"/>
      <c r="B63" s="1410" t="s">
        <v>263</v>
      </c>
      <c r="C63" s="1408"/>
      <c r="D63" s="1408"/>
      <c r="E63" s="402"/>
      <c r="F63" s="729"/>
      <c r="G63" s="411" t="s">
        <v>294</v>
      </c>
      <c r="H63" s="411"/>
      <c r="I63" s="731"/>
      <c r="J63" s="412" t="s">
        <v>265</v>
      </c>
      <c r="K63" s="412"/>
      <c r="L63" s="734"/>
      <c r="M63" s="404" t="s">
        <v>263</v>
      </c>
      <c r="N63" s="402"/>
      <c r="O63" s="402"/>
      <c r="P63" s="729"/>
      <c r="Q63" s="414" t="s">
        <v>294</v>
      </c>
      <c r="R63" s="415"/>
      <c r="S63" s="736"/>
      <c r="T63" s="416" t="s">
        <v>265</v>
      </c>
      <c r="U63" s="380"/>
      <c r="V63" s="413"/>
    </row>
    <row r="64" spans="1:35" ht="50.4">
      <c r="A64" s="219"/>
      <c r="B64" s="177" t="s">
        <v>29</v>
      </c>
      <c r="C64" s="177" t="s">
        <v>1144</v>
      </c>
      <c r="D64" s="177" t="s">
        <v>443</v>
      </c>
      <c r="E64" s="177" t="s">
        <v>1156</v>
      </c>
      <c r="F64" s="713" t="s">
        <v>1157</v>
      </c>
      <c r="G64" s="418" t="s">
        <v>1016</v>
      </c>
      <c r="H64" s="418" t="s">
        <v>1158</v>
      </c>
      <c r="I64" s="732" t="s">
        <v>1159</v>
      </c>
      <c r="J64" s="168"/>
      <c r="K64" s="168"/>
      <c r="L64" s="728"/>
      <c r="M64" s="177" t="s">
        <v>29</v>
      </c>
      <c r="N64" s="177" t="s">
        <v>443</v>
      </c>
      <c r="O64" s="177" t="s">
        <v>1169</v>
      </c>
      <c r="P64" s="713" t="s">
        <v>1160</v>
      </c>
      <c r="Q64" s="418"/>
      <c r="R64" s="418"/>
      <c r="S64" s="732"/>
      <c r="T64" s="1771" t="s">
        <v>1161</v>
      </c>
      <c r="U64" s="1772" t="s">
        <v>532</v>
      </c>
      <c r="V64" s="419"/>
    </row>
    <row r="65" spans="1:22">
      <c r="A65" s="219"/>
      <c r="B65" s="18">
        <f>Heizflächen!C12</f>
        <v>0</v>
      </c>
      <c r="C65" s="18">
        <f>Heizflächen!H12</f>
        <v>1</v>
      </c>
      <c r="D65" s="18">
        <f>Heizflächen!D12</f>
        <v>0</v>
      </c>
      <c r="E65" s="244" cm="1">
        <f t="array" ref="E65">IF(Heizflächen!I12="Fußbodenheizung",_xlfn.XLOOKUP(C12&amp;D12&amp;H12,Tabelle14[Geschoss]&amp;Tabelle14[Raum]&amp;Tabelle14[Heizkörpernummer],Tabelle14[Q '[W']],0,0,1),_xlfn.XLOOKUP(C12&amp;D12&amp;H12,Tabelle3[Geschoss]&amp;Tabelle3[Raum]&amp;Tabelle3[Heizkörpernummer],Tabelle3[Heizleistung des Heizkörpers QBetrieb],0,0,1))</f>
        <v>0</v>
      </c>
      <c r="F65" s="332">
        <f>0.86*((E65)/((_xlfn.XLOOKUP($U$64,Tabelle5[Auswählbare Vor-und Rücklauftemperaturen],Tabelle5[Vorlauf],"",0,1))-_xlfn.XLOOKUP($U$64,Tabelle5[Auswählbare Vor-und Rücklauftemperaturen],Tabelle5[Rücklauf],"",0,1))/60)</f>
        <v>0</v>
      </c>
      <c r="G65" s="168"/>
      <c r="H65" s="180"/>
      <c r="I65" s="728"/>
      <c r="J65" s="168"/>
      <c r="K65" s="168"/>
      <c r="L65" s="728"/>
      <c r="M65" s="18">
        <f>Datenbank!FJ7</f>
        <v>0</v>
      </c>
      <c r="N65" s="18">
        <f>Datenbank!FK7</f>
        <v>0</v>
      </c>
      <c r="O65" s="1399" t="e" cm="1">
        <f t="array" ref="O65">(Allgemein!$C$125*1000*1.15)*((_xlfn.XLOOKUP(N65,Tabelle1[Raum],$E$12:$E$36,0,0,1))/(Datenbank!$FN$57))</f>
        <v>#DIV/0!</v>
      </c>
      <c r="P65" s="735">
        <f>SUMIFS(Tabelle3[Heizleistung des Heizkörpers QBetrieb],Tabelle3[Geschoss],M65,Tabelle3[Raum],N65)+SUMIFS(Tabelle14[Q '[W']],Tabelle14[Geschoss],M65,Tabelle14[Raum],N65)</f>
        <v>0</v>
      </c>
      <c r="Q65" s="418"/>
      <c r="R65" s="418"/>
      <c r="S65" s="732"/>
      <c r="T65" s="1771"/>
      <c r="U65" s="1772"/>
      <c r="V65" s="237"/>
    </row>
    <row r="66" spans="1:22">
      <c r="A66" s="219"/>
      <c r="B66" s="18">
        <f>Heizflächen!C13</f>
        <v>0</v>
      </c>
      <c r="C66" s="18">
        <f>Heizflächen!H13</f>
        <v>2</v>
      </c>
      <c r="D66" s="18">
        <f>Heizflächen!D13</f>
        <v>0</v>
      </c>
      <c r="E66" s="244" cm="1">
        <f t="array" ref="E66">IF(Heizflächen!I13="Fußbodenheizung",_xlfn.XLOOKUP(C13&amp;D13&amp;H13,Tabelle14[Geschoss]&amp;Tabelle14[Raum]&amp;Tabelle14[Heizkörpernummer],Tabelle14[Q '[W']],0,0,1),_xlfn.XLOOKUP(C13&amp;D13&amp;H13,Tabelle3[Geschoss]&amp;Tabelle3[Raum]&amp;Tabelle3[Heizkörpernummer],Tabelle3[Heizleistung des Heizkörpers QBetrieb],0,0,1))</f>
        <v>0</v>
      </c>
      <c r="F66" s="332">
        <f>0.86*((E66)/((_xlfn.XLOOKUP($U$64,Tabelle5[Auswählbare Vor-und Rücklauftemperaturen],Tabelle5[Vorlauf],"",0,1))-_xlfn.XLOOKUP($U$64,Tabelle5[Auswählbare Vor-und Rücklauftemperaturen],Tabelle5[Rücklauf],"",0,1))/60)</f>
        <v>0</v>
      </c>
      <c r="G66" s="168"/>
      <c r="H66" s="180"/>
      <c r="I66" s="728"/>
      <c r="J66" s="168"/>
      <c r="K66" s="168"/>
      <c r="L66" s="728"/>
      <c r="M66" s="18">
        <f>Datenbank!FJ8</f>
        <v>0</v>
      </c>
      <c r="N66" s="18">
        <f>Datenbank!FK8</f>
        <v>0</v>
      </c>
      <c r="O66" s="1399" t="e" cm="1">
        <f t="array" ref="O66">(Allgemein!$C$125*1000*1.15)*((_xlfn.XLOOKUP(N66,Tabelle1[Raum],$E$12:$E$36,0,0,1))/(Datenbank!$FN$57))</f>
        <v>#DIV/0!</v>
      </c>
      <c r="P66" s="735">
        <f>SUMIFS(Tabelle3[Heizleistung des Heizkörpers QBetrieb],Tabelle3[Geschoss],M66,Tabelle3[Raum],N66)+SUMIFS(Tabelle14[Q '[W']],Tabelle14[Geschoss],M66,Tabelle14[Raum],N66)</f>
        <v>0</v>
      </c>
      <c r="Q66" s="418"/>
      <c r="R66" s="418"/>
      <c r="S66" s="732"/>
      <c r="T66" s="1771"/>
      <c r="U66" s="1772"/>
      <c r="V66" s="237"/>
    </row>
    <row r="67" spans="1:22">
      <c r="A67" s="219"/>
      <c r="B67" s="18">
        <f>Heizflächen!C14</f>
        <v>0</v>
      </c>
      <c r="C67" s="18">
        <f>Heizflächen!H14</f>
        <v>3</v>
      </c>
      <c r="D67" s="18">
        <f>Heizflächen!D14</f>
        <v>0</v>
      </c>
      <c r="E67" s="244" cm="1">
        <f t="array" ref="E67">IF(Heizflächen!I14="Fußbodenheizung",_xlfn.XLOOKUP(C14&amp;D14&amp;H14,Tabelle14[Geschoss]&amp;Tabelle14[Raum]&amp;Tabelle14[Heizkörpernummer],Tabelle14[Q '[W']],0,0,1),_xlfn.XLOOKUP(C14&amp;D14&amp;H14,Tabelle3[Geschoss]&amp;Tabelle3[Raum]&amp;Tabelle3[Heizkörpernummer],Tabelle3[Heizleistung des Heizkörpers QBetrieb],0,0,1))</f>
        <v>0</v>
      </c>
      <c r="F67" s="332">
        <f>0.86*((E67)/((_xlfn.XLOOKUP($U$64,Tabelle5[Auswählbare Vor-und Rücklauftemperaturen],Tabelle5[Vorlauf],"",0,1))-_xlfn.XLOOKUP($U$64,Tabelle5[Auswählbare Vor-und Rücklauftemperaturen],Tabelle5[Rücklauf],"",0,1))/60)</f>
        <v>0</v>
      </c>
      <c r="G67" s="168"/>
      <c r="H67" s="180"/>
      <c r="I67" s="728"/>
      <c r="J67" s="168"/>
      <c r="K67" s="168"/>
      <c r="L67" s="728"/>
      <c r="M67" s="18">
        <f>Datenbank!FJ9</f>
        <v>0</v>
      </c>
      <c r="N67" s="18">
        <f>Datenbank!FK9</f>
        <v>0</v>
      </c>
      <c r="O67" s="1399" t="e" cm="1">
        <f t="array" ref="O67">(Allgemein!$C$125*1000*1.15)*((_xlfn.XLOOKUP(N67,Tabelle1[Raum],$E$12:$E$36,0,0,1))/(Datenbank!$FN$57))</f>
        <v>#DIV/0!</v>
      </c>
      <c r="P67" s="735">
        <f>SUMIFS(Tabelle3[Heizleistung des Heizkörpers QBetrieb],Tabelle3[Geschoss],M67,Tabelle3[Raum],N67)+SUMIFS(Tabelle14[Q '[W']],Tabelle14[Geschoss],M67,Tabelle14[Raum],N67)</f>
        <v>0</v>
      </c>
      <c r="Q67" s="418"/>
      <c r="R67" s="418"/>
      <c r="S67" s="732"/>
      <c r="T67" s="180"/>
      <c r="U67" s="180"/>
      <c r="V67" s="237"/>
    </row>
    <row r="68" spans="1:22">
      <c r="A68" s="219"/>
      <c r="B68" s="18">
        <f>Heizflächen!C15</f>
        <v>0</v>
      </c>
      <c r="C68" s="18">
        <f>Heizflächen!H15</f>
        <v>4</v>
      </c>
      <c r="D68" s="18">
        <f>Heizflächen!D15</f>
        <v>0</v>
      </c>
      <c r="E68" s="244" cm="1">
        <f t="array" ref="E68">IF(Heizflächen!I15="Fußbodenheizung",_xlfn.XLOOKUP(C15&amp;D15&amp;H15,Tabelle14[Geschoss]&amp;Tabelle14[Raum]&amp;Tabelle14[Heizkörpernummer],Tabelle14[Q '[W']],0,0,1),_xlfn.XLOOKUP(C15&amp;D15&amp;H15,Tabelle3[Geschoss]&amp;Tabelle3[Raum]&amp;Tabelle3[Heizkörpernummer],Tabelle3[Heizleistung des Heizkörpers QBetrieb],0,0,1))</f>
        <v>0</v>
      </c>
      <c r="F68" s="332">
        <f>0.86*((E68)/((_xlfn.XLOOKUP($U$64,Tabelle5[Auswählbare Vor-und Rücklauftemperaturen],Tabelle5[Vorlauf],"",0,1))-_xlfn.XLOOKUP($U$64,Tabelle5[Auswählbare Vor-und Rücklauftemperaturen],Tabelle5[Rücklauf],"",0,1))/60)</f>
        <v>0</v>
      </c>
      <c r="G68" s="168"/>
      <c r="H68" s="180"/>
      <c r="I68" s="728"/>
      <c r="J68" s="168"/>
      <c r="K68" s="168"/>
      <c r="L68" s="728"/>
      <c r="M68" s="18">
        <f>Datenbank!FJ10</f>
        <v>0</v>
      </c>
      <c r="N68" s="18">
        <f>Datenbank!FK10</f>
        <v>0</v>
      </c>
      <c r="O68" s="1399" t="e" cm="1">
        <f t="array" ref="O68">(Allgemein!$C$125*1000*1.15)*((_xlfn.XLOOKUP(N68,Tabelle1[Raum],$E$12:$E$36,0,0,1))/(Datenbank!$FN$57))</f>
        <v>#DIV/0!</v>
      </c>
      <c r="P68" s="735">
        <f>SUMIFS(Tabelle3[Heizleistung des Heizkörpers QBetrieb],Tabelle3[Geschoss],M68,Tabelle3[Raum],N68)+SUMIFS(Tabelle14[Q '[W']],Tabelle14[Geschoss],M68,Tabelle14[Raum],N68)</f>
        <v>0</v>
      </c>
      <c r="Q68" s="418"/>
      <c r="R68" s="418"/>
      <c r="S68" s="732"/>
      <c r="T68" s="180"/>
      <c r="U68" s="180"/>
      <c r="V68" s="237"/>
    </row>
    <row r="69" spans="1:22">
      <c r="A69" s="219"/>
      <c r="B69" s="18">
        <f>Heizflächen!C16</f>
        <v>0</v>
      </c>
      <c r="C69" s="18">
        <f>Heizflächen!H16</f>
        <v>5</v>
      </c>
      <c r="D69" s="18">
        <f>Heizflächen!D16</f>
        <v>0</v>
      </c>
      <c r="E69" s="244" cm="1">
        <f t="array" ref="E69">IF(Heizflächen!I16="Fußbodenheizung",_xlfn.XLOOKUP(C16&amp;D16&amp;H16,Tabelle14[Geschoss]&amp;Tabelle14[Raum]&amp;Tabelle14[Heizkörpernummer],Tabelle14[Q '[W']],0,0,1),_xlfn.XLOOKUP(C16&amp;D16&amp;H16,Tabelle3[Geschoss]&amp;Tabelle3[Raum]&amp;Tabelle3[Heizkörpernummer],Tabelle3[Heizleistung des Heizkörpers QBetrieb],0,0,1))</f>
        <v>0</v>
      </c>
      <c r="F69" s="332">
        <f>0.86*((E69)/((_xlfn.XLOOKUP($U$64,Tabelle5[Auswählbare Vor-und Rücklauftemperaturen],Tabelle5[Vorlauf],"",0,1))-_xlfn.XLOOKUP($U$64,Tabelle5[Auswählbare Vor-und Rücklauftemperaturen],Tabelle5[Rücklauf],"",0,1))/60)</f>
        <v>0</v>
      </c>
      <c r="G69" s="168"/>
      <c r="H69" s="180"/>
      <c r="I69" s="728"/>
      <c r="J69" s="168"/>
      <c r="K69" s="168"/>
      <c r="L69" s="728"/>
      <c r="M69" s="18">
        <f>Datenbank!FJ11</f>
        <v>0</v>
      </c>
      <c r="N69" s="18">
        <f>Datenbank!FK11</f>
        <v>0</v>
      </c>
      <c r="O69" s="1399" t="e" cm="1">
        <f t="array" ref="O69">(Allgemein!$C$125*1000*1.15)*((_xlfn.XLOOKUP(N69,Tabelle1[Raum],$E$12:$E$36,0,0,1))/(Datenbank!$FN$57))</f>
        <v>#DIV/0!</v>
      </c>
      <c r="P69" s="735">
        <f>SUMIFS(Tabelle3[Heizleistung des Heizkörpers QBetrieb],Tabelle3[Geschoss],M69,Tabelle3[Raum],N69)+SUMIFS(Tabelle14[Q '[W']],Tabelle14[Geschoss],M69,Tabelle14[Raum],N69)</f>
        <v>0</v>
      </c>
      <c r="Q69" s="418"/>
      <c r="R69" s="418"/>
      <c r="S69" s="732"/>
      <c r="T69" s="180"/>
      <c r="U69" s="180"/>
      <c r="V69" s="237"/>
    </row>
    <row r="70" spans="1:22">
      <c r="A70" s="219"/>
      <c r="B70" s="18">
        <f>Heizflächen!C17</f>
        <v>0</v>
      </c>
      <c r="C70" s="18">
        <f>Heizflächen!H17</f>
        <v>6</v>
      </c>
      <c r="D70" s="18">
        <f>Heizflächen!D17</f>
        <v>0</v>
      </c>
      <c r="E70" s="244" cm="1">
        <f t="array" ref="E70">IF(Heizflächen!I17="Fußbodenheizung",_xlfn.XLOOKUP(C17&amp;D17&amp;H17,Tabelle14[Geschoss]&amp;Tabelle14[Raum]&amp;Tabelle14[Heizkörpernummer],Tabelle14[Q '[W']],0,0,1),_xlfn.XLOOKUP(C17&amp;D17&amp;H17,Tabelle3[Geschoss]&amp;Tabelle3[Raum]&amp;Tabelle3[Heizkörpernummer],Tabelle3[Heizleistung des Heizkörpers QBetrieb],0,0,1))</f>
        <v>0</v>
      </c>
      <c r="F70" s="332">
        <f>0.86*((E70)/((_xlfn.XLOOKUP($U$64,Tabelle5[Auswählbare Vor-und Rücklauftemperaturen],Tabelle5[Vorlauf],"",0,1))-_xlfn.XLOOKUP($U$64,Tabelle5[Auswählbare Vor-und Rücklauftemperaturen],Tabelle5[Rücklauf],"",0,1))/60)</f>
        <v>0</v>
      </c>
      <c r="G70" s="168"/>
      <c r="H70" s="180"/>
      <c r="I70" s="728"/>
      <c r="J70" s="168"/>
      <c r="K70" s="168"/>
      <c r="L70" s="728"/>
      <c r="M70" s="18">
        <f>Datenbank!FJ12</f>
        <v>0</v>
      </c>
      <c r="N70" s="18">
        <f>Datenbank!FK12</f>
        <v>0</v>
      </c>
      <c r="O70" s="1399" t="e" cm="1">
        <f t="array" ref="O70">(Allgemein!$C$125*1000*1.15)*((_xlfn.XLOOKUP(N70,Tabelle1[Raum],$E$12:$E$36,0,0,1))/(Datenbank!$FN$57))</f>
        <v>#DIV/0!</v>
      </c>
      <c r="P70" s="735">
        <f>SUMIFS(Tabelle3[Heizleistung des Heizkörpers QBetrieb],Tabelle3[Geschoss],M70,Tabelle3[Raum],N70)+SUMIFS(Tabelle14[Q '[W']],Tabelle14[Geschoss],M70,Tabelle14[Raum],N70)</f>
        <v>0</v>
      </c>
      <c r="Q70" s="418"/>
      <c r="R70" s="418"/>
      <c r="S70" s="732"/>
      <c r="T70" s="180"/>
      <c r="U70" s="180"/>
      <c r="V70" s="237"/>
    </row>
    <row r="71" spans="1:22">
      <c r="A71" s="219"/>
      <c r="B71" s="18">
        <f>Heizflächen!C18</f>
        <v>0</v>
      </c>
      <c r="C71" s="18">
        <f>Heizflächen!H18</f>
        <v>7</v>
      </c>
      <c r="D71" s="18">
        <f>Heizflächen!D18</f>
        <v>0</v>
      </c>
      <c r="E71" s="244" cm="1">
        <f t="array" ref="E71">IF(Heizflächen!I18="Fußbodenheizung",_xlfn.XLOOKUP(C18&amp;D18&amp;H18,Tabelle14[Geschoss]&amp;Tabelle14[Raum]&amp;Tabelle14[Heizkörpernummer],Tabelle14[Q '[W']],0,0,1),_xlfn.XLOOKUP(C18&amp;D18&amp;H18,Tabelle3[Geschoss]&amp;Tabelle3[Raum]&amp;Tabelle3[Heizkörpernummer],Tabelle3[Heizleistung des Heizkörpers QBetrieb],0,0,1))</f>
        <v>0</v>
      </c>
      <c r="F71" s="332">
        <f>0.86*((E71)/((_xlfn.XLOOKUP($U$64,Tabelle5[Auswählbare Vor-und Rücklauftemperaturen],Tabelle5[Vorlauf],"",0,1))-_xlfn.XLOOKUP($U$64,Tabelle5[Auswählbare Vor-und Rücklauftemperaturen],Tabelle5[Rücklauf],"",0,1))/60)</f>
        <v>0</v>
      </c>
      <c r="G71" s="168"/>
      <c r="H71" s="180"/>
      <c r="I71" s="728"/>
      <c r="J71" s="168"/>
      <c r="K71" s="168"/>
      <c r="L71" s="728"/>
      <c r="M71" s="18">
        <f>Datenbank!FJ13</f>
        <v>0</v>
      </c>
      <c r="N71" s="18">
        <f>Datenbank!FK13</f>
        <v>0</v>
      </c>
      <c r="O71" s="1399" t="e" cm="1">
        <f t="array" ref="O71">(Allgemein!$C$125*1000*1.15)*((_xlfn.XLOOKUP(N71,Tabelle1[Raum],$E$12:$E$36,0,0,1))/(Datenbank!$FN$57))</f>
        <v>#DIV/0!</v>
      </c>
      <c r="P71" s="735">
        <f>SUMIFS(Tabelle3[Heizleistung des Heizkörpers QBetrieb],Tabelle3[Geschoss],M71,Tabelle3[Raum],N71)+SUMIFS(Tabelle14[Q '[W']],Tabelle14[Geschoss],M71,Tabelle14[Raum],N71)</f>
        <v>0</v>
      </c>
      <c r="Q71" s="418"/>
      <c r="R71" s="418"/>
      <c r="S71" s="732"/>
      <c r="T71" s="180"/>
      <c r="U71" s="180"/>
      <c r="V71" s="237"/>
    </row>
    <row r="72" spans="1:22">
      <c r="A72" s="219"/>
      <c r="B72" s="18">
        <f>Heizflächen!C19</f>
        <v>0</v>
      </c>
      <c r="C72" s="18">
        <f>Heizflächen!H19</f>
        <v>8</v>
      </c>
      <c r="D72" s="18">
        <f>Heizflächen!D19</f>
        <v>0</v>
      </c>
      <c r="E72" s="244" cm="1">
        <f t="array" ref="E72">IF(Heizflächen!I19="Fußbodenheizung",_xlfn.XLOOKUP(C19&amp;D19&amp;H19,Tabelle14[Geschoss]&amp;Tabelle14[Raum]&amp;Tabelle14[Heizkörpernummer],Tabelle14[Q '[W']],0,0,1),_xlfn.XLOOKUP(C19&amp;D19&amp;H19,Tabelle3[Geschoss]&amp;Tabelle3[Raum]&amp;Tabelle3[Heizkörpernummer],Tabelle3[Heizleistung des Heizkörpers QBetrieb],0,0,1))</f>
        <v>0</v>
      </c>
      <c r="F72" s="332">
        <f>0.86*((E72)/((_xlfn.XLOOKUP($U$64,Tabelle5[Auswählbare Vor-und Rücklauftemperaturen],Tabelle5[Vorlauf],"",0,1))-_xlfn.XLOOKUP($U$64,Tabelle5[Auswählbare Vor-und Rücklauftemperaturen],Tabelle5[Rücklauf],"",0,1))/60)</f>
        <v>0</v>
      </c>
      <c r="G72" s="168"/>
      <c r="H72" s="180"/>
      <c r="I72" s="728"/>
      <c r="J72" s="168"/>
      <c r="K72" s="168"/>
      <c r="L72" s="728"/>
      <c r="M72" s="18">
        <f>Datenbank!FJ14</f>
        <v>0</v>
      </c>
      <c r="N72" s="18">
        <f>Datenbank!FK14</f>
        <v>0</v>
      </c>
      <c r="O72" s="1399" t="e" cm="1">
        <f t="array" ref="O72">(Allgemein!$C$125*1000*1.15)*((_xlfn.XLOOKUP(N72,Tabelle1[Raum],$E$12:$E$36,0,0,1))/(Datenbank!$FN$57))</f>
        <v>#DIV/0!</v>
      </c>
      <c r="P72" s="735">
        <f>SUMIFS(Tabelle3[Heizleistung des Heizkörpers QBetrieb],Tabelle3[Geschoss],M72,Tabelle3[Raum],N72)+SUMIFS(Tabelle14[Q '[W']],Tabelle14[Geschoss],M72,Tabelle14[Raum],N72)</f>
        <v>0</v>
      </c>
      <c r="Q72" s="418"/>
      <c r="R72" s="418"/>
      <c r="S72" s="732"/>
      <c r="T72" s="180"/>
      <c r="U72" s="180"/>
      <c r="V72" s="237"/>
    </row>
    <row r="73" spans="1:22">
      <c r="A73" s="219"/>
      <c r="B73" s="18">
        <f>Heizflächen!C20</f>
        <v>0</v>
      </c>
      <c r="C73" s="18">
        <f>Heizflächen!H20</f>
        <v>9</v>
      </c>
      <c r="D73" s="18">
        <f>Heizflächen!D20</f>
        <v>0</v>
      </c>
      <c r="E73" s="244" cm="1">
        <f t="array" ref="E73">IF(Heizflächen!I20="Fußbodenheizung",_xlfn.XLOOKUP(C20&amp;D20&amp;H20,Tabelle14[Geschoss]&amp;Tabelle14[Raum]&amp;Tabelle14[Heizkörpernummer],Tabelle14[Q '[W']],0,0,1),_xlfn.XLOOKUP(C20&amp;D20&amp;H20,Tabelle3[Geschoss]&amp;Tabelle3[Raum]&amp;Tabelle3[Heizkörpernummer],Tabelle3[Heizleistung des Heizkörpers QBetrieb],0,0,1))</f>
        <v>0</v>
      </c>
      <c r="F73" s="332">
        <f>0.86*((E73)/((_xlfn.XLOOKUP($U$64,Tabelle5[Auswählbare Vor-und Rücklauftemperaturen],Tabelle5[Vorlauf],"",0,1))-_xlfn.XLOOKUP($U$64,Tabelle5[Auswählbare Vor-und Rücklauftemperaturen],Tabelle5[Rücklauf],"",0,1))/60)</f>
        <v>0</v>
      </c>
      <c r="G73" s="168"/>
      <c r="H73" s="180"/>
      <c r="I73" s="728"/>
      <c r="J73" s="168"/>
      <c r="K73" s="168"/>
      <c r="L73" s="728"/>
      <c r="M73" s="18">
        <f>Datenbank!FJ15</f>
        <v>0</v>
      </c>
      <c r="N73" s="18">
        <f>Datenbank!FK15</f>
        <v>0</v>
      </c>
      <c r="O73" s="1399" t="e" cm="1">
        <f t="array" ref="O73">(Allgemein!$C$125*1000*1.15)*((_xlfn.XLOOKUP(N73,Tabelle1[Raum],$E$12:$E$36,0,0,1))/(Datenbank!$FN$57))</f>
        <v>#DIV/0!</v>
      </c>
      <c r="P73" s="735">
        <f>SUMIFS(Tabelle3[Heizleistung des Heizkörpers QBetrieb],Tabelle3[Geschoss],M73,Tabelle3[Raum],N73)+SUMIFS(Tabelle14[Q '[W']],Tabelle14[Geschoss],M73,Tabelle14[Raum],N73)</f>
        <v>0</v>
      </c>
      <c r="Q73" s="418"/>
      <c r="R73" s="418"/>
      <c r="S73" s="732"/>
      <c r="T73" s="180"/>
      <c r="U73" s="180"/>
      <c r="V73" s="237"/>
    </row>
    <row r="74" spans="1:22">
      <c r="A74" s="219"/>
      <c r="B74" s="18">
        <f>Heizflächen!C21</f>
        <v>0</v>
      </c>
      <c r="C74" s="18">
        <f>Heizflächen!H21</f>
        <v>10</v>
      </c>
      <c r="D74" s="18">
        <f>Heizflächen!D21</f>
        <v>0</v>
      </c>
      <c r="E74" s="244" cm="1">
        <f t="array" ref="E74">IF(Heizflächen!I21="Fußbodenheizung",_xlfn.XLOOKUP(C21&amp;D21&amp;H21,Tabelle14[Geschoss]&amp;Tabelle14[Raum]&amp;Tabelle14[Heizkörpernummer],Tabelle14[Q '[W']],0,0,1),_xlfn.XLOOKUP(C21&amp;D21&amp;H21,Tabelle3[Geschoss]&amp;Tabelle3[Raum]&amp;Tabelle3[Heizkörpernummer],Tabelle3[Heizleistung des Heizkörpers QBetrieb],0,0,1))</f>
        <v>0</v>
      </c>
      <c r="F74" s="332">
        <f>0.86*((E74)/((_xlfn.XLOOKUP($U$64,Tabelle5[Auswählbare Vor-und Rücklauftemperaturen],Tabelle5[Vorlauf],"",0,1))-_xlfn.XLOOKUP($U$64,Tabelle5[Auswählbare Vor-und Rücklauftemperaturen],Tabelle5[Rücklauf],"",0,1))/60)</f>
        <v>0</v>
      </c>
      <c r="G74" s="168"/>
      <c r="H74" s="180"/>
      <c r="I74" s="728"/>
      <c r="J74" s="168"/>
      <c r="K74" s="168"/>
      <c r="L74" s="728"/>
      <c r="M74" s="18">
        <f>Datenbank!FJ16</f>
        <v>0</v>
      </c>
      <c r="N74" s="18">
        <f>Datenbank!FK16</f>
        <v>0</v>
      </c>
      <c r="O74" s="1399" t="e" cm="1">
        <f t="array" ref="O74">(Allgemein!$C$125*1000*1.15)*((_xlfn.XLOOKUP(N74,Tabelle1[Raum],$E$12:$E$36,0,0,1))/(Datenbank!$FN$57))</f>
        <v>#DIV/0!</v>
      </c>
      <c r="P74" s="735">
        <f>SUMIFS(Tabelle3[Heizleistung des Heizkörpers QBetrieb],Tabelle3[Geschoss],M74,Tabelle3[Raum],N74)+SUMIFS(Tabelle14[Q '[W']],Tabelle14[Geschoss],M74,Tabelle14[Raum],N74)</f>
        <v>0</v>
      </c>
      <c r="Q74" s="418"/>
      <c r="R74" s="418"/>
      <c r="S74" s="732"/>
      <c r="T74" s="180"/>
      <c r="U74" s="180"/>
      <c r="V74" s="237"/>
    </row>
    <row r="75" spans="1:22">
      <c r="A75" s="219"/>
      <c r="B75" s="18">
        <f>Heizflächen!C22</f>
        <v>0</v>
      </c>
      <c r="C75" s="18">
        <f>Heizflächen!H22</f>
        <v>11</v>
      </c>
      <c r="D75" s="18">
        <f>Heizflächen!D22</f>
        <v>0</v>
      </c>
      <c r="E75" s="244" cm="1">
        <f t="array" ref="E75">IF(Heizflächen!I22="Fußbodenheizung",_xlfn.XLOOKUP(C22&amp;D22&amp;H22,Tabelle14[Geschoss]&amp;Tabelle14[Raum]&amp;Tabelle14[Heizkörpernummer],Tabelle14[Q '[W']],0,0,1),_xlfn.XLOOKUP(C22&amp;D22&amp;H22,Tabelle3[Geschoss]&amp;Tabelle3[Raum]&amp;Tabelle3[Heizkörpernummer],Tabelle3[Heizleistung des Heizkörpers QBetrieb],0,0,1))</f>
        <v>0</v>
      </c>
      <c r="F75" s="332">
        <f>0.86*((E75)/((_xlfn.XLOOKUP($U$64,Tabelle5[Auswählbare Vor-und Rücklauftemperaturen],Tabelle5[Vorlauf],"",0,1))-_xlfn.XLOOKUP($U$64,Tabelle5[Auswählbare Vor-und Rücklauftemperaturen],Tabelle5[Rücklauf],"",0,1))/60)</f>
        <v>0</v>
      </c>
      <c r="G75" s="168"/>
      <c r="H75" s="180"/>
      <c r="I75" s="728"/>
      <c r="J75" s="168"/>
      <c r="K75" s="168"/>
      <c r="L75" s="728"/>
      <c r="M75" s="18">
        <f>Datenbank!FJ17</f>
        <v>0</v>
      </c>
      <c r="N75" s="18">
        <f>Datenbank!FK17</f>
        <v>0</v>
      </c>
      <c r="O75" s="1399" t="e" cm="1">
        <f t="array" ref="O75">(Allgemein!$C$125*1000*1.15)*((_xlfn.XLOOKUP(N75,Tabelle1[Raum],$E$12:$E$36,0,0,1))/(Datenbank!$FN$57))</f>
        <v>#DIV/0!</v>
      </c>
      <c r="P75" s="735">
        <f>SUMIFS(Tabelle3[Heizleistung des Heizkörpers QBetrieb],Tabelle3[Geschoss],M75,Tabelle3[Raum],N75)+SUMIFS(Tabelle14[Q '[W']],Tabelle14[Geschoss],M75,Tabelle14[Raum],N75)</f>
        <v>0</v>
      </c>
      <c r="Q75" s="418"/>
      <c r="R75" s="418"/>
      <c r="S75" s="732"/>
      <c r="T75" s="180"/>
      <c r="U75" s="180"/>
      <c r="V75" s="237"/>
    </row>
    <row r="76" spans="1:22">
      <c r="A76" s="219"/>
      <c r="B76" s="18">
        <f>Heizflächen!C23</f>
        <v>0</v>
      </c>
      <c r="C76" s="18">
        <f>Heizflächen!H23</f>
        <v>12</v>
      </c>
      <c r="D76" s="18">
        <f>Heizflächen!D23</f>
        <v>0</v>
      </c>
      <c r="E76" s="244" cm="1">
        <f t="array" ref="E76">IF(Heizflächen!I23="Fußbodenheizung",_xlfn.XLOOKUP(C23&amp;D23&amp;H23,Tabelle14[Geschoss]&amp;Tabelle14[Raum]&amp;Tabelle14[Heizkörpernummer],Tabelle14[Q '[W']],0,0,1),_xlfn.XLOOKUP(C23&amp;D23&amp;H23,Tabelle3[Geschoss]&amp;Tabelle3[Raum]&amp;Tabelle3[Heizkörpernummer],Tabelle3[Heizleistung des Heizkörpers QBetrieb],0,0,1))</f>
        <v>0</v>
      </c>
      <c r="F76" s="332">
        <f>0.86*((E76)/((_xlfn.XLOOKUP($U$64,Tabelle5[Auswählbare Vor-und Rücklauftemperaturen],Tabelle5[Vorlauf],"",0,1))-_xlfn.XLOOKUP($U$64,Tabelle5[Auswählbare Vor-und Rücklauftemperaturen],Tabelle5[Rücklauf],"",0,1))/60)</f>
        <v>0</v>
      </c>
      <c r="G76" s="168"/>
      <c r="H76" s="180"/>
      <c r="I76" s="728"/>
      <c r="J76" s="168"/>
      <c r="K76" s="168"/>
      <c r="L76" s="728"/>
      <c r="M76" s="18">
        <f>Datenbank!FJ18</f>
        <v>0</v>
      </c>
      <c r="N76" s="18">
        <f>Datenbank!FK18</f>
        <v>0</v>
      </c>
      <c r="O76" s="1399" t="e" cm="1">
        <f t="array" ref="O76">(Allgemein!$C$125*1000*1.15)*((_xlfn.XLOOKUP(N76,Tabelle1[Raum],$E$12:$E$36,0,0,1))/(Datenbank!$FN$57))</f>
        <v>#DIV/0!</v>
      </c>
      <c r="P76" s="735">
        <f>SUMIFS(Tabelle3[Heizleistung des Heizkörpers QBetrieb],Tabelle3[Geschoss],M76,Tabelle3[Raum],N76)+SUMIFS(Tabelle14[Q '[W']],Tabelle14[Geschoss],M76,Tabelle14[Raum],N76)</f>
        <v>0</v>
      </c>
      <c r="Q76" s="418"/>
      <c r="R76" s="418"/>
      <c r="S76" s="732"/>
      <c r="T76" s="180"/>
      <c r="U76" s="180"/>
      <c r="V76" s="237"/>
    </row>
    <row r="77" spans="1:22">
      <c r="A77" s="219"/>
      <c r="B77" s="18">
        <f>Heizflächen!C24</f>
        <v>0</v>
      </c>
      <c r="C77" s="18">
        <f>Heizflächen!H24</f>
        <v>13</v>
      </c>
      <c r="D77" s="18">
        <f>Heizflächen!D24</f>
        <v>0</v>
      </c>
      <c r="E77" s="244" cm="1">
        <f t="array" ref="E77">IF(Heizflächen!I24="Fußbodenheizung",_xlfn.XLOOKUP(C24&amp;D24&amp;H24,Tabelle14[Geschoss]&amp;Tabelle14[Raum]&amp;Tabelle14[Heizkörpernummer],Tabelle14[Q '[W']],0,0,1),_xlfn.XLOOKUP(C24&amp;D24&amp;H24,Tabelle3[Geschoss]&amp;Tabelle3[Raum]&amp;Tabelle3[Heizkörpernummer],Tabelle3[Heizleistung des Heizkörpers QBetrieb],0,0,1))</f>
        <v>0</v>
      </c>
      <c r="F77" s="332">
        <f>0.86*((E77)/((_xlfn.XLOOKUP($U$64,Tabelle5[Auswählbare Vor-und Rücklauftemperaturen],Tabelle5[Vorlauf],"",0,1))-_xlfn.XLOOKUP($U$64,Tabelle5[Auswählbare Vor-und Rücklauftemperaturen],Tabelle5[Rücklauf],"",0,1))/60)</f>
        <v>0</v>
      </c>
      <c r="G77" s="168"/>
      <c r="H77" s="180"/>
      <c r="I77" s="728"/>
      <c r="J77" s="168"/>
      <c r="K77" s="168"/>
      <c r="L77" s="728"/>
      <c r="M77" s="18">
        <f>Datenbank!FJ19</f>
        <v>0</v>
      </c>
      <c r="N77" s="18">
        <f>Datenbank!FK19</f>
        <v>0</v>
      </c>
      <c r="O77" s="1399" t="e" cm="1">
        <f t="array" ref="O77">(Allgemein!$C$125*1000*1.15)*((_xlfn.XLOOKUP(N77,Tabelle1[Raum],$E$12:$E$36,0,0,1))/(Datenbank!$FN$57))</f>
        <v>#DIV/0!</v>
      </c>
      <c r="P77" s="735">
        <f>SUMIFS(Tabelle3[Heizleistung des Heizkörpers QBetrieb],Tabelle3[Geschoss],M77,Tabelle3[Raum],N77)+SUMIFS(Tabelle14[Q '[W']],Tabelle14[Geschoss],M77,Tabelle14[Raum],N77)</f>
        <v>0</v>
      </c>
      <c r="Q77" s="418"/>
      <c r="R77" s="418"/>
      <c r="S77" s="732"/>
      <c r="T77" s="180"/>
      <c r="U77" s="180"/>
      <c r="V77" s="237"/>
    </row>
    <row r="78" spans="1:22">
      <c r="A78" s="219"/>
      <c r="B78" s="18">
        <f>Heizflächen!C25</f>
        <v>0</v>
      </c>
      <c r="C78" s="18">
        <f>Heizflächen!H25</f>
        <v>14</v>
      </c>
      <c r="D78" s="18">
        <f>Heizflächen!D25</f>
        <v>0</v>
      </c>
      <c r="E78" s="244" cm="1">
        <f t="array" ref="E78">IF(Heizflächen!I25="Fußbodenheizung",_xlfn.XLOOKUP(C25&amp;D25&amp;H25,Tabelle14[Geschoss]&amp;Tabelle14[Raum]&amp;Tabelle14[Heizkörpernummer],Tabelle14[Q '[W']],0,0,1),_xlfn.XLOOKUP(C25&amp;D25&amp;H25,Tabelle3[Geschoss]&amp;Tabelle3[Raum]&amp;Tabelle3[Heizkörpernummer],Tabelle3[Heizleistung des Heizkörpers QBetrieb],0,0,1))</f>
        <v>0</v>
      </c>
      <c r="F78" s="332">
        <f>0.86*((E78)/((_xlfn.XLOOKUP($U$64,Tabelle5[Auswählbare Vor-und Rücklauftemperaturen],Tabelle5[Vorlauf],"",0,1))-_xlfn.XLOOKUP($U$64,Tabelle5[Auswählbare Vor-und Rücklauftemperaturen],Tabelle5[Rücklauf],"",0,1))/60)</f>
        <v>0</v>
      </c>
      <c r="G78" s="168"/>
      <c r="H78" s="180"/>
      <c r="I78" s="728"/>
      <c r="J78" s="168"/>
      <c r="K78" s="168"/>
      <c r="L78" s="728"/>
      <c r="M78" s="18">
        <f>Datenbank!FJ20</f>
        <v>0</v>
      </c>
      <c r="N78" s="18">
        <f>Datenbank!FK20</f>
        <v>0</v>
      </c>
      <c r="O78" s="1399" t="e" cm="1">
        <f t="array" ref="O78">(Allgemein!$C$125*1000*1.15)*((_xlfn.XLOOKUP(N78,Tabelle1[Raum],$E$12:$E$36,0,0,1))/(Datenbank!$FN$57))</f>
        <v>#DIV/0!</v>
      </c>
      <c r="P78" s="735">
        <f>SUMIFS(Tabelle3[Heizleistung des Heizkörpers QBetrieb],Tabelle3[Geschoss],M78,Tabelle3[Raum],N78)+SUMIFS(Tabelle14[Q '[W']],Tabelle14[Geschoss],M78,Tabelle14[Raum],N78)</f>
        <v>0</v>
      </c>
      <c r="Q78" s="418"/>
      <c r="R78" s="418"/>
      <c r="S78" s="732"/>
      <c r="T78" s="180"/>
      <c r="U78" s="180"/>
      <c r="V78" s="237"/>
    </row>
    <row r="79" spans="1:22">
      <c r="A79" s="219"/>
      <c r="B79" s="18">
        <f>Heizflächen!C26</f>
        <v>0</v>
      </c>
      <c r="C79" s="18">
        <f>Heizflächen!H26</f>
        <v>15</v>
      </c>
      <c r="D79" s="18">
        <f>Heizflächen!D26</f>
        <v>0</v>
      </c>
      <c r="E79" s="244" cm="1">
        <f t="array" ref="E79">IF(Heizflächen!I26="Fußbodenheizung",_xlfn.XLOOKUP(C26&amp;D26&amp;H26,Tabelle14[Geschoss]&amp;Tabelle14[Raum]&amp;Tabelle14[Heizkörpernummer],Tabelle14[Q '[W']],0,0,1),_xlfn.XLOOKUP(C26&amp;D26&amp;H26,Tabelle3[Geschoss]&amp;Tabelle3[Raum]&amp;Tabelle3[Heizkörpernummer],Tabelle3[Heizleistung des Heizkörpers QBetrieb],0,0,1))</f>
        <v>0</v>
      </c>
      <c r="F79" s="332">
        <f>0.86*((E79)/((_xlfn.XLOOKUP($U$64,Tabelle5[Auswählbare Vor-und Rücklauftemperaturen],Tabelle5[Vorlauf],"",0,1))-_xlfn.XLOOKUP($U$64,Tabelle5[Auswählbare Vor-und Rücklauftemperaturen],Tabelle5[Rücklauf],"",0,1))/60)</f>
        <v>0</v>
      </c>
      <c r="G79" s="168"/>
      <c r="H79" s="180"/>
      <c r="I79" s="728"/>
      <c r="J79" s="168"/>
      <c r="K79" s="168"/>
      <c r="L79" s="728"/>
      <c r="M79" s="18">
        <f>Datenbank!FJ21</f>
        <v>0</v>
      </c>
      <c r="N79" s="18">
        <f>Datenbank!FK21</f>
        <v>0</v>
      </c>
      <c r="O79" s="1399" t="e" cm="1">
        <f t="array" ref="O79">(Allgemein!$C$125*1000*1.15)*((_xlfn.XLOOKUP(N79,Tabelle1[Raum],$E$12:$E$36,0,0,1))/(Datenbank!$FN$57))</f>
        <v>#DIV/0!</v>
      </c>
      <c r="P79" s="735">
        <f>SUMIFS(Tabelle3[Heizleistung des Heizkörpers QBetrieb],Tabelle3[Geschoss],M79,Tabelle3[Raum],N79)+SUMIFS(Tabelle14[Q '[W']],Tabelle14[Geschoss],M79,Tabelle14[Raum],N79)</f>
        <v>0</v>
      </c>
      <c r="Q79" s="418"/>
      <c r="R79" s="418"/>
      <c r="S79" s="732"/>
      <c r="T79" s="180"/>
      <c r="U79" s="180"/>
      <c r="V79" s="237"/>
    </row>
    <row r="80" spans="1:22">
      <c r="A80" s="219"/>
      <c r="B80" s="18">
        <f>Heizflächen!C27</f>
        <v>0</v>
      </c>
      <c r="C80" s="18">
        <f>Heizflächen!H27</f>
        <v>16</v>
      </c>
      <c r="D80" s="18">
        <f>Heizflächen!D27</f>
        <v>0</v>
      </c>
      <c r="E80" s="244" cm="1">
        <f t="array" ref="E80">IF(Heizflächen!I27="Fußbodenheizung",_xlfn.XLOOKUP(C27&amp;D27&amp;H27,Tabelle14[Geschoss]&amp;Tabelle14[Raum]&amp;Tabelle14[Heizkörpernummer],Tabelle14[Q '[W']],0,0,1),_xlfn.XLOOKUP(C27&amp;D27&amp;H27,Tabelle3[Geschoss]&amp;Tabelle3[Raum]&amp;Tabelle3[Heizkörpernummer],Tabelle3[Heizleistung des Heizkörpers QBetrieb],0,0,1))</f>
        <v>0</v>
      </c>
      <c r="F80" s="332">
        <f>0.86*((E80)/((_xlfn.XLOOKUP($U$64,Tabelle5[Auswählbare Vor-und Rücklauftemperaturen],Tabelle5[Vorlauf],"",0,1))-_xlfn.XLOOKUP($U$64,Tabelle5[Auswählbare Vor-und Rücklauftemperaturen],Tabelle5[Rücklauf],"",0,1))/60)</f>
        <v>0</v>
      </c>
      <c r="G80" s="168"/>
      <c r="H80" s="180"/>
      <c r="I80" s="728"/>
      <c r="J80" s="168"/>
      <c r="K80" s="168"/>
      <c r="L80" s="728"/>
      <c r="M80" s="18">
        <f>Datenbank!FJ22</f>
        <v>0</v>
      </c>
      <c r="N80" s="18">
        <f>Datenbank!FK22</f>
        <v>0</v>
      </c>
      <c r="O80" s="1399" t="e" cm="1">
        <f t="array" ref="O80">(Allgemein!$C$125*1000*1.15)*((_xlfn.XLOOKUP(N80,Tabelle1[Raum],$E$12:$E$36,0,0,1))/(Datenbank!$FN$57))</f>
        <v>#DIV/0!</v>
      </c>
      <c r="P80" s="735">
        <f>SUMIFS(Tabelle3[Heizleistung des Heizkörpers QBetrieb],Tabelle3[Geschoss],M80,Tabelle3[Raum],N80)+SUMIFS(Tabelle14[Q '[W']],Tabelle14[Geschoss],M80,Tabelle14[Raum],N80)</f>
        <v>0</v>
      </c>
      <c r="Q80" s="418"/>
      <c r="R80" s="418"/>
      <c r="S80" s="732"/>
      <c r="T80" s="168"/>
      <c r="U80" s="168"/>
      <c r="V80" s="406"/>
    </row>
    <row r="81" spans="1:22">
      <c r="A81" s="219"/>
      <c r="B81" s="18">
        <f>Heizflächen!C28</f>
        <v>0</v>
      </c>
      <c r="C81" s="18">
        <f>Heizflächen!H28</f>
        <v>17</v>
      </c>
      <c r="D81" s="18">
        <f>Heizflächen!D28</f>
        <v>0</v>
      </c>
      <c r="E81" s="244" cm="1">
        <f t="array" ref="E81">IF(Heizflächen!I28="Fußbodenheizung",_xlfn.XLOOKUP(C28&amp;D28&amp;H28,Tabelle14[Geschoss]&amp;Tabelle14[Raum]&amp;Tabelle14[Heizkörpernummer],Tabelle14[Q '[W']],0,0,1),_xlfn.XLOOKUP(C28&amp;D28&amp;H28,Tabelle3[Geschoss]&amp;Tabelle3[Raum]&amp;Tabelle3[Heizkörpernummer],Tabelle3[Heizleistung des Heizkörpers QBetrieb],0,0,1))</f>
        <v>0</v>
      </c>
      <c r="F81" s="332">
        <f>0.86*((E81)/((_xlfn.XLOOKUP($U$64,Tabelle5[Auswählbare Vor-und Rücklauftemperaturen],Tabelle5[Vorlauf],"",0,1))-_xlfn.XLOOKUP($U$64,Tabelle5[Auswählbare Vor-und Rücklauftemperaturen],Tabelle5[Rücklauf],"",0,1))/60)</f>
        <v>0</v>
      </c>
      <c r="G81" s="168"/>
      <c r="H81" s="180"/>
      <c r="I81" s="728"/>
      <c r="J81" s="168"/>
      <c r="K81" s="168"/>
      <c r="L81" s="728"/>
      <c r="M81" s="18">
        <f>Datenbank!FJ23</f>
        <v>0</v>
      </c>
      <c r="N81" s="18">
        <f>Datenbank!FK23</f>
        <v>0</v>
      </c>
      <c r="O81" s="1399" t="e" cm="1">
        <f t="array" ref="O81">(Allgemein!$C$125*1000*1.15)*((_xlfn.XLOOKUP(N81,Tabelle1[Raum],$E$12:$E$36,0,0,1))/(Datenbank!$FN$57))</f>
        <v>#DIV/0!</v>
      </c>
      <c r="P81" s="735">
        <f>SUMIFS(Tabelle3[Heizleistung des Heizkörpers QBetrieb],Tabelle3[Geschoss],M81,Tabelle3[Raum],N81)+SUMIFS(Tabelle14[Q '[W']],Tabelle14[Geschoss],M81,Tabelle14[Raum],N81)</f>
        <v>0</v>
      </c>
      <c r="Q81" s="418"/>
      <c r="R81" s="418"/>
      <c r="S81" s="732"/>
      <c r="T81" s="168"/>
      <c r="U81" s="168"/>
      <c r="V81" s="406"/>
    </row>
    <row r="82" spans="1:22">
      <c r="A82" s="219"/>
      <c r="B82" s="18">
        <f>Heizflächen!C29</f>
        <v>0</v>
      </c>
      <c r="C82" s="18">
        <f>Heizflächen!H29</f>
        <v>18</v>
      </c>
      <c r="D82" s="18">
        <f>Heizflächen!D29</f>
        <v>0</v>
      </c>
      <c r="E82" s="244" cm="1">
        <f t="array" ref="E82">IF(Heizflächen!I29="Fußbodenheizung",_xlfn.XLOOKUP(C29&amp;D29&amp;H29,Tabelle14[Geschoss]&amp;Tabelle14[Raum]&amp;Tabelle14[Heizkörpernummer],Tabelle14[Q '[W']],0,0,1),_xlfn.XLOOKUP(C29&amp;D29&amp;H29,Tabelle3[Geschoss]&amp;Tabelle3[Raum]&amp;Tabelle3[Heizkörpernummer],Tabelle3[Heizleistung des Heizkörpers QBetrieb],0,0,1))</f>
        <v>0</v>
      </c>
      <c r="F82" s="332">
        <f>0.86*((E82)/((_xlfn.XLOOKUP($U$64,Tabelle5[Auswählbare Vor-und Rücklauftemperaturen],Tabelle5[Vorlauf],"",0,1))-_xlfn.XLOOKUP($U$64,Tabelle5[Auswählbare Vor-und Rücklauftemperaturen],Tabelle5[Rücklauf],"",0,1))/60)</f>
        <v>0</v>
      </c>
      <c r="G82" s="168"/>
      <c r="H82" s="180"/>
      <c r="I82" s="728"/>
      <c r="J82" s="168"/>
      <c r="K82" s="168"/>
      <c r="L82" s="728"/>
      <c r="M82" s="18">
        <f>Datenbank!FJ24</f>
        <v>0</v>
      </c>
      <c r="N82" s="18">
        <f>Datenbank!FK24</f>
        <v>0</v>
      </c>
      <c r="O82" s="1399" t="e" cm="1">
        <f t="array" ref="O82">(Allgemein!$C$125*1000*1.15)*((_xlfn.XLOOKUP(N82,Tabelle1[Raum],$E$12:$E$36,0,0,1))/(Datenbank!$FN$57))</f>
        <v>#DIV/0!</v>
      </c>
      <c r="P82" s="735">
        <f>SUMIFS(Tabelle3[Heizleistung des Heizkörpers QBetrieb],Tabelle3[Geschoss],M82,Tabelle3[Raum],N82)+SUMIFS(Tabelle14[Q '[W']],Tabelle14[Geschoss],M82,Tabelle14[Raum],N82)</f>
        <v>0</v>
      </c>
      <c r="Q82" s="418"/>
      <c r="R82" s="418"/>
      <c r="S82" s="732"/>
      <c r="T82" s="168"/>
      <c r="U82" s="168"/>
      <c r="V82" s="406"/>
    </row>
    <row r="83" spans="1:22">
      <c r="A83" s="219"/>
      <c r="B83" s="18">
        <f>Heizflächen!C30</f>
        <v>0</v>
      </c>
      <c r="C83" s="18">
        <f>Heizflächen!H30</f>
        <v>19</v>
      </c>
      <c r="D83" s="18">
        <f>Heizflächen!D30</f>
        <v>0</v>
      </c>
      <c r="E83" s="244" cm="1">
        <f t="array" ref="E83">IF(Heizflächen!I30="Fußbodenheizung",_xlfn.XLOOKUP(C30&amp;D30&amp;H30,Tabelle14[Geschoss]&amp;Tabelle14[Raum]&amp;Tabelle14[Heizkörpernummer],Tabelle14[Q '[W']],0,0,1),_xlfn.XLOOKUP(C30&amp;D30&amp;H30,Tabelle3[Geschoss]&amp;Tabelle3[Raum]&amp;Tabelle3[Heizkörpernummer],Tabelle3[Heizleistung des Heizkörpers QBetrieb],0,0,1))</f>
        <v>0</v>
      </c>
      <c r="F83" s="332">
        <f>0.86*((E83)/((_xlfn.XLOOKUP($U$64,Tabelle5[Auswählbare Vor-und Rücklauftemperaturen],Tabelle5[Vorlauf],"",0,1))-_xlfn.XLOOKUP($U$64,Tabelle5[Auswählbare Vor-und Rücklauftemperaturen],Tabelle5[Rücklauf],"",0,1))/60)</f>
        <v>0</v>
      </c>
      <c r="G83" s="168"/>
      <c r="H83" s="180"/>
      <c r="I83" s="728"/>
      <c r="J83" s="168"/>
      <c r="K83" s="168"/>
      <c r="L83" s="728"/>
      <c r="M83" s="18">
        <f>Datenbank!FJ25</f>
        <v>0</v>
      </c>
      <c r="N83" s="18">
        <f>Datenbank!FK25</f>
        <v>0</v>
      </c>
      <c r="O83" s="1399" t="e" cm="1">
        <f t="array" ref="O83">(Allgemein!$C$125*1000*1.15)*((_xlfn.XLOOKUP(N83,Tabelle1[Raum],$E$12:$E$36,0,0,1))/(Datenbank!$FN$57))</f>
        <v>#DIV/0!</v>
      </c>
      <c r="P83" s="735">
        <f>SUMIFS(Tabelle3[Heizleistung des Heizkörpers QBetrieb],Tabelle3[Geschoss],M83,Tabelle3[Raum],N83)+SUMIFS(Tabelle14[Q '[W']],Tabelle14[Geschoss],M83,Tabelle14[Raum],N83)</f>
        <v>0</v>
      </c>
      <c r="Q83" s="418"/>
      <c r="R83" s="418"/>
      <c r="S83" s="732"/>
      <c r="T83" s="168"/>
      <c r="U83" s="168"/>
      <c r="V83" s="406"/>
    </row>
    <row r="84" spans="1:22">
      <c r="A84" s="219"/>
      <c r="B84" s="18">
        <f>Heizflächen!C31</f>
        <v>0</v>
      </c>
      <c r="C84" s="18">
        <f>Heizflächen!H31</f>
        <v>20</v>
      </c>
      <c r="D84" s="18">
        <f>Heizflächen!D31</f>
        <v>0</v>
      </c>
      <c r="E84" s="244" cm="1">
        <f t="array" ref="E84">IF(Heizflächen!I31="Fußbodenheizung",_xlfn.XLOOKUP(C31&amp;D31&amp;H31,Tabelle14[Geschoss]&amp;Tabelle14[Raum]&amp;Tabelle14[Heizkörpernummer],Tabelle14[Q '[W']],0,0,1),_xlfn.XLOOKUP(C31&amp;D31&amp;H31,Tabelle3[Geschoss]&amp;Tabelle3[Raum]&amp;Tabelle3[Heizkörpernummer],Tabelle3[Heizleistung des Heizkörpers QBetrieb],0,0,1))</f>
        <v>0</v>
      </c>
      <c r="F84" s="332">
        <f>0.86*((E84)/((_xlfn.XLOOKUP($U$64,Tabelle5[Auswählbare Vor-und Rücklauftemperaturen],Tabelle5[Vorlauf],"",0,1))-_xlfn.XLOOKUP($U$64,Tabelle5[Auswählbare Vor-und Rücklauftemperaturen],Tabelle5[Rücklauf],"",0,1))/60)</f>
        <v>0</v>
      </c>
      <c r="G84" s="168"/>
      <c r="H84" s="180"/>
      <c r="I84" s="728"/>
      <c r="J84" s="168"/>
      <c r="K84" s="168"/>
      <c r="L84" s="728"/>
      <c r="M84" s="18">
        <f>Datenbank!FJ26</f>
        <v>0</v>
      </c>
      <c r="N84" s="18">
        <f>Datenbank!FK26</f>
        <v>0</v>
      </c>
      <c r="O84" s="1399" t="e" cm="1">
        <f t="array" ref="O84">(Allgemein!$C$125*1000*1.15)*((_xlfn.XLOOKUP(N84,Tabelle1[Raum],$E$12:$E$36,0,0,1))/(Datenbank!$FN$57))</f>
        <v>#DIV/0!</v>
      </c>
      <c r="P84" s="735">
        <f>SUMIFS(Tabelle3[Heizleistung des Heizkörpers QBetrieb],Tabelle3[Geschoss],M84,Tabelle3[Raum],N84)+SUMIFS(Tabelle14[Q '[W']],Tabelle14[Geschoss],M84,Tabelle14[Raum],N84)</f>
        <v>0</v>
      </c>
      <c r="Q84" s="418"/>
      <c r="R84" s="418"/>
      <c r="S84" s="732"/>
      <c r="T84" s="168"/>
      <c r="U84" s="168"/>
      <c r="V84" s="406"/>
    </row>
    <row r="85" spans="1:22">
      <c r="A85" s="219"/>
      <c r="B85" s="18">
        <f>Heizflächen!C32</f>
        <v>0</v>
      </c>
      <c r="C85" s="18">
        <f>Heizflächen!H32</f>
        <v>21</v>
      </c>
      <c r="D85" s="18">
        <f>Heizflächen!D32</f>
        <v>0</v>
      </c>
      <c r="E85" s="244" cm="1">
        <f t="array" ref="E85">IF(Heizflächen!I32="Fußbodenheizung",_xlfn.XLOOKUP(C32&amp;D32&amp;H32,Tabelle14[Geschoss]&amp;Tabelle14[Raum]&amp;Tabelle14[Heizkörpernummer],Tabelle14[Q '[W']],0,0,1),_xlfn.XLOOKUP(C32&amp;D32&amp;H32,Tabelle3[Geschoss]&amp;Tabelle3[Raum]&amp;Tabelle3[Heizkörpernummer],Tabelle3[Heizleistung des Heizkörpers QBetrieb],0,0,1))</f>
        <v>0</v>
      </c>
      <c r="F85" s="332">
        <f>0.86*((E85)/((_xlfn.XLOOKUP($U$64,Tabelle5[Auswählbare Vor-und Rücklauftemperaturen],Tabelle5[Vorlauf],"",0,1))-_xlfn.XLOOKUP($U$64,Tabelle5[Auswählbare Vor-und Rücklauftemperaturen],Tabelle5[Rücklauf],"",0,1))/60)</f>
        <v>0</v>
      </c>
      <c r="G85" s="168"/>
      <c r="H85" s="180"/>
      <c r="I85" s="728"/>
      <c r="J85" s="168"/>
      <c r="K85" s="168"/>
      <c r="L85" s="728"/>
      <c r="M85" s="18">
        <f>Datenbank!FJ27</f>
        <v>0</v>
      </c>
      <c r="N85" s="18">
        <f>Datenbank!FK27</f>
        <v>0</v>
      </c>
      <c r="O85" s="1399" t="e" cm="1">
        <f t="array" ref="O85">(Allgemein!$C$125*1000*1.15)*((_xlfn.XLOOKUP(N85,Tabelle1[Raum],$E$12:$E$36,0,0,1))/(Datenbank!$FN$57))</f>
        <v>#DIV/0!</v>
      </c>
      <c r="P85" s="735">
        <f>SUMIFS(Tabelle3[Heizleistung des Heizkörpers QBetrieb],Tabelle3[Geschoss],M85,Tabelle3[Raum],N85)+SUMIFS(Tabelle14[Q '[W']],Tabelle14[Geschoss],M85,Tabelle14[Raum],N85)</f>
        <v>0</v>
      </c>
      <c r="Q85" s="418"/>
      <c r="R85" s="418"/>
      <c r="S85" s="732"/>
      <c r="T85" s="168"/>
      <c r="U85" s="168"/>
      <c r="V85" s="406"/>
    </row>
    <row r="86" spans="1:22">
      <c r="A86" s="219"/>
      <c r="B86" s="18">
        <f>Heizflächen!C33</f>
        <v>0</v>
      </c>
      <c r="C86" s="18">
        <f>Heizflächen!H33</f>
        <v>22</v>
      </c>
      <c r="D86" s="18">
        <f>Heizflächen!D33</f>
        <v>0</v>
      </c>
      <c r="E86" s="244" cm="1">
        <f t="array" ref="E86">IF(Heizflächen!I33="Fußbodenheizung",_xlfn.XLOOKUP(C33&amp;D33&amp;H33,Tabelle14[Geschoss]&amp;Tabelle14[Raum]&amp;Tabelle14[Heizkörpernummer],Tabelle14[Q '[W']],0,0,1),_xlfn.XLOOKUP(C33&amp;D33&amp;H33,Tabelle3[Geschoss]&amp;Tabelle3[Raum]&amp;Tabelle3[Heizkörpernummer],Tabelle3[Heizleistung des Heizkörpers QBetrieb],0,0,1))</f>
        <v>0</v>
      </c>
      <c r="F86" s="332">
        <f>0.86*((E86)/((_xlfn.XLOOKUP($U$64,Tabelle5[Auswählbare Vor-und Rücklauftemperaturen],Tabelle5[Vorlauf],"",0,1))-_xlfn.XLOOKUP($U$64,Tabelle5[Auswählbare Vor-und Rücklauftemperaturen],Tabelle5[Rücklauf],"",0,1))/60)</f>
        <v>0</v>
      </c>
      <c r="G86" s="168"/>
      <c r="H86" s="180"/>
      <c r="I86" s="728"/>
      <c r="J86" s="168"/>
      <c r="K86" s="168"/>
      <c r="L86" s="728"/>
      <c r="M86" s="18">
        <f>Datenbank!FJ28</f>
        <v>0</v>
      </c>
      <c r="N86" s="18">
        <f>Datenbank!FK28</f>
        <v>0</v>
      </c>
      <c r="O86" s="1399" t="e" cm="1">
        <f t="array" ref="O86">(Allgemein!$C$125*1000*1.15)*((_xlfn.XLOOKUP(N86,Tabelle1[Raum],$E$12:$E$36,0,0,1))/(Datenbank!$FN$57))</f>
        <v>#DIV/0!</v>
      </c>
      <c r="P86" s="735">
        <f>SUMIFS(Tabelle3[Heizleistung des Heizkörpers QBetrieb],Tabelle3[Geschoss],M86,Tabelle3[Raum],N86)+SUMIFS(Tabelle14[Q '[W']],Tabelle14[Geschoss],M86,Tabelle14[Raum],N86)</f>
        <v>0</v>
      </c>
      <c r="Q86" s="418"/>
      <c r="R86" s="418"/>
      <c r="S86" s="732"/>
      <c r="T86" s="168"/>
      <c r="U86" s="168"/>
      <c r="V86" s="406"/>
    </row>
    <row r="87" spans="1:22">
      <c r="A87" s="219"/>
      <c r="B87" s="18">
        <f>Heizflächen!C34</f>
        <v>0</v>
      </c>
      <c r="C87" s="18">
        <f>Heizflächen!H34</f>
        <v>23</v>
      </c>
      <c r="D87" s="18">
        <f>Heizflächen!D34</f>
        <v>0</v>
      </c>
      <c r="E87" s="244" cm="1">
        <f t="array" ref="E87">IF(Heizflächen!I34="Fußbodenheizung",_xlfn.XLOOKUP(C34&amp;D34&amp;H34,Tabelle14[Geschoss]&amp;Tabelle14[Raum]&amp;Tabelle14[Heizkörpernummer],Tabelle14[Q '[W']],0,0,1),_xlfn.XLOOKUP(C34&amp;D34&amp;H34,Tabelle3[Geschoss]&amp;Tabelle3[Raum]&amp;Tabelle3[Heizkörpernummer],Tabelle3[Heizleistung des Heizkörpers QBetrieb],0,0,1))</f>
        <v>0</v>
      </c>
      <c r="F87" s="332">
        <f>0.86*((E87)/((_xlfn.XLOOKUP($U$64,Tabelle5[Auswählbare Vor-und Rücklauftemperaturen],Tabelle5[Vorlauf],"",0,1))-_xlfn.XLOOKUP($U$64,Tabelle5[Auswählbare Vor-und Rücklauftemperaturen],Tabelle5[Rücklauf],"",0,1))/60)</f>
        <v>0</v>
      </c>
      <c r="G87" s="168"/>
      <c r="H87" s="180"/>
      <c r="I87" s="728"/>
      <c r="J87" s="168"/>
      <c r="K87" s="168"/>
      <c r="L87" s="728"/>
      <c r="M87" s="18">
        <f>Datenbank!FJ29</f>
        <v>0</v>
      </c>
      <c r="N87" s="18">
        <f>Datenbank!FK29</f>
        <v>0</v>
      </c>
      <c r="O87" s="1399" t="e" cm="1">
        <f t="array" ref="O87">(Allgemein!$C$125*1000*1.15)*((_xlfn.XLOOKUP(N87,Tabelle1[Raum],$E$12:$E$36,0,0,1))/(Datenbank!$FN$57))</f>
        <v>#DIV/0!</v>
      </c>
      <c r="P87" s="735">
        <f>SUMIFS(Tabelle3[Heizleistung des Heizkörpers QBetrieb],Tabelle3[Geschoss],M87,Tabelle3[Raum],N87)+SUMIFS(Tabelle14[Q '[W']],Tabelle14[Geschoss],M87,Tabelle14[Raum],N87)</f>
        <v>0</v>
      </c>
      <c r="Q87" s="418"/>
      <c r="R87" s="418"/>
      <c r="S87" s="732"/>
      <c r="T87" s="168"/>
      <c r="U87" s="168"/>
      <c r="V87" s="406"/>
    </row>
    <row r="88" spans="1:22">
      <c r="A88" s="219"/>
      <c r="B88" s="18">
        <f>Heizflächen!C35</f>
        <v>0</v>
      </c>
      <c r="C88" s="18">
        <f>Heizflächen!H35</f>
        <v>24</v>
      </c>
      <c r="D88" s="18">
        <f>Heizflächen!D35</f>
        <v>0</v>
      </c>
      <c r="E88" s="244" cm="1">
        <f t="array" ref="E88">IF(Heizflächen!I35="Fußbodenheizung",_xlfn.XLOOKUP(C35&amp;D35&amp;H35,Tabelle14[Geschoss]&amp;Tabelle14[Raum]&amp;Tabelle14[Heizkörpernummer],Tabelle14[Q '[W']],0,0,1),_xlfn.XLOOKUP(C35&amp;D35&amp;H35,Tabelle3[Geschoss]&amp;Tabelle3[Raum]&amp;Tabelle3[Heizkörpernummer],Tabelle3[Heizleistung des Heizkörpers QBetrieb],0,0,1))</f>
        <v>0</v>
      </c>
      <c r="F88" s="332">
        <f>0.86*((E88)/((_xlfn.XLOOKUP($U$64,Tabelle5[Auswählbare Vor-und Rücklauftemperaturen],Tabelle5[Vorlauf],"",0,1))-_xlfn.XLOOKUP($U$64,Tabelle5[Auswählbare Vor-und Rücklauftemperaturen],Tabelle5[Rücklauf],"",0,1))/60)</f>
        <v>0</v>
      </c>
      <c r="G88" s="168"/>
      <c r="H88" s="180"/>
      <c r="I88" s="728"/>
      <c r="J88" s="168"/>
      <c r="K88" s="168"/>
      <c r="L88" s="728"/>
      <c r="M88" s="18">
        <f>Datenbank!FJ30</f>
        <v>0</v>
      </c>
      <c r="N88" s="18">
        <f>Datenbank!FK30</f>
        <v>0</v>
      </c>
      <c r="O88" s="1399" t="e" cm="1">
        <f t="array" ref="O88">(Allgemein!$C$125*1000*1.15)*((_xlfn.XLOOKUP(N88,Tabelle1[Raum],$E$12:$E$36,0,0,1))/(Datenbank!$FN$57))</f>
        <v>#DIV/0!</v>
      </c>
      <c r="P88" s="735">
        <f>SUMIFS(Tabelle3[Heizleistung des Heizkörpers QBetrieb],Tabelle3[Geschoss],M88,Tabelle3[Raum],N88)+SUMIFS(Tabelle14[Q '[W']],Tabelle14[Geschoss],M88,Tabelle14[Raum],N88)</f>
        <v>0</v>
      </c>
      <c r="Q88" s="418"/>
      <c r="R88" s="418"/>
      <c r="S88" s="732"/>
      <c r="T88" s="168"/>
      <c r="U88" s="168"/>
      <c r="V88" s="406"/>
    </row>
    <row r="89" spans="1:22">
      <c r="A89" s="219"/>
      <c r="B89" s="18">
        <f>Heizflächen!C36</f>
        <v>0</v>
      </c>
      <c r="C89" s="18">
        <f>Heizflächen!H36</f>
        <v>25</v>
      </c>
      <c r="D89" s="18">
        <f>Heizflächen!D36</f>
        <v>0</v>
      </c>
      <c r="E89" s="244" cm="1">
        <f t="array" ref="E89">IF(Heizflächen!I36="Fußbodenheizung",_xlfn.XLOOKUP(C36&amp;D36&amp;H36,Tabelle14[Geschoss]&amp;Tabelle14[Raum]&amp;Tabelle14[Heizkörpernummer],Tabelle14[Q '[W']],0,0,1),_xlfn.XLOOKUP(C36&amp;D36&amp;H36,Tabelle3[Geschoss]&amp;Tabelle3[Raum]&amp;Tabelle3[Heizkörpernummer],Tabelle3[Heizleistung des Heizkörpers QBetrieb],0,0,1))</f>
        <v>0</v>
      </c>
      <c r="F89" s="332">
        <f>0.86*((E89)/((_xlfn.XLOOKUP($U$64,Tabelle5[Auswählbare Vor-und Rücklauftemperaturen],Tabelle5[Vorlauf],"",0,1))-_xlfn.XLOOKUP($U$64,Tabelle5[Auswählbare Vor-und Rücklauftemperaturen],Tabelle5[Rücklauf],"",0,1))/60)</f>
        <v>0</v>
      </c>
      <c r="G89" s="168"/>
      <c r="H89" s="180"/>
      <c r="I89" s="728"/>
      <c r="J89" s="168"/>
      <c r="K89" s="168"/>
      <c r="L89" s="728"/>
      <c r="M89" s="18">
        <f>Datenbank!FJ31</f>
        <v>0</v>
      </c>
      <c r="N89" s="18">
        <f>Datenbank!FK31</f>
        <v>0</v>
      </c>
      <c r="O89" s="1399" t="e" cm="1">
        <f t="array" ref="O89">(Allgemein!$C$125*1000*1.15)*((_xlfn.XLOOKUP(N89,Tabelle1[Raum],$E$12:$E$36,0,0,1))/(Datenbank!$FN$57))</f>
        <v>#DIV/0!</v>
      </c>
      <c r="P89" s="735">
        <f>SUMIFS(Tabelle3[Heizleistung des Heizkörpers QBetrieb],Tabelle3[Geschoss],M89,Tabelle3[Raum],N89)+SUMIFS(Tabelle14[Q '[W']],Tabelle14[Geschoss],M89,Tabelle14[Raum],N89)</f>
        <v>0</v>
      </c>
      <c r="Q89" s="1413"/>
      <c r="R89" s="418"/>
      <c r="S89" s="732"/>
      <c r="T89" s="168"/>
      <c r="U89" s="168"/>
      <c r="V89" s="406"/>
    </row>
    <row r="90" spans="1:22">
      <c r="A90" s="219"/>
      <c r="B90" s="18">
        <f>Heizflächen!C37</f>
        <v>0</v>
      </c>
      <c r="C90" s="18">
        <f>Heizflächen!H37</f>
        <v>26</v>
      </c>
      <c r="D90" s="18">
        <f>Heizflächen!D37</f>
        <v>0</v>
      </c>
      <c r="E90" s="244" cm="1">
        <f t="array" ref="E90">IF(Heizflächen!I37="Fußbodenheizung",_xlfn.XLOOKUP(C37&amp;D37&amp;H37,Tabelle14[Geschoss]&amp;Tabelle14[Raum]&amp;Tabelle14[Heizkörpernummer],Tabelle14[Q '[W']],0,0,1),_xlfn.XLOOKUP(C37&amp;D37&amp;H37,Tabelle3[Geschoss]&amp;Tabelle3[Raum]&amp;Tabelle3[Heizkörpernummer],Tabelle3[Heizleistung des Heizkörpers QBetrieb],0,0,1))</f>
        <v>0</v>
      </c>
      <c r="F90" s="332">
        <f>0.86*((E90)/((_xlfn.XLOOKUP($U$64,Tabelle5[Auswählbare Vor-und Rücklauftemperaturen],Tabelle5[Vorlauf],"",0,1))-_xlfn.XLOOKUP($U$64,Tabelle5[Auswählbare Vor-und Rücklauftemperaturen],Tabelle5[Rücklauf],"",0,1))/60)</f>
        <v>0</v>
      </c>
      <c r="G90" s="168"/>
      <c r="H90" s="180"/>
      <c r="I90" s="728"/>
      <c r="J90" s="168"/>
      <c r="K90" s="168"/>
      <c r="L90" s="728"/>
      <c r="M90" s="18">
        <f>Datenbank!FJ32</f>
        <v>0</v>
      </c>
      <c r="N90" s="18">
        <f>Datenbank!FK32</f>
        <v>0</v>
      </c>
      <c r="O90" s="1399" t="e" cm="1">
        <f t="array" ref="O90">(Allgemein!$C$125*1000*1.15)*((_xlfn.XLOOKUP(N90,Tabelle1[Raum],$E$12:$E$36,0,0,1))/(Datenbank!$FN$57))</f>
        <v>#DIV/0!</v>
      </c>
      <c r="P90" s="735">
        <f>SUMIFS(Tabelle3[Heizleistung des Heizkörpers QBetrieb],Tabelle3[Geschoss],M90,Tabelle3[Raum],N90)+SUMIFS(Tabelle14[Q '[W']],Tabelle14[Geschoss],M90,Tabelle14[Raum],N90)</f>
        <v>0</v>
      </c>
      <c r="Q90" s="418"/>
      <c r="R90" s="418"/>
      <c r="S90" s="732"/>
      <c r="T90" s="168"/>
      <c r="U90" s="168"/>
      <c r="V90" s="406"/>
    </row>
    <row r="91" spans="1:22">
      <c r="A91" s="219"/>
      <c r="B91" s="18">
        <f>Heizflächen!C38</f>
        <v>0</v>
      </c>
      <c r="C91" s="18">
        <f>Heizflächen!H38</f>
        <v>27</v>
      </c>
      <c r="D91" s="18">
        <f>Heizflächen!D38</f>
        <v>0</v>
      </c>
      <c r="E91" s="244" cm="1">
        <f t="array" ref="E91">IF(Heizflächen!I38="Fußbodenheizung",_xlfn.XLOOKUP(C38&amp;D38&amp;H38,Tabelle14[Geschoss]&amp;Tabelle14[Raum]&amp;Tabelle14[Heizkörpernummer],Tabelle14[Q '[W']],0,0,1),_xlfn.XLOOKUP(C38&amp;D38&amp;H38,Tabelle3[Geschoss]&amp;Tabelle3[Raum]&amp;Tabelle3[Heizkörpernummer],Tabelle3[Heizleistung des Heizkörpers QBetrieb],0,0,1))</f>
        <v>0</v>
      </c>
      <c r="F91" s="332">
        <f>0.86*((E91)/((_xlfn.XLOOKUP($U$64,Tabelle5[Auswählbare Vor-und Rücklauftemperaturen],Tabelle5[Vorlauf],"",0,1))-_xlfn.XLOOKUP($U$64,Tabelle5[Auswählbare Vor-und Rücklauftemperaturen],Tabelle5[Rücklauf],"",0,1))/60)</f>
        <v>0</v>
      </c>
      <c r="G91" s="168"/>
      <c r="H91" s="180"/>
      <c r="I91" s="728"/>
      <c r="J91" s="168"/>
      <c r="K91" s="168"/>
      <c r="L91" s="728"/>
      <c r="M91" s="18">
        <f>Datenbank!FJ33</f>
        <v>0</v>
      </c>
      <c r="N91" s="18">
        <f>Datenbank!FK33</f>
        <v>0</v>
      </c>
      <c r="O91" s="1399" t="e" cm="1">
        <f t="array" ref="O91">(Allgemein!$C$125*1000*1.15)*((_xlfn.XLOOKUP(N91,Tabelle1[Raum],$E$12:$E$36,0,0,1))/(Datenbank!$FN$57))</f>
        <v>#DIV/0!</v>
      </c>
      <c r="P91" s="735">
        <f>SUMIFS(Tabelle3[Heizleistung des Heizkörpers QBetrieb],Tabelle3[Geschoss],M91,Tabelle3[Raum],N91)+SUMIFS(Tabelle14[Q '[W']],Tabelle14[Geschoss],M91,Tabelle14[Raum],N91)</f>
        <v>0</v>
      </c>
      <c r="Q91" s="418"/>
      <c r="R91" s="418"/>
      <c r="S91" s="732"/>
      <c r="T91" s="168"/>
      <c r="U91" s="168"/>
      <c r="V91" s="406"/>
    </row>
    <row r="92" spans="1:22">
      <c r="A92" s="219"/>
      <c r="B92" s="18">
        <f>Heizflächen!C39</f>
        <v>0</v>
      </c>
      <c r="C92" s="18">
        <f>Heizflächen!H39</f>
        <v>28</v>
      </c>
      <c r="D92" s="18">
        <f>Heizflächen!D39</f>
        <v>0</v>
      </c>
      <c r="E92" s="244" cm="1">
        <f t="array" ref="E92">IF(Heizflächen!I39="Fußbodenheizung",_xlfn.XLOOKUP(C39&amp;D39&amp;H39,Tabelle14[Geschoss]&amp;Tabelle14[Raum]&amp;Tabelle14[Heizkörpernummer],Tabelle14[Q '[W']],0,0,1),_xlfn.XLOOKUP(C39&amp;D39&amp;H39,Tabelle3[Geschoss]&amp;Tabelle3[Raum]&amp;Tabelle3[Heizkörpernummer],Tabelle3[Heizleistung des Heizkörpers QBetrieb],0,0,1))</f>
        <v>0</v>
      </c>
      <c r="F92" s="332">
        <f>0.86*((E92)/((_xlfn.XLOOKUP($U$64,Tabelle5[Auswählbare Vor-und Rücklauftemperaturen],Tabelle5[Vorlauf],"",0,1))-_xlfn.XLOOKUP($U$64,Tabelle5[Auswählbare Vor-und Rücklauftemperaturen],Tabelle5[Rücklauf],"",0,1))/60)</f>
        <v>0</v>
      </c>
      <c r="G92" s="168"/>
      <c r="H92" s="180"/>
      <c r="I92" s="728"/>
      <c r="J92" s="168"/>
      <c r="K92" s="168"/>
      <c r="L92" s="728"/>
      <c r="M92" s="18">
        <f>Datenbank!FJ34</f>
        <v>0</v>
      </c>
      <c r="N92" s="18">
        <f>Datenbank!FK34</f>
        <v>0</v>
      </c>
      <c r="O92" s="1399" t="e" cm="1">
        <f t="array" ref="O92">(Allgemein!$C$125*1000*1.15)*((_xlfn.XLOOKUP(N92,Tabelle1[Raum],$E$12:$E$36,0,0,1))/(Datenbank!$FN$57))</f>
        <v>#DIV/0!</v>
      </c>
      <c r="P92" s="735">
        <f>SUMIFS(Tabelle3[Heizleistung des Heizkörpers QBetrieb],Tabelle3[Geschoss],M92,Tabelle3[Raum],N92)+SUMIFS(Tabelle14[Q '[W']],Tabelle14[Geschoss],M92,Tabelle14[Raum],N92)</f>
        <v>0</v>
      </c>
      <c r="Q92" s="418"/>
      <c r="R92" s="418"/>
      <c r="S92" s="732"/>
      <c r="T92" s="168"/>
      <c r="U92" s="168"/>
      <c r="V92" s="406"/>
    </row>
    <row r="93" spans="1:22">
      <c r="A93" s="219"/>
      <c r="B93" s="18">
        <f>Heizflächen!C40</f>
        <v>0</v>
      </c>
      <c r="C93" s="18">
        <f>Heizflächen!H40</f>
        <v>29</v>
      </c>
      <c r="D93" s="18">
        <f>Heizflächen!D40</f>
        <v>0</v>
      </c>
      <c r="E93" s="244" cm="1">
        <f t="array" ref="E93">IF(Heizflächen!I40="Fußbodenheizung",_xlfn.XLOOKUP(C40&amp;D40&amp;H40,Tabelle14[Geschoss]&amp;Tabelle14[Raum]&amp;Tabelle14[Heizkörpernummer],Tabelle14[Q '[W']],0,0,1),_xlfn.XLOOKUP(C40&amp;D40&amp;H40,Tabelle3[Geschoss]&amp;Tabelle3[Raum]&amp;Tabelle3[Heizkörpernummer],Tabelle3[Heizleistung des Heizkörpers QBetrieb],0,0,1))</f>
        <v>0</v>
      </c>
      <c r="F93" s="332">
        <f>0.86*((E93)/((_xlfn.XLOOKUP($U$64,Tabelle5[Auswählbare Vor-und Rücklauftemperaturen],Tabelle5[Vorlauf],"",0,1))-_xlfn.XLOOKUP($U$64,Tabelle5[Auswählbare Vor-und Rücklauftemperaturen],Tabelle5[Rücklauf],"",0,1))/60)</f>
        <v>0</v>
      </c>
      <c r="G93" s="168"/>
      <c r="H93" s="180"/>
      <c r="I93" s="728"/>
      <c r="J93" s="168"/>
      <c r="K93" s="168"/>
      <c r="L93" s="728"/>
      <c r="M93" s="18">
        <f>Datenbank!FJ35</f>
        <v>0</v>
      </c>
      <c r="N93" s="18">
        <f>Datenbank!FK35</f>
        <v>0</v>
      </c>
      <c r="O93" s="1399" t="e" cm="1">
        <f t="array" ref="O93">(Allgemein!$C$125*1000*1.15)*((_xlfn.XLOOKUP(N93,Tabelle1[Raum],$E$12:$E$36,0,0,1))/(Datenbank!$FN$57))</f>
        <v>#DIV/0!</v>
      </c>
      <c r="P93" s="735">
        <f>SUMIFS(Tabelle3[Heizleistung des Heizkörpers QBetrieb],Tabelle3[Geschoss],M93,Tabelle3[Raum],N93)+SUMIFS(Tabelle14[Q '[W']],Tabelle14[Geschoss],M93,Tabelle14[Raum],N93)</f>
        <v>0</v>
      </c>
      <c r="Q93" s="418"/>
      <c r="R93" s="418"/>
      <c r="S93" s="732"/>
      <c r="T93" s="168"/>
      <c r="U93" s="168"/>
      <c r="V93" s="406"/>
    </row>
    <row r="94" spans="1:22">
      <c r="A94" s="219"/>
      <c r="B94" s="18">
        <f>Heizflächen!C41</f>
        <v>0</v>
      </c>
      <c r="C94" s="18">
        <f>Heizflächen!H41</f>
        <v>30</v>
      </c>
      <c r="D94" s="18">
        <f>Heizflächen!D41</f>
        <v>0</v>
      </c>
      <c r="E94" s="244" cm="1">
        <f t="array" ref="E94">IF(Heizflächen!I41="Fußbodenheizung",_xlfn.XLOOKUP(C41&amp;D41&amp;H41,Tabelle14[Geschoss]&amp;Tabelle14[Raum]&amp;Tabelle14[Heizkörpernummer],Tabelle14[Q '[W']],0,0,1),_xlfn.XLOOKUP(C41&amp;D41&amp;H41,Tabelle3[Geschoss]&amp;Tabelle3[Raum]&amp;Tabelle3[Heizkörpernummer],Tabelle3[Heizleistung des Heizkörpers QBetrieb],0,0,1))</f>
        <v>0</v>
      </c>
      <c r="F94" s="332">
        <f>0.86*((E94)/((_xlfn.XLOOKUP($U$64,Tabelle5[Auswählbare Vor-und Rücklauftemperaturen],Tabelle5[Vorlauf],"",0,1))-_xlfn.XLOOKUP($U$64,Tabelle5[Auswählbare Vor-und Rücklauftemperaturen],Tabelle5[Rücklauf],"",0,1))/60)</f>
        <v>0</v>
      </c>
      <c r="G94" s="168"/>
      <c r="H94" s="180"/>
      <c r="I94" s="728"/>
      <c r="J94" s="168"/>
      <c r="K94" s="168"/>
      <c r="L94" s="728"/>
      <c r="M94" s="18">
        <f>Datenbank!FJ36</f>
        <v>0</v>
      </c>
      <c r="N94" s="18">
        <f>Datenbank!FK36</f>
        <v>0</v>
      </c>
      <c r="O94" s="1399" t="e" cm="1">
        <f t="array" ref="O94">(Allgemein!$C$125*1000*1.15)*((_xlfn.XLOOKUP(N94,Tabelle1[Raum],$E$12:$E$36,0,0,1))/(Datenbank!$FN$57))</f>
        <v>#DIV/0!</v>
      </c>
      <c r="P94" s="735">
        <f>SUMIFS(Tabelle3[Heizleistung des Heizkörpers QBetrieb],Tabelle3[Geschoss],M94,Tabelle3[Raum],N94)+SUMIFS(Tabelle14[Q '[W']],Tabelle14[Geschoss],M94,Tabelle14[Raum],N94)</f>
        <v>0</v>
      </c>
      <c r="Q94" s="418"/>
      <c r="R94" s="418"/>
      <c r="S94" s="732"/>
      <c r="T94" s="168"/>
      <c r="U94" s="168"/>
      <c r="V94" s="406"/>
    </row>
    <row r="95" spans="1:22">
      <c r="A95" s="219"/>
      <c r="B95" s="18">
        <f>Heizflächen!C42</f>
        <v>0</v>
      </c>
      <c r="C95" s="18">
        <f>Heizflächen!H42</f>
        <v>31</v>
      </c>
      <c r="D95" s="18">
        <f>Heizflächen!D42</f>
        <v>0</v>
      </c>
      <c r="E95" s="244" cm="1">
        <f t="array" ref="E95">IF(Heizflächen!I42="Fußbodenheizung",_xlfn.XLOOKUP(C42&amp;D42&amp;H42,Tabelle14[Geschoss]&amp;Tabelle14[Raum]&amp;Tabelle14[Heizkörpernummer],Tabelle14[Q '[W']],0,0,1),_xlfn.XLOOKUP(C42&amp;D42&amp;H42,Tabelle3[Geschoss]&amp;Tabelle3[Raum]&amp;Tabelle3[Heizkörpernummer],Tabelle3[Heizleistung des Heizkörpers QBetrieb],0,0,1))</f>
        <v>0</v>
      </c>
      <c r="F95" s="332">
        <f>0.86*((E95)/((_xlfn.XLOOKUP($U$64,Tabelle5[Auswählbare Vor-und Rücklauftemperaturen],Tabelle5[Vorlauf],"",0,1))-_xlfn.XLOOKUP($U$64,Tabelle5[Auswählbare Vor-und Rücklauftemperaturen],Tabelle5[Rücklauf],"",0,1))/60)</f>
        <v>0</v>
      </c>
      <c r="G95" s="168"/>
      <c r="H95" s="180"/>
      <c r="I95" s="728"/>
      <c r="J95" s="168"/>
      <c r="K95" s="168"/>
      <c r="L95" s="728"/>
      <c r="M95" s="18">
        <f>Datenbank!FJ37</f>
        <v>0</v>
      </c>
      <c r="N95" s="18">
        <f>Datenbank!FK37</f>
        <v>0</v>
      </c>
      <c r="O95" s="1399" t="e" cm="1">
        <f t="array" ref="O95">(Allgemein!$C$125*1000*1.15)*((_xlfn.XLOOKUP(N95,Tabelle1[Raum],$E$12:$E$36,0,0,1))/(Datenbank!$FN$57))</f>
        <v>#DIV/0!</v>
      </c>
      <c r="P95" s="735">
        <f>SUMIFS(Tabelle3[Heizleistung des Heizkörpers QBetrieb],Tabelle3[Geschoss],M95,Tabelle3[Raum],N95)+SUMIFS(Tabelle14[Q '[W']],Tabelle14[Geschoss],M95,Tabelle14[Raum],N95)</f>
        <v>0</v>
      </c>
      <c r="Q95" s="418"/>
      <c r="R95" s="418"/>
      <c r="S95" s="732"/>
      <c r="T95" s="168"/>
      <c r="U95" s="168"/>
      <c r="V95" s="406"/>
    </row>
    <row r="96" spans="1:22">
      <c r="A96" s="219"/>
      <c r="B96" s="18">
        <f>Heizflächen!C43</f>
        <v>0</v>
      </c>
      <c r="C96" s="18">
        <f>Heizflächen!H43</f>
        <v>32</v>
      </c>
      <c r="D96" s="18">
        <f>Heizflächen!D43</f>
        <v>0</v>
      </c>
      <c r="E96" s="244" cm="1">
        <f t="array" ref="E96">IF(Heizflächen!I43="Fußbodenheizung",_xlfn.XLOOKUP(C43&amp;D43&amp;H43,Tabelle14[Geschoss]&amp;Tabelle14[Raum]&amp;Tabelle14[Heizkörpernummer],Tabelle14[Q '[W']],0,0,1),_xlfn.XLOOKUP(C43&amp;D43&amp;H43,Tabelle3[Geschoss]&amp;Tabelle3[Raum]&amp;Tabelle3[Heizkörpernummer],Tabelle3[Heizleistung des Heizkörpers QBetrieb],0,0,1))</f>
        <v>0</v>
      </c>
      <c r="F96" s="332">
        <f>0.86*((E96)/((_xlfn.XLOOKUP($U$64,Tabelle5[Auswählbare Vor-und Rücklauftemperaturen],Tabelle5[Vorlauf],"",0,1))-_xlfn.XLOOKUP($U$64,Tabelle5[Auswählbare Vor-und Rücklauftemperaturen],Tabelle5[Rücklauf],"",0,1))/60)</f>
        <v>0</v>
      </c>
      <c r="G96" s="168"/>
      <c r="H96" s="180"/>
      <c r="I96" s="728"/>
      <c r="J96" s="168"/>
      <c r="K96" s="168"/>
      <c r="L96" s="728"/>
      <c r="M96" s="18">
        <f>Datenbank!FJ38</f>
        <v>0</v>
      </c>
      <c r="N96" s="18">
        <f>Datenbank!FK38</f>
        <v>0</v>
      </c>
      <c r="O96" s="1399" t="e" cm="1">
        <f t="array" ref="O96">(Allgemein!$C$125*1000*1.15)*((_xlfn.XLOOKUP(N96,Tabelle1[Raum],$E$12:$E$36,0,0,1))/(Datenbank!$FN$57))</f>
        <v>#DIV/0!</v>
      </c>
      <c r="P96" s="735">
        <f>SUMIFS(Tabelle3[Heizleistung des Heizkörpers QBetrieb],Tabelle3[Geschoss],M96,Tabelle3[Raum],N96)+SUMIFS(Tabelle14[Q '[W']],Tabelle14[Geschoss],M96,Tabelle14[Raum],N96)</f>
        <v>0</v>
      </c>
      <c r="Q96" s="418"/>
      <c r="R96" s="418"/>
      <c r="S96" s="732"/>
      <c r="T96" s="168"/>
      <c r="U96" s="168"/>
      <c r="V96" s="406"/>
    </row>
    <row r="97" spans="1:22">
      <c r="A97" s="219"/>
      <c r="B97" s="18">
        <f>Heizflächen!C44</f>
        <v>0</v>
      </c>
      <c r="C97" s="18">
        <f>Heizflächen!H44</f>
        <v>33</v>
      </c>
      <c r="D97" s="18">
        <f>Heizflächen!D44</f>
        <v>0</v>
      </c>
      <c r="E97" s="244" cm="1">
        <f t="array" ref="E97">IF(Heizflächen!I44="Fußbodenheizung",_xlfn.XLOOKUP(C44&amp;D44&amp;H44,Tabelle14[Geschoss]&amp;Tabelle14[Raum]&amp;Tabelle14[Heizkörpernummer],Tabelle14[Q '[W']],0,0,1),_xlfn.XLOOKUP(C44&amp;D44&amp;H44,Tabelle3[Geschoss]&amp;Tabelle3[Raum]&amp;Tabelle3[Heizkörpernummer],Tabelle3[Heizleistung des Heizkörpers QBetrieb],0,0,1))</f>
        <v>0</v>
      </c>
      <c r="F97" s="332">
        <f>0.86*((E97)/((_xlfn.XLOOKUP($U$64,Tabelle5[Auswählbare Vor-und Rücklauftemperaturen],Tabelle5[Vorlauf],"",0,1))-_xlfn.XLOOKUP($U$64,Tabelle5[Auswählbare Vor-und Rücklauftemperaturen],Tabelle5[Rücklauf],"",0,1))/60)</f>
        <v>0</v>
      </c>
      <c r="G97" s="168"/>
      <c r="H97" s="180"/>
      <c r="I97" s="728"/>
      <c r="J97" s="168"/>
      <c r="K97" s="168"/>
      <c r="L97" s="728"/>
      <c r="M97" s="18">
        <f>Datenbank!FJ39</f>
        <v>0</v>
      </c>
      <c r="N97" s="18">
        <f>Datenbank!FK39</f>
        <v>0</v>
      </c>
      <c r="O97" s="1399" t="e" cm="1">
        <f t="array" ref="O97">(Allgemein!$C$125*1000*1.15)*((_xlfn.XLOOKUP(N97,Tabelle1[Raum],$E$12:$E$36,0,0,1))/(Datenbank!$FN$57))</f>
        <v>#DIV/0!</v>
      </c>
      <c r="P97" s="735">
        <f>SUMIFS(Tabelle3[Heizleistung des Heizkörpers QBetrieb],Tabelle3[Geschoss],M97,Tabelle3[Raum],N97)+SUMIFS(Tabelle14[Q '[W']],Tabelle14[Geschoss],M97,Tabelle14[Raum],N97)</f>
        <v>0</v>
      </c>
      <c r="Q97" s="418"/>
      <c r="R97" s="418"/>
      <c r="S97" s="732"/>
      <c r="T97" s="168"/>
      <c r="U97" s="168"/>
      <c r="V97" s="406"/>
    </row>
    <row r="98" spans="1:22">
      <c r="A98" s="219"/>
      <c r="B98" s="18">
        <f>Heizflächen!C45</f>
        <v>0</v>
      </c>
      <c r="C98" s="18">
        <f>Heizflächen!H45</f>
        <v>34</v>
      </c>
      <c r="D98" s="18">
        <f>Heizflächen!D45</f>
        <v>0</v>
      </c>
      <c r="E98" s="244" cm="1">
        <f t="array" ref="E98">IF(Heizflächen!I45="Fußbodenheizung",_xlfn.XLOOKUP(C45&amp;D45&amp;H45,Tabelle14[Geschoss]&amp;Tabelle14[Raum]&amp;Tabelle14[Heizkörpernummer],Tabelle14[Q '[W']],0,0,1),_xlfn.XLOOKUP(C45&amp;D45&amp;H45,Tabelle3[Geschoss]&amp;Tabelle3[Raum]&amp;Tabelle3[Heizkörpernummer],Tabelle3[Heizleistung des Heizkörpers QBetrieb],0,0,1))</f>
        <v>0</v>
      </c>
      <c r="F98" s="332">
        <f>0.86*((E98)/((_xlfn.XLOOKUP($U$64,Tabelle5[Auswählbare Vor-und Rücklauftemperaturen],Tabelle5[Vorlauf],"",0,1))-_xlfn.XLOOKUP($U$64,Tabelle5[Auswählbare Vor-und Rücklauftemperaturen],Tabelle5[Rücklauf],"",0,1))/60)</f>
        <v>0</v>
      </c>
      <c r="G98" s="168"/>
      <c r="H98" s="180"/>
      <c r="I98" s="728"/>
      <c r="J98" s="168"/>
      <c r="K98" s="168"/>
      <c r="L98" s="728"/>
      <c r="M98" s="18">
        <f>Datenbank!FJ40</f>
        <v>0</v>
      </c>
      <c r="N98" s="18">
        <f>Datenbank!FK40</f>
        <v>0</v>
      </c>
      <c r="O98" s="1399" t="e" cm="1">
        <f t="array" ref="O98">(Allgemein!$C$125*1000*1.15)*((_xlfn.XLOOKUP(N98,Tabelle1[Raum],$E$12:$E$36,0,0,1))/(Datenbank!$FN$57))</f>
        <v>#DIV/0!</v>
      </c>
      <c r="P98" s="735">
        <f>SUMIFS(Tabelle3[Heizleistung des Heizkörpers QBetrieb],Tabelle3[Geschoss],M98,Tabelle3[Raum],N98)+SUMIFS(Tabelle14[Q '[W']],Tabelle14[Geschoss],M98,Tabelle14[Raum],N98)</f>
        <v>0</v>
      </c>
      <c r="Q98" s="418"/>
      <c r="R98" s="418"/>
      <c r="S98" s="732"/>
      <c r="T98" s="168"/>
      <c r="U98" s="168"/>
      <c r="V98" s="406"/>
    </row>
    <row r="99" spans="1:22">
      <c r="A99" s="219"/>
      <c r="B99" s="18">
        <f>Heizflächen!C46</f>
        <v>0</v>
      </c>
      <c r="C99" s="18">
        <f>Heizflächen!H46</f>
        <v>35</v>
      </c>
      <c r="D99" s="18">
        <f>Heizflächen!D46</f>
        <v>0</v>
      </c>
      <c r="E99" s="244" cm="1">
        <f t="array" ref="E99">IF(Heizflächen!I46="Fußbodenheizung",_xlfn.XLOOKUP(C46&amp;D46&amp;H46,Tabelle14[Geschoss]&amp;Tabelle14[Raum]&amp;Tabelle14[Heizkörpernummer],Tabelle14[Q '[W']],0,0,1),_xlfn.XLOOKUP(C46&amp;D46&amp;H46,Tabelle3[Geschoss]&amp;Tabelle3[Raum]&amp;Tabelle3[Heizkörpernummer],Tabelle3[Heizleistung des Heizkörpers QBetrieb],0,0,1))</f>
        <v>0</v>
      </c>
      <c r="F99" s="332">
        <f>0.86*((E99)/((_xlfn.XLOOKUP($U$64,Tabelle5[Auswählbare Vor-und Rücklauftemperaturen],Tabelle5[Vorlauf],"",0,1))-_xlfn.XLOOKUP($U$64,Tabelle5[Auswählbare Vor-und Rücklauftemperaturen],Tabelle5[Rücklauf],"",0,1))/60)</f>
        <v>0</v>
      </c>
      <c r="G99" s="168"/>
      <c r="H99" s="180"/>
      <c r="I99" s="728"/>
      <c r="J99" s="168"/>
      <c r="K99" s="168"/>
      <c r="L99" s="728"/>
      <c r="M99" s="18">
        <f>Datenbank!FJ41</f>
        <v>0</v>
      </c>
      <c r="N99" s="18">
        <f>Datenbank!FK41</f>
        <v>0</v>
      </c>
      <c r="O99" s="1399" t="e" cm="1">
        <f t="array" ref="O99">(Allgemein!$C$125*1000*1.15)*((_xlfn.XLOOKUP(N99,Tabelle1[Raum],$E$12:$E$36,0,0,1))/(Datenbank!$FN$57))</f>
        <v>#DIV/0!</v>
      </c>
      <c r="P99" s="735">
        <f>SUMIFS(Tabelle3[Heizleistung des Heizkörpers QBetrieb],Tabelle3[Geschoss],M99,Tabelle3[Raum],N99)+SUMIFS(Tabelle14[Q '[W']],Tabelle14[Geschoss],M99,Tabelle14[Raum],N99)</f>
        <v>0</v>
      </c>
      <c r="Q99" s="418"/>
      <c r="R99" s="418"/>
      <c r="S99" s="732"/>
      <c r="T99" s="168"/>
      <c r="U99" s="168"/>
      <c r="V99" s="406"/>
    </row>
    <row r="100" spans="1:22">
      <c r="A100" s="219"/>
      <c r="B100" s="18">
        <f>Heizflächen!C47</f>
        <v>0</v>
      </c>
      <c r="C100" s="18">
        <f>Heizflächen!H47</f>
        <v>36</v>
      </c>
      <c r="D100" s="18">
        <f>Heizflächen!D47</f>
        <v>0</v>
      </c>
      <c r="E100" s="244" cm="1">
        <f t="array" ref="E100">IF(Heizflächen!I47="Fußbodenheizung",_xlfn.XLOOKUP(C47&amp;D47&amp;H47,Tabelle14[Geschoss]&amp;Tabelle14[Raum]&amp;Tabelle14[Heizkörpernummer],Tabelle14[Q '[W']],0,0,1),_xlfn.XLOOKUP(C47&amp;D47&amp;H47,Tabelle3[Geschoss]&amp;Tabelle3[Raum]&amp;Tabelle3[Heizkörpernummer],Tabelle3[Heizleistung des Heizkörpers QBetrieb],0,0,1))</f>
        <v>0</v>
      </c>
      <c r="F100" s="332">
        <f>0.86*((E100)/((_xlfn.XLOOKUP($U$64,Tabelle5[Auswählbare Vor-und Rücklauftemperaturen],Tabelle5[Vorlauf],"",0,1))-_xlfn.XLOOKUP($U$64,Tabelle5[Auswählbare Vor-und Rücklauftemperaturen],Tabelle5[Rücklauf],"",0,1))/60)</f>
        <v>0</v>
      </c>
      <c r="G100" s="168"/>
      <c r="H100" s="180"/>
      <c r="I100" s="728"/>
      <c r="J100" s="168"/>
      <c r="K100" s="168"/>
      <c r="L100" s="728"/>
      <c r="M100" s="18">
        <f>Datenbank!FJ42</f>
        <v>0</v>
      </c>
      <c r="N100" s="18">
        <f>Datenbank!FK42</f>
        <v>0</v>
      </c>
      <c r="O100" s="1399" t="e" cm="1">
        <f t="array" ref="O100">(Allgemein!$C$125*1000*1.15)*((_xlfn.XLOOKUP(N100,Tabelle1[Raum],$E$12:$E$36,0,0,1))/(Datenbank!$FN$57))</f>
        <v>#DIV/0!</v>
      </c>
      <c r="P100" s="735">
        <f>SUMIFS(Tabelle3[Heizleistung des Heizkörpers QBetrieb],Tabelle3[Geschoss],M100,Tabelle3[Raum],N100)+SUMIFS(Tabelle14[Q '[W']],Tabelle14[Geschoss],M100,Tabelle14[Raum],N100)</f>
        <v>0</v>
      </c>
      <c r="Q100" s="418"/>
      <c r="R100" s="418"/>
      <c r="S100" s="732"/>
      <c r="T100" s="168"/>
      <c r="U100" s="168"/>
      <c r="V100" s="406"/>
    </row>
    <row r="101" spans="1:22">
      <c r="A101" s="219"/>
      <c r="B101" s="18">
        <f>Heizflächen!C48</f>
        <v>0</v>
      </c>
      <c r="C101" s="18">
        <f>Heizflächen!H48</f>
        <v>37</v>
      </c>
      <c r="D101" s="18">
        <f>Heizflächen!D48</f>
        <v>0</v>
      </c>
      <c r="E101" s="244" cm="1">
        <f t="array" ref="E101">IF(Heizflächen!I48="Fußbodenheizung",_xlfn.XLOOKUP(C48&amp;D48&amp;H48,Tabelle14[Geschoss]&amp;Tabelle14[Raum]&amp;Tabelle14[Heizkörpernummer],Tabelle14[Q '[W']],0,0,1),_xlfn.XLOOKUP(C48&amp;D48&amp;H48,Tabelle3[Geschoss]&amp;Tabelle3[Raum]&amp;Tabelle3[Heizkörpernummer],Tabelle3[Heizleistung des Heizkörpers QBetrieb],0,0,1))</f>
        <v>0</v>
      </c>
      <c r="F101" s="332">
        <f>0.86*((E101)/((_xlfn.XLOOKUP($U$64,Tabelle5[Auswählbare Vor-und Rücklauftemperaturen],Tabelle5[Vorlauf],"",0,1))-_xlfn.XLOOKUP($U$64,Tabelle5[Auswählbare Vor-und Rücklauftemperaturen],Tabelle5[Rücklauf],"",0,1))/60)</f>
        <v>0</v>
      </c>
      <c r="G101" s="168"/>
      <c r="H101" s="180"/>
      <c r="I101" s="728"/>
      <c r="J101" s="168"/>
      <c r="K101" s="168"/>
      <c r="L101" s="728"/>
      <c r="M101" s="18">
        <f>Datenbank!FJ43</f>
        <v>0</v>
      </c>
      <c r="N101" s="18">
        <f>Datenbank!FK43</f>
        <v>0</v>
      </c>
      <c r="O101" s="1399" t="e" cm="1">
        <f t="array" ref="O101">(Allgemein!$C$125*1000*1.15)*((_xlfn.XLOOKUP(N101,Tabelle1[Raum],$E$12:$E$36,0,0,1))/(Datenbank!$FN$57))</f>
        <v>#DIV/0!</v>
      </c>
      <c r="P101" s="735">
        <f>SUMIFS(Tabelle3[Heizleistung des Heizkörpers QBetrieb],Tabelle3[Geschoss],M101,Tabelle3[Raum],N101)+SUMIFS(Tabelle14[Q '[W']],Tabelle14[Geschoss],M101,Tabelle14[Raum],N101)</f>
        <v>0</v>
      </c>
      <c r="Q101" s="418"/>
      <c r="R101" s="418"/>
      <c r="S101" s="732"/>
      <c r="T101" s="168"/>
      <c r="U101" s="168"/>
      <c r="V101" s="406"/>
    </row>
    <row r="102" spans="1:22">
      <c r="A102" s="219"/>
      <c r="B102" s="18">
        <f>Heizflächen!C49</f>
        <v>0</v>
      </c>
      <c r="C102" s="18">
        <f>Heizflächen!H49</f>
        <v>38</v>
      </c>
      <c r="D102" s="18">
        <f>Heizflächen!D49</f>
        <v>0</v>
      </c>
      <c r="E102" s="244" cm="1">
        <f t="array" ref="E102">IF(Heizflächen!I49="Fußbodenheizung",_xlfn.XLOOKUP(C49&amp;D49&amp;H49,Tabelle14[Geschoss]&amp;Tabelle14[Raum]&amp;Tabelle14[Heizkörpernummer],Tabelle14[Q '[W']],0,0,1),_xlfn.XLOOKUP(C49&amp;D49&amp;H49,Tabelle3[Geschoss]&amp;Tabelle3[Raum]&amp;Tabelle3[Heizkörpernummer],Tabelle3[Heizleistung des Heizkörpers QBetrieb],0,0,1))</f>
        <v>0</v>
      </c>
      <c r="F102" s="332">
        <f>0.86*((E102)/((_xlfn.XLOOKUP($U$64,Tabelle5[Auswählbare Vor-und Rücklauftemperaturen],Tabelle5[Vorlauf],"",0,1))-_xlfn.XLOOKUP($U$64,Tabelle5[Auswählbare Vor-und Rücklauftemperaturen],Tabelle5[Rücklauf],"",0,1))/60)</f>
        <v>0</v>
      </c>
      <c r="G102" s="168"/>
      <c r="H102" s="180"/>
      <c r="I102" s="728"/>
      <c r="J102" s="168"/>
      <c r="K102" s="168"/>
      <c r="L102" s="728"/>
      <c r="M102" s="18">
        <f>Datenbank!FJ44</f>
        <v>0</v>
      </c>
      <c r="N102" s="18">
        <f>Datenbank!FK44</f>
        <v>0</v>
      </c>
      <c r="O102" s="1399" t="e" cm="1">
        <f t="array" ref="O102">(Allgemein!$C$125*1000*1.15)*((_xlfn.XLOOKUP(N102,Tabelle1[Raum],$E$12:$E$36,0,0,1))/(Datenbank!$FN$57))</f>
        <v>#DIV/0!</v>
      </c>
      <c r="P102" s="735">
        <f>SUMIFS(Tabelle3[Heizleistung des Heizkörpers QBetrieb],Tabelle3[Geschoss],M102,Tabelle3[Raum],N102)+SUMIFS(Tabelle14[Q '[W']],Tabelle14[Geschoss],M102,Tabelle14[Raum],N102)</f>
        <v>0</v>
      </c>
      <c r="Q102" s="418"/>
      <c r="R102" s="418"/>
      <c r="S102" s="732"/>
      <c r="T102" s="168"/>
      <c r="U102" s="168"/>
      <c r="V102" s="406"/>
    </row>
    <row r="103" spans="1:22">
      <c r="A103" s="219"/>
      <c r="B103" s="18">
        <f>Heizflächen!C50</f>
        <v>0</v>
      </c>
      <c r="C103" s="18">
        <f>Heizflächen!H50</f>
        <v>39</v>
      </c>
      <c r="D103" s="18">
        <f>Heizflächen!D50</f>
        <v>0</v>
      </c>
      <c r="E103" s="244" cm="1">
        <f t="array" ref="E103">IF(Heizflächen!I50="Fußbodenheizung",_xlfn.XLOOKUP(C50&amp;D50&amp;H50,Tabelle14[Geschoss]&amp;Tabelle14[Raum]&amp;Tabelle14[Heizkörpernummer],Tabelle14[Q '[W']],0,0,1),_xlfn.XLOOKUP(C50&amp;D50&amp;H50,Tabelle3[Geschoss]&amp;Tabelle3[Raum]&amp;Tabelle3[Heizkörpernummer],Tabelle3[Heizleistung des Heizkörpers QBetrieb],0,0,1))</f>
        <v>0</v>
      </c>
      <c r="F103" s="332">
        <f>0.86*((E103)/((_xlfn.XLOOKUP($U$64,Tabelle5[Auswählbare Vor-und Rücklauftemperaturen],Tabelle5[Vorlauf],"",0,1))-_xlfn.XLOOKUP($U$64,Tabelle5[Auswählbare Vor-und Rücklauftemperaturen],Tabelle5[Rücklauf],"",0,1))/60)</f>
        <v>0</v>
      </c>
      <c r="G103" s="168"/>
      <c r="H103" s="180"/>
      <c r="I103" s="728"/>
      <c r="J103" s="168"/>
      <c r="K103" s="168"/>
      <c r="L103" s="728"/>
      <c r="M103" s="18">
        <f>Datenbank!FJ45</f>
        <v>0</v>
      </c>
      <c r="N103" s="18">
        <f>Datenbank!FK45</f>
        <v>0</v>
      </c>
      <c r="O103" s="1399" t="e" cm="1">
        <f t="array" ref="O103">(Allgemein!$C$125*1000*1.15)*((_xlfn.XLOOKUP(N103,Tabelle1[Raum],$E$12:$E$36,0,0,1))/(Datenbank!$FN$57))</f>
        <v>#DIV/0!</v>
      </c>
      <c r="P103" s="735">
        <f>SUMIFS(Tabelle3[Heizleistung des Heizkörpers QBetrieb],Tabelle3[Geschoss],M103,Tabelle3[Raum],N103)+SUMIFS(Tabelle14[Q '[W']],Tabelle14[Geschoss],M103,Tabelle14[Raum],N103)</f>
        <v>0</v>
      </c>
      <c r="Q103" s="418"/>
      <c r="R103" s="418"/>
      <c r="S103" s="732"/>
      <c r="T103" s="168"/>
      <c r="U103" s="168"/>
      <c r="V103" s="406"/>
    </row>
    <row r="104" spans="1:22">
      <c r="A104" s="219"/>
      <c r="B104" s="18">
        <f>Heizflächen!C51</f>
        <v>0</v>
      </c>
      <c r="C104" s="18">
        <f>Heizflächen!H51</f>
        <v>40</v>
      </c>
      <c r="D104" s="18">
        <f>Heizflächen!D51</f>
        <v>0</v>
      </c>
      <c r="E104" s="244" cm="1">
        <f t="array" ref="E104">IF(Heizflächen!I51="Fußbodenheizung",_xlfn.XLOOKUP(C51&amp;D51&amp;H51,Tabelle14[Geschoss]&amp;Tabelle14[Raum]&amp;Tabelle14[Heizkörpernummer],Tabelle14[Q '[W']],0,0,1),_xlfn.XLOOKUP(C51&amp;D51&amp;H51,Tabelle3[Geschoss]&amp;Tabelle3[Raum]&amp;Tabelle3[Heizkörpernummer],Tabelle3[Heizleistung des Heizkörpers QBetrieb],0,0,1))</f>
        <v>0</v>
      </c>
      <c r="F104" s="332">
        <f>0.86*((E104)/((_xlfn.XLOOKUP($U$64,Tabelle5[Auswählbare Vor-und Rücklauftemperaturen],Tabelle5[Vorlauf],"",0,1))-_xlfn.XLOOKUP($U$64,Tabelle5[Auswählbare Vor-und Rücklauftemperaturen],Tabelle5[Rücklauf],"",0,1))/60)</f>
        <v>0</v>
      </c>
      <c r="G104" s="168"/>
      <c r="H104" s="180"/>
      <c r="I104" s="728"/>
      <c r="J104" s="168"/>
      <c r="K104" s="168"/>
      <c r="L104" s="728"/>
      <c r="M104" s="18">
        <f>Datenbank!FJ46</f>
        <v>0</v>
      </c>
      <c r="N104" s="18">
        <f>Datenbank!FK46</f>
        <v>0</v>
      </c>
      <c r="O104" s="1399" t="e" cm="1">
        <f t="array" ref="O104">(Allgemein!$C$125*1000*1.15)*((_xlfn.XLOOKUP(N104,Tabelle1[Raum],$E$12:$E$36,0,0,1))/(Datenbank!$FN$57))</f>
        <v>#DIV/0!</v>
      </c>
      <c r="P104" s="735">
        <f>SUMIFS(Tabelle3[Heizleistung des Heizkörpers QBetrieb],Tabelle3[Geschoss],M104,Tabelle3[Raum],N104)+SUMIFS(Tabelle14[Q '[W']],Tabelle14[Geschoss],M104,Tabelle14[Raum],N104)</f>
        <v>0</v>
      </c>
      <c r="Q104" s="418"/>
      <c r="R104" s="418"/>
      <c r="S104" s="732"/>
      <c r="T104" s="168"/>
      <c r="U104" s="168"/>
      <c r="V104" s="406"/>
    </row>
    <row r="105" spans="1:22">
      <c r="A105" s="219"/>
      <c r="B105" s="18">
        <f>Heizflächen!C52</f>
        <v>0</v>
      </c>
      <c r="C105" s="18">
        <f>Heizflächen!H52</f>
        <v>41</v>
      </c>
      <c r="D105" s="18">
        <f>Heizflächen!D52</f>
        <v>0</v>
      </c>
      <c r="E105" s="244" cm="1">
        <f t="array" ref="E105">IF(Heizflächen!I52="Fußbodenheizung",_xlfn.XLOOKUP(C52&amp;D52&amp;H52,Tabelle14[Geschoss]&amp;Tabelle14[Raum]&amp;Tabelle14[Heizkörpernummer],Tabelle14[Q '[W']],0,0,1),_xlfn.XLOOKUP(C52&amp;D52&amp;H52,Tabelle3[Geschoss]&amp;Tabelle3[Raum]&amp;Tabelle3[Heizkörpernummer],Tabelle3[Heizleistung des Heizkörpers QBetrieb],0,0,1))</f>
        <v>0</v>
      </c>
      <c r="F105" s="332">
        <f>0.86*((E105)/((_xlfn.XLOOKUP($U$64,Tabelle5[Auswählbare Vor-und Rücklauftemperaturen],Tabelle5[Vorlauf],"",0,1))-_xlfn.XLOOKUP($U$64,Tabelle5[Auswählbare Vor-und Rücklauftemperaturen],Tabelle5[Rücklauf],"",0,1))/60)</f>
        <v>0</v>
      </c>
      <c r="G105" s="168"/>
      <c r="H105" s="180"/>
      <c r="I105" s="728"/>
      <c r="J105" s="168"/>
      <c r="K105" s="168"/>
      <c r="L105" s="728"/>
      <c r="M105" s="18">
        <f>Datenbank!FJ47</f>
        <v>0</v>
      </c>
      <c r="N105" s="18">
        <f>Datenbank!FK47</f>
        <v>0</v>
      </c>
      <c r="O105" s="1399" t="e" cm="1">
        <f t="array" ref="O105">(Allgemein!$C$125*1000*1.15)*((_xlfn.XLOOKUP(N105,Tabelle1[Raum],$E$12:$E$36,0,0,1))/(Datenbank!$FN$57))</f>
        <v>#DIV/0!</v>
      </c>
      <c r="P105" s="735">
        <f>SUMIFS(Tabelle3[Heizleistung des Heizkörpers QBetrieb],Tabelle3[Geschoss],M105,Tabelle3[Raum],N105)+SUMIFS(Tabelle14[Q '[W']],Tabelle14[Geschoss],M105,Tabelle14[Raum],N105)</f>
        <v>0</v>
      </c>
      <c r="Q105" s="418"/>
      <c r="R105" s="418"/>
      <c r="S105" s="732"/>
      <c r="T105" s="168"/>
      <c r="U105" s="168"/>
      <c r="V105" s="406"/>
    </row>
    <row r="106" spans="1:22">
      <c r="A106" s="219"/>
      <c r="B106" s="18">
        <f>Heizflächen!C53</f>
        <v>0</v>
      </c>
      <c r="C106" s="18">
        <f>Heizflächen!H53</f>
        <v>42</v>
      </c>
      <c r="D106" s="18">
        <f>Heizflächen!D53</f>
        <v>0</v>
      </c>
      <c r="E106" s="244" cm="1">
        <f t="array" ref="E106">IF(Heizflächen!I53="Fußbodenheizung",_xlfn.XLOOKUP(C53&amp;D53&amp;H53,Tabelle14[Geschoss]&amp;Tabelle14[Raum]&amp;Tabelle14[Heizkörpernummer],Tabelle14[Q '[W']],0,0,1),_xlfn.XLOOKUP(C53&amp;D53&amp;H53,Tabelle3[Geschoss]&amp;Tabelle3[Raum]&amp;Tabelle3[Heizkörpernummer],Tabelle3[Heizleistung des Heizkörpers QBetrieb],0,0,1))</f>
        <v>0</v>
      </c>
      <c r="F106" s="332">
        <f>0.86*((E106)/((_xlfn.XLOOKUP($U$64,Tabelle5[Auswählbare Vor-und Rücklauftemperaturen],Tabelle5[Vorlauf],"",0,1))-_xlfn.XLOOKUP($U$64,Tabelle5[Auswählbare Vor-und Rücklauftemperaturen],Tabelle5[Rücklauf],"",0,1))/60)</f>
        <v>0</v>
      </c>
      <c r="G106" s="168"/>
      <c r="H106" s="180"/>
      <c r="I106" s="728"/>
      <c r="J106" s="168"/>
      <c r="K106" s="168"/>
      <c r="L106" s="728"/>
      <c r="M106" s="18">
        <f>Datenbank!FJ48</f>
        <v>0</v>
      </c>
      <c r="N106" s="18">
        <f>Datenbank!FK48</f>
        <v>0</v>
      </c>
      <c r="O106" s="1399" t="e" cm="1">
        <f t="array" ref="O106">(Allgemein!$C$125*1000*1.15)*((_xlfn.XLOOKUP(N106,Tabelle1[Raum],$E$12:$E$36,0,0,1))/(Datenbank!$FN$57))</f>
        <v>#DIV/0!</v>
      </c>
      <c r="P106" s="735">
        <f>SUMIFS(Tabelle3[Heizleistung des Heizkörpers QBetrieb],Tabelle3[Geschoss],M106,Tabelle3[Raum],N106)+SUMIFS(Tabelle14[Q '[W']],Tabelle14[Geschoss],M106,Tabelle14[Raum],N106)</f>
        <v>0</v>
      </c>
      <c r="Q106" s="418"/>
      <c r="R106" s="418"/>
      <c r="S106" s="732"/>
      <c r="T106" s="168"/>
      <c r="U106" s="168"/>
      <c r="V106" s="406"/>
    </row>
    <row r="107" spans="1:22">
      <c r="A107" s="219"/>
      <c r="B107" s="18">
        <f>Heizflächen!C54</f>
        <v>0</v>
      </c>
      <c r="C107" s="18">
        <f>Heizflächen!H54</f>
        <v>43</v>
      </c>
      <c r="D107" s="18">
        <f>Heizflächen!D54</f>
        <v>0</v>
      </c>
      <c r="E107" s="244" cm="1">
        <f t="array" ref="E107">IF(Heizflächen!I54="Fußbodenheizung",_xlfn.XLOOKUP(C54&amp;D54&amp;H54,Tabelle14[Geschoss]&amp;Tabelle14[Raum]&amp;Tabelle14[Heizkörpernummer],Tabelle14[Q '[W']],0,0,1),_xlfn.XLOOKUP(C54&amp;D54&amp;H54,Tabelle3[Geschoss]&amp;Tabelle3[Raum]&amp;Tabelle3[Heizkörpernummer],Tabelle3[Heizleistung des Heizkörpers QBetrieb],0,0,1))</f>
        <v>0</v>
      </c>
      <c r="F107" s="332">
        <f>0.86*((E107)/((_xlfn.XLOOKUP($U$64,Tabelle5[Auswählbare Vor-und Rücklauftemperaturen],Tabelle5[Vorlauf],"",0,1))-_xlfn.XLOOKUP($U$64,Tabelle5[Auswählbare Vor-und Rücklauftemperaturen],Tabelle5[Rücklauf],"",0,1))/60)</f>
        <v>0</v>
      </c>
      <c r="G107" s="168"/>
      <c r="H107" s="180"/>
      <c r="I107" s="728"/>
      <c r="J107" s="168"/>
      <c r="K107" s="168"/>
      <c r="L107" s="728"/>
      <c r="M107" s="18">
        <f>Datenbank!FJ49</f>
        <v>0</v>
      </c>
      <c r="N107" s="18">
        <f>Datenbank!FK49</f>
        <v>0</v>
      </c>
      <c r="O107" s="1399" t="e" cm="1">
        <f t="array" ref="O107">(Allgemein!$C$125*1000*1.15)*((_xlfn.XLOOKUP(N107,Tabelle1[Raum],$E$12:$E$36,0,0,1))/(Datenbank!$FN$57))</f>
        <v>#DIV/0!</v>
      </c>
      <c r="P107" s="735">
        <f>SUMIFS(Tabelle3[Heizleistung des Heizkörpers QBetrieb],Tabelle3[Geschoss],M107,Tabelle3[Raum],N107)+SUMIFS(Tabelle14[Q '[W']],Tabelle14[Geschoss],M107,Tabelle14[Raum],N107)</f>
        <v>0</v>
      </c>
      <c r="Q107" s="418"/>
      <c r="R107" s="418"/>
      <c r="S107" s="732"/>
      <c r="T107" s="168"/>
      <c r="U107" s="168"/>
      <c r="V107" s="406"/>
    </row>
    <row r="108" spans="1:22">
      <c r="A108" s="219"/>
      <c r="B108" s="18">
        <f>Heizflächen!C55</f>
        <v>0</v>
      </c>
      <c r="C108" s="18">
        <f>Heizflächen!H55</f>
        <v>44</v>
      </c>
      <c r="D108" s="18">
        <f>Heizflächen!D55</f>
        <v>0</v>
      </c>
      <c r="E108" s="244" cm="1">
        <f t="array" ref="E108">IF(Heizflächen!I55="Fußbodenheizung",_xlfn.XLOOKUP(C55&amp;D55&amp;H55,Tabelle14[Geschoss]&amp;Tabelle14[Raum]&amp;Tabelle14[Heizkörpernummer],Tabelle14[Q '[W']],0,0,1),_xlfn.XLOOKUP(C55&amp;D55&amp;H55,Tabelle3[Geschoss]&amp;Tabelle3[Raum]&amp;Tabelle3[Heizkörpernummer],Tabelle3[Heizleistung des Heizkörpers QBetrieb],0,0,1))</f>
        <v>0</v>
      </c>
      <c r="F108" s="332">
        <f>0.86*((E108)/((_xlfn.XLOOKUP($U$64,Tabelle5[Auswählbare Vor-und Rücklauftemperaturen],Tabelle5[Vorlauf],"",0,1))-_xlfn.XLOOKUP($U$64,Tabelle5[Auswählbare Vor-und Rücklauftemperaturen],Tabelle5[Rücklauf],"",0,1))/60)</f>
        <v>0</v>
      </c>
      <c r="G108" s="168"/>
      <c r="H108" s="180"/>
      <c r="I108" s="728"/>
      <c r="J108" s="168"/>
      <c r="K108" s="168"/>
      <c r="L108" s="728"/>
      <c r="M108" s="18">
        <f>Datenbank!FJ50</f>
        <v>0</v>
      </c>
      <c r="N108" s="18">
        <f>Datenbank!FK50</f>
        <v>0</v>
      </c>
      <c r="O108" s="1399" t="e" cm="1">
        <f t="array" ref="O108">(Allgemein!$C$125*1000*1.15)*((_xlfn.XLOOKUP(N108,Tabelle1[Raum],$E$12:$E$36,0,0,1))/(Datenbank!$FN$57))</f>
        <v>#DIV/0!</v>
      </c>
      <c r="P108" s="735">
        <f>SUMIFS(Tabelle3[Heizleistung des Heizkörpers QBetrieb],Tabelle3[Geschoss],M108,Tabelle3[Raum],N108)+SUMIFS(Tabelle14[Q '[W']],Tabelle14[Geschoss],M108,Tabelle14[Raum],N108)</f>
        <v>0</v>
      </c>
      <c r="Q108" s="418"/>
      <c r="R108" s="418"/>
      <c r="S108" s="732"/>
      <c r="T108" s="168"/>
      <c r="U108" s="168"/>
      <c r="V108" s="406"/>
    </row>
    <row r="109" spans="1:22">
      <c r="A109" s="219"/>
      <c r="B109" s="18">
        <f>Heizflächen!C56</f>
        <v>0</v>
      </c>
      <c r="C109" s="18">
        <f>Heizflächen!H56</f>
        <v>45</v>
      </c>
      <c r="D109" s="18">
        <f>Heizflächen!D56</f>
        <v>0</v>
      </c>
      <c r="E109" s="244" cm="1">
        <f t="array" ref="E109">IF(Heizflächen!I56="Fußbodenheizung",_xlfn.XLOOKUP(C56&amp;D56&amp;H56,Tabelle14[Geschoss]&amp;Tabelle14[Raum]&amp;Tabelle14[Heizkörpernummer],Tabelle14[Q '[W']],0,0,1),_xlfn.XLOOKUP(C56&amp;D56&amp;H56,Tabelle3[Geschoss]&amp;Tabelle3[Raum]&amp;Tabelle3[Heizkörpernummer],Tabelle3[Heizleistung des Heizkörpers QBetrieb],0,0,1))</f>
        <v>0</v>
      </c>
      <c r="F109" s="332">
        <f>0.86*((E109)/((_xlfn.XLOOKUP($U$64,Tabelle5[Auswählbare Vor-und Rücklauftemperaturen],Tabelle5[Vorlauf],"",0,1))-_xlfn.XLOOKUP($U$64,Tabelle5[Auswählbare Vor-und Rücklauftemperaturen],Tabelle5[Rücklauf],"",0,1))/60)</f>
        <v>0</v>
      </c>
      <c r="G109" s="168"/>
      <c r="H109" s="180"/>
      <c r="I109" s="728"/>
      <c r="J109" s="168"/>
      <c r="K109" s="168"/>
      <c r="L109" s="728"/>
      <c r="M109" s="18">
        <f>Datenbank!FJ51</f>
        <v>0</v>
      </c>
      <c r="N109" s="18">
        <f>Datenbank!FK51</f>
        <v>0</v>
      </c>
      <c r="O109" s="1399" t="e" cm="1">
        <f t="array" ref="O109">(Allgemein!$C$125*1000*1.15)*((_xlfn.XLOOKUP(N109,Tabelle1[Raum],$E$12:$E$36,0,0,1))/(Datenbank!$FN$57))</f>
        <v>#DIV/0!</v>
      </c>
      <c r="P109" s="735">
        <f>SUMIFS(Tabelle3[Heizleistung des Heizkörpers QBetrieb],Tabelle3[Geschoss],M109,Tabelle3[Raum],N109)+SUMIFS(Tabelle14[Q '[W']],Tabelle14[Geschoss],M109,Tabelle14[Raum],N109)</f>
        <v>0</v>
      </c>
      <c r="Q109" s="418"/>
      <c r="R109" s="418"/>
      <c r="S109" s="732"/>
      <c r="T109" s="168"/>
      <c r="U109" s="168"/>
      <c r="V109" s="406"/>
    </row>
    <row r="110" spans="1:22">
      <c r="A110" s="219"/>
      <c r="B110" s="18">
        <f>Heizflächen!C57</f>
        <v>0</v>
      </c>
      <c r="C110" s="18">
        <f>Heizflächen!H57</f>
        <v>46</v>
      </c>
      <c r="D110" s="18">
        <f>Heizflächen!D57</f>
        <v>0</v>
      </c>
      <c r="E110" s="244" cm="1">
        <f t="array" ref="E110">IF(Heizflächen!I57="Fußbodenheizung",_xlfn.XLOOKUP(C57&amp;D57&amp;H57,Tabelle14[Geschoss]&amp;Tabelle14[Raum]&amp;Tabelle14[Heizkörpernummer],Tabelle14[Q '[W']],0,0,1),_xlfn.XLOOKUP(C57&amp;D57&amp;H57,Tabelle3[Geschoss]&amp;Tabelle3[Raum]&amp;Tabelle3[Heizkörpernummer],Tabelle3[Heizleistung des Heizkörpers QBetrieb],0,0,1))</f>
        <v>0</v>
      </c>
      <c r="F110" s="332">
        <f>0.86*((E110)/((_xlfn.XLOOKUP($U$64,Tabelle5[Auswählbare Vor-und Rücklauftemperaturen],Tabelle5[Vorlauf],"",0,1))-_xlfn.XLOOKUP($U$64,Tabelle5[Auswählbare Vor-und Rücklauftemperaturen],Tabelle5[Rücklauf],"",0,1))/60)</f>
        <v>0</v>
      </c>
      <c r="G110" s="168"/>
      <c r="H110" s="180"/>
      <c r="I110" s="728"/>
      <c r="J110" s="168"/>
      <c r="K110" s="168"/>
      <c r="L110" s="728"/>
      <c r="M110" s="18">
        <f>Datenbank!FJ52</f>
        <v>0</v>
      </c>
      <c r="N110" s="18">
        <f>Datenbank!FK52</f>
        <v>0</v>
      </c>
      <c r="O110" s="1399" t="e" cm="1">
        <f t="array" ref="O110">(Allgemein!$C$125*1000*1.15)*((_xlfn.XLOOKUP(N110,Tabelle1[Raum],$E$12:$E$36,0,0,1))/(Datenbank!$FN$57))</f>
        <v>#DIV/0!</v>
      </c>
      <c r="P110" s="735">
        <f>SUMIFS(Tabelle3[Heizleistung des Heizkörpers QBetrieb],Tabelle3[Geschoss],M110,Tabelle3[Raum],N110)+SUMIFS(Tabelle14[Q '[W']],Tabelle14[Geschoss],M110,Tabelle14[Raum],N110)</f>
        <v>0</v>
      </c>
      <c r="Q110" s="418"/>
      <c r="R110" s="418"/>
      <c r="S110" s="732"/>
      <c r="T110" s="168"/>
      <c r="U110" s="168"/>
      <c r="V110" s="406"/>
    </row>
    <row r="111" spans="1:22">
      <c r="A111" s="219"/>
      <c r="B111" s="18">
        <f>Heizflächen!C58</f>
        <v>0</v>
      </c>
      <c r="C111" s="18">
        <f>Heizflächen!H58</f>
        <v>47</v>
      </c>
      <c r="D111" s="18">
        <f>Heizflächen!D58</f>
        <v>0</v>
      </c>
      <c r="E111" s="244" cm="1">
        <f t="array" ref="E111">IF(Heizflächen!I58="Fußbodenheizung",_xlfn.XLOOKUP(C58&amp;D58&amp;H58,Tabelle14[Geschoss]&amp;Tabelle14[Raum]&amp;Tabelle14[Heizkörpernummer],Tabelle14[Q '[W']],0,0,1),_xlfn.XLOOKUP(C58&amp;D58&amp;H58,Tabelle3[Geschoss]&amp;Tabelle3[Raum]&amp;Tabelle3[Heizkörpernummer],Tabelle3[Heizleistung des Heizkörpers QBetrieb],0,0,1))</f>
        <v>0</v>
      </c>
      <c r="F111" s="332">
        <f>0.86*((E111)/((_xlfn.XLOOKUP($U$64,Tabelle5[Auswählbare Vor-und Rücklauftemperaturen],Tabelle5[Vorlauf],"",0,1))-_xlfn.XLOOKUP($U$64,Tabelle5[Auswählbare Vor-und Rücklauftemperaturen],Tabelle5[Rücklauf],"",0,1))/60)</f>
        <v>0</v>
      </c>
      <c r="G111" s="168"/>
      <c r="H111" s="180"/>
      <c r="I111" s="728"/>
      <c r="J111" s="168"/>
      <c r="K111" s="168"/>
      <c r="L111" s="728"/>
      <c r="M111" s="18">
        <f>Datenbank!FJ53</f>
        <v>0</v>
      </c>
      <c r="N111" s="18">
        <f>Datenbank!FK53</f>
        <v>0</v>
      </c>
      <c r="O111" s="1399" t="e" cm="1">
        <f t="array" ref="O111">(Allgemein!$C$125*1000*1.15)*((_xlfn.XLOOKUP(N111,Tabelle1[Raum],$E$12:$E$36,0,0,1))/(Datenbank!$FN$57))</f>
        <v>#DIV/0!</v>
      </c>
      <c r="P111" s="735">
        <f>SUMIFS(Tabelle3[Heizleistung des Heizkörpers QBetrieb],Tabelle3[Geschoss],M111,Tabelle3[Raum],N111)+SUMIFS(Tabelle14[Q '[W']],Tabelle14[Geschoss],M111,Tabelle14[Raum],N111)</f>
        <v>0</v>
      </c>
      <c r="Q111" s="418"/>
      <c r="R111" s="418"/>
      <c r="S111" s="732"/>
      <c r="T111" s="168"/>
      <c r="U111" s="168"/>
      <c r="V111" s="406"/>
    </row>
    <row r="112" spans="1:22">
      <c r="A112" s="219"/>
      <c r="B112" s="18">
        <f>Heizflächen!C59</f>
        <v>0</v>
      </c>
      <c r="C112" s="18">
        <f>Heizflächen!H59</f>
        <v>48</v>
      </c>
      <c r="D112" s="18">
        <f>Heizflächen!D59</f>
        <v>0</v>
      </c>
      <c r="E112" s="244" cm="1">
        <f t="array" ref="E112">IF(Heizflächen!I59="Fußbodenheizung",_xlfn.XLOOKUP(C59&amp;D59&amp;H59,Tabelle14[Geschoss]&amp;Tabelle14[Raum]&amp;Tabelle14[Heizkörpernummer],Tabelle14[Q '[W']],0,0,1),_xlfn.XLOOKUP(C59&amp;D59&amp;H59,Tabelle3[Geschoss]&amp;Tabelle3[Raum]&amp;Tabelle3[Heizkörpernummer],Tabelle3[Heizleistung des Heizkörpers QBetrieb],0,0,1))</f>
        <v>0</v>
      </c>
      <c r="F112" s="332">
        <f>0.86*((E112)/((_xlfn.XLOOKUP($U$64,Tabelle5[Auswählbare Vor-und Rücklauftemperaturen],Tabelle5[Vorlauf],"",0,1))-_xlfn.XLOOKUP($U$64,Tabelle5[Auswählbare Vor-und Rücklauftemperaturen],Tabelle5[Rücklauf],"",0,1))/60)</f>
        <v>0</v>
      </c>
      <c r="G112" s="168"/>
      <c r="H112" s="180"/>
      <c r="I112" s="728"/>
      <c r="J112" s="168"/>
      <c r="K112" s="168"/>
      <c r="L112" s="728"/>
      <c r="M112" s="18">
        <f>Datenbank!FJ54</f>
        <v>0</v>
      </c>
      <c r="N112" s="18">
        <f>Datenbank!FK54</f>
        <v>0</v>
      </c>
      <c r="O112" s="1399" t="e" cm="1">
        <f t="array" ref="O112">(Allgemein!$C$125*1000*1.15)*((_xlfn.XLOOKUP(N112,Tabelle1[Raum],$E$12:$E$36,0,0,1))/(Datenbank!$FN$57))</f>
        <v>#DIV/0!</v>
      </c>
      <c r="P112" s="735">
        <f>SUMIFS(Tabelle3[Heizleistung des Heizkörpers QBetrieb],Tabelle3[Geschoss],M112,Tabelle3[Raum],N112)+SUMIFS(Tabelle14[Q '[W']],Tabelle14[Geschoss],M112,Tabelle14[Raum],N112)</f>
        <v>0</v>
      </c>
      <c r="Q112" s="418"/>
      <c r="R112" s="418"/>
      <c r="S112" s="732"/>
      <c r="T112" s="168"/>
      <c r="U112" s="168"/>
      <c r="V112" s="406"/>
    </row>
    <row r="113" spans="1:22">
      <c r="A113" s="219"/>
      <c r="B113" s="18">
        <f>Heizflächen!C60</f>
        <v>0</v>
      </c>
      <c r="C113" s="18">
        <f>Heizflächen!H60</f>
        <v>49</v>
      </c>
      <c r="D113" s="18">
        <f>Heizflächen!D60</f>
        <v>0</v>
      </c>
      <c r="E113" s="244" cm="1">
        <f t="array" ref="E113">IF(Heizflächen!I60="Fußbodenheizung",_xlfn.XLOOKUP(C60&amp;D60&amp;H60,Tabelle14[Geschoss]&amp;Tabelle14[Raum]&amp;Tabelle14[Heizkörpernummer],Tabelle14[Q '[W']],0,0,1),_xlfn.XLOOKUP(C60&amp;D60&amp;H60,Tabelle3[Geschoss]&amp;Tabelle3[Raum]&amp;Tabelle3[Heizkörpernummer],Tabelle3[Heizleistung des Heizkörpers QBetrieb],0,0,1))</f>
        <v>0</v>
      </c>
      <c r="F113" s="332">
        <f>0.86*((E113)/((_xlfn.XLOOKUP($U$64,Tabelle5[Auswählbare Vor-und Rücklauftemperaturen],Tabelle5[Vorlauf],"",0,1))-_xlfn.XLOOKUP($U$64,Tabelle5[Auswählbare Vor-und Rücklauftemperaturen],Tabelle5[Rücklauf],"",0,1))/60)</f>
        <v>0</v>
      </c>
      <c r="G113" s="168"/>
      <c r="H113" s="180"/>
      <c r="I113" s="728"/>
      <c r="J113" s="168"/>
      <c r="K113" s="168"/>
      <c r="L113" s="728"/>
      <c r="M113" s="18">
        <f>Datenbank!FJ55</f>
        <v>0</v>
      </c>
      <c r="N113" s="18">
        <f>Datenbank!FK55</f>
        <v>0</v>
      </c>
      <c r="O113" s="1399" t="e" cm="1">
        <f t="array" ref="O113">(Allgemein!$C$125*1000*1.15)*((_xlfn.XLOOKUP(N113,Tabelle1[Raum],$E$12:$E$36,0,0,1))/(Datenbank!$FN$57))</f>
        <v>#DIV/0!</v>
      </c>
      <c r="P113" s="735">
        <f>SUMIFS(Tabelle3[Heizleistung des Heizkörpers QBetrieb],Tabelle3[Geschoss],M113,Tabelle3[Raum],N113)+SUMIFS(Tabelle14[Q '[W']],Tabelle14[Geschoss],M113,Tabelle14[Raum],N113)</f>
        <v>0</v>
      </c>
      <c r="Q113" s="418"/>
      <c r="R113" s="418"/>
      <c r="S113" s="732"/>
      <c r="T113" s="168"/>
      <c r="U113" s="168"/>
      <c r="V113" s="406"/>
    </row>
    <row r="114" spans="1:22" ht="17.399999999999999" thickBot="1">
      <c r="B114" s="388">
        <f>Heizflächen!C61</f>
        <v>0</v>
      </c>
      <c r="C114" s="199">
        <f>Heizflächen!H61</f>
        <v>50</v>
      </c>
      <c r="D114" s="199">
        <f>Heizflächen!D61</f>
        <v>0</v>
      </c>
      <c r="E114" s="421" cm="1">
        <f t="array" ref="E114">IF(Heizflächen!I61="Fußbodenheizung",_xlfn.XLOOKUP(C61&amp;D61&amp;H61,Tabelle14[Geschoss]&amp;Tabelle14[Raum]&amp;Tabelle14[Heizkörpernummer],Tabelle14[Q '[W']],0,0,1),_xlfn.XLOOKUP(C61&amp;D61&amp;H61,Tabelle3[Geschoss]&amp;Tabelle3[Raum]&amp;Tabelle3[Heizkörpernummer],Tabelle3[Heizleistung des Heizkörpers QBetrieb],0,0,1))</f>
        <v>0</v>
      </c>
      <c r="F114" s="730">
        <f>0.86*((E114)/((_xlfn.XLOOKUP($U$64,Tabelle5[Auswählbare Vor-und Rücklauftemperaturen],Tabelle5[Vorlauf],"",0,1))-_xlfn.XLOOKUP($U$64,Tabelle5[Auswählbare Vor-und Rücklauftemperaturen],Tabelle5[Rücklauf],"",0,1))/60)</f>
        <v>0</v>
      </c>
      <c r="G114" s="169"/>
      <c r="H114" s="257"/>
      <c r="I114" s="733"/>
      <c r="J114" s="169"/>
      <c r="K114" s="169"/>
      <c r="L114" s="733"/>
      <c r="M114" s="199">
        <f>Datenbank!FJ56</f>
        <v>0</v>
      </c>
      <c r="N114" s="199">
        <f>Datenbank!FK56</f>
        <v>0</v>
      </c>
      <c r="O114" s="1399" t="e" cm="1">
        <f t="array" ref="O114">(Allgemein!$C$125*1000*1.15)*((_xlfn.XLOOKUP(N114,Tabelle1[Raum],$E$12:$E$36,0,0,1))/(Datenbank!$FN$57))</f>
        <v>#DIV/0!</v>
      </c>
      <c r="P114" s="735">
        <f>SUMIFS(Tabelle3[Heizleistung des Heizkörpers QBetrieb],Tabelle3[Geschoss],M114,Tabelle3[Raum],N114)+SUMIFS(Tabelle14[Q '[W']],Tabelle14[Geschoss],M114,Tabelle14[Raum],N114)</f>
        <v>0</v>
      </c>
      <c r="Q114" s="423"/>
      <c r="R114" s="423"/>
      <c r="S114" s="737"/>
      <c r="T114" s="169"/>
      <c r="U114" s="169"/>
      <c r="V114" s="422"/>
    </row>
    <row r="115" spans="1:22" ht="17.399999999999999" thickTop="1">
      <c r="P115" s="181"/>
    </row>
  </sheetData>
  <protectedRanges>
    <protectedRange algorithmName="SHA-512" hashValue="MU0wYNHJYObq0roldmNPwL2pn73SIM3pIf4cxni8L9X2ctIoDWFgYTFdpbLUAaoLLF6WKhJDlItvugSxyL3QZg==" saltValue="ePOuZQAVlA/o/nR5myZOnw==" spinCount="100000" sqref="J7:T8 C11:E17 J9:L9 J24:L24 G7:I9 E7:E8 J12:L15 J19:L19 O19:R19 O24:R24 Z37:AH49 O12:R15 F12:H18 F11:R11 Z50:AE54 C18:D32 E18 E19:H32 M62 T64:U64 T63:V63 J33:L33 O33:R33 I62:K62 J16:R18 J20:R23 J25:R32 B7:B10 D9:F9 D10:V10 H62:H63 J34:R61 C33:H61 G63:G114 K63:L114 I63:I114 B62:F114" name="Bereich1"/>
    <protectedRange algorithmName="SHA-512" hashValue="MU0wYNHJYObq0roldmNPwL2pn73SIM3pIf4cxni8L9X2ctIoDWFgYTFdpbLUAaoLLF6WKhJDlItvugSxyL3QZg==" saltValue="ePOuZQAVlA/o/nR5myZOnw==" spinCount="100000" sqref="M12:N15 M24:N24 M19:N19 M33:N33 I12:I61" name="Bereich1_1"/>
  </protectedRanges>
  <mergeCells count="21">
    <mergeCell ref="I2:P3"/>
    <mergeCell ref="M10:N10"/>
    <mergeCell ref="T64:T66"/>
    <mergeCell ref="U64:U66"/>
    <mergeCell ref="E2:F2"/>
    <mergeCell ref="E3:F3"/>
    <mergeCell ref="E4:F4"/>
    <mergeCell ref="E5:F5"/>
    <mergeCell ref="E6:F6"/>
    <mergeCell ref="S2:V8"/>
    <mergeCell ref="G5:J6"/>
    <mergeCell ref="G7:J8"/>
    <mergeCell ref="E7:F7"/>
    <mergeCell ref="E8:F8"/>
    <mergeCell ref="B7:D7"/>
    <mergeCell ref="B8:D8"/>
    <mergeCell ref="B2:D2"/>
    <mergeCell ref="B3:D3"/>
    <mergeCell ref="B4:D4"/>
    <mergeCell ref="B5:D5"/>
    <mergeCell ref="B6:D6"/>
  </mergeCells>
  <phoneticPr fontId="1" type="noConversion"/>
  <conditionalFormatting sqref="P65">
    <cfRule type="expression" dxfId="108" priority="102">
      <formula>$O$65&lt;$P$65</formula>
    </cfRule>
    <cfRule type="expression" dxfId="107" priority="78">
      <formula>$O$65&gt;$P$65</formula>
    </cfRule>
  </conditionalFormatting>
  <conditionalFormatting sqref="P66">
    <cfRule type="expression" dxfId="106" priority="103">
      <formula>$O$66&lt;$P$66</formula>
    </cfRule>
    <cfRule type="expression" dxfId="105" priority="77">
      <formula>$O$66&gt;$P$66</formula>
    </cfRule>
  </conditionalFormatting>
  <conditionalFormatting sqref="P67">
    <cfRule type="expression" dxfId="104" priority="101">
      <formula>$O$67&lt;$P$67</formula>
    </cfRule>
    <cfRule type="expression" dxfId="103" priority="76">
      <formula>$O$67&gt;$P$67</formula>
    </cfRule>
  </conditionalFormatting>
  <conditionalFormatting sqref="P68">
    <cfRule type="expression" dxfId="102" priority="100">
      <formula>$O$68&lt;$P$68</formula>
    </cfRule>
    <cfRule type="expression" dxfId="101" priority="75">
      <formula>$O$68&gt;$P$68</formula>
    </cfRule>
  </conditionalFormatting>
  <conditionalFormatting sqref="P69">
    <cfRule type="expression" dxfId="100" priority="99">
      <formula>$O$69&lt;$P$69</formula>
    </cfRule>
    <cfRule type="expression" dxfId="99" priority="74">
      <formula>$O$69&gt;$P$69</formula>
    </cfRule>
  </conditionalFormatting>
  <conditionalFormatting sqref="P70">
    <cfRule type="expression" dxfId="98" priority="98">
      <formula>$O$70&lt;$P$70</formula>
    </cfRule>
    <cfRule type="expression" dxfId="97" priority="73">
      <formula>$O$70&gt;$P$70</formula>
    </cfRule>
  </conditionalFormatting>
  <conditionalFormatting sqref="P71">
    <cfRule type="expression" dxfId="96" priority="97">
      <formula>$O$71&lt;$P$71</formula>
    </cfRule>
    <cfRule type="expression" dxfId="95" priority="72">
      <formula>$O$71&gt;$P$71</formula>
    </cfRule>
  </conditionalFormatting>
  <conditionalFormatting sqref="P72">
    <cfRule type="expression" dxfId="94" priority="71">
      <formula>$O$72&gt;$P$72</formula>
    </cfRule>
    <cfRule type="expression" dxfId="93" priority="96">
      <formula>$O$72&lt;$P$72</formula>
    </cfRule>
  </conditionalFormatting>
  <conditionalFormatting sqref="P73">
    <cfRule type="expression" dxfId="92" priority="95">
      <formula>$O$73&lt;$P$73</formula>
    </cfRule>
    <cfRule type="expression" dxfId="91" priority="70">
      <formula>$O$73&gt;$P$73</formula>
    </cfRule>
  </conditionalFormatting>
  <conditionalFormatting sqref="P74">
    <cfRule type="expression" dxfId="90" priority="94">
      <formula>$O$74&lt;$P$74</formula>
    </cfRule>
    <cfRule type="expression" dxfId="89" priority="69">
      <formula>$O$74&gt;$P$74</formula>
    </cfRule>
  </conditionalFormatting>
  <conditionalFormatting sqref="P75">
    <cfRule type="expression" dxfId="88" priority="93">
      <formula>$O$75&lt;$P$75</formula>
    </cfRule>
    <cfRule type="expression" dxfId="87" priority="68">
      <formula>$O$75&gt;$P$75</formula>
    </cfRule>
  </conditionalFormatting>
  <conditionalFormatting sqref="P76">
    <cfRule type="expression" dxfId="86" priority="92">
      <formula>$O$76&lt;$P$76</formula>
    </cfRule>
    <cfRule type="expression" dxfId="85" priority="67">
      <formula>$O$76&gt;$P$76</formula>
    </cfRule>
  </conditionalFormatting>
  <conditionalFormatting sqref="P77">
    <cfRule type="expression" dxfId="84" priority="91">
      <formula>$O$77&lt;$P$77</formula>
    </cfRule>
    <cfRule type="expression" dxfId="83" priority="66">
      <formula>$O$77&gt;$P$77</formula>
    </cfRule>
  </conditionalFormatting>
  <conditionalFormatting sqref="P78">
    <cfRule type="expression" dxfId="82" priority="90">
      <formula>$O$78&lt;$P$78</formula>
    </cfRule>
    <cfRule type="expression" dxfId="81" priority="65">
      <formula>$O$78&gt;$P$78</formula>
    </cfRule>
  </conditionalFormatting>
  <conditionalFormatting sqref="P79">
    <cfRule type="expression" dxfId="80" priority="89">
      <formula>$O$79&lt;$P$79</formula>
    </cfRule>
    <cfRule type="expression" dxfId="79" priority="64">
      <formula>$O$79&gt;$P$79</formula>
    </cfRule>
  </conditionalFormatting>
  <conditionalFormatting sqref="P80">
    <cfRule type="expression" dxfId="78" priority="63">
      <formula>$O$80&gt;$P$80</formula>
    </cfRule>
    <cfRule type="expression" dxfId="77" priority="88">
      <formula>$O$80&lt;$P$80</formula>
    </cfRule>
  </conditionalFormatting>
  <conditionalFormatting sqref="P81">
    <cfRule type="expression" dxfId="76" priority="87">
      <formula>$O$81&lt;$P$81</formula>
    </cfRule>
    <cfRule type="expression" dxfId="75" priority="62">
      <formula>$O$81&gt;$P$81</formula>
    </cfRule>
  </conditionalFormatting>
  <conditionalFormatting sqref="P82">
    <cfRule type="expression" dxfId="74" priority="86">
      <formula>$O$82&lt;$P$82</formula>
    </cfRule>
    <cfRule type="expression" dxfId="73" priority="61">
      <formula>$O$82&gt;$P$82</formula>
    </cfRule>
  </conditionalFormatting>
  <conditionalFormatting sqref="P83">
    <cfRule type="expression" dxfId="72" priority="85">
      <formula>$O$83&lt;$P$83</formula>
    </cfRule>
    <cfRule type="expression" dxfId="71" priority="60">
      <formula>$O$83&gt;$P$83</formula>
    </cfRule>
  </conditionalFormatting>
  <conditionalFormatting sqref="P84">
    <cfRule type="expression" dxfId="70" priority="84">
      <formula>$O$84&lt;$P$84</formula>
    </cfRule>
    <cfRule type="expression" dxfId="69" priority="59">
      <formula>$O$84&gt;$P$84</formula>
    </cfRule>
  </conditionalFormatting>
  <conditionalFormatting sqref="P85">
    <cfRule type="expression" dxfId="68" priority="83">
      <formula>$O$85&lt;$P$85</formula>
    </cfRule>
    <cfRule type="expression" dxfId="67" priority="58">
      <formula>$O$85&gt;$P$85</formula>
    </cfRule>
  </conditionalFormatting>
  <conditionalFormatting sqref="P86">
    <cfRule type="expression" dxfId="66" priority="82">
      <formula>$O$86&lt;$P$86</formula>
    </cfRule>
    <cfRule type="expression" dxfId="65" priority="57">
      <formula>$O$86&gt;$P$86</formula>
    </cfRule>
  </conditionalFormatting>
  <conditionalFormatting sqref="P87">
    <cfRule type="expression" dxfId="64" priority="56">
      <formula>$O$87&gt;$P$87</formula>
    </cfRule>
    <cfRule type="expression" dxfId="63" priority="81">
      <formula>$O$87&lt;$P$87</formula>
    </cfRule>
  </conditionalFormatting>
  <conditionalFormatting sqref="P88">
    <cfRule type="expression" dxfId="62" priority="55">
      <formula>$O$88&gt;$P$88</formula>
    </cfRule>
    <cfRule type="expression" dxfId="61" priority="80">
      <formula>$O$88&lt;$P$88</formula>
    </cfRule>
  </conditionalFormatting>
  <conditionalFormatting sqref="P89">
    <cfRule type="expression" dxfId="60" priority="51">
      <formula>$O$89&gt;$P$89</formula>
    </cfRule>
    <cfRule type="expression" dxfId="59" priority="53">
      <formula>$O$89&lt;$P$89</formula>
    </cfRule>
  </conditionalFormatting>
  <conditionalFormatting sqref="P90">
    <cfRule type="expression" dxfId="58" priority="50">
      <formula>$O$90&lt;$P$90</formula>
    </cfRule>
    <cfRule type="expression" dxfId="57" priority="49">
      <formula>$O$90&gt;$P$90</formula>
    </cfRule>
  </conditionalFormatting>
  <conditionalFormatting sqref="P91">
    <cfRule type="expression" dxfId="56" priority="48">
      <formula>$O$91&lt;$P$91</formula>
    </cfRule>
    <cfRule type="expression" dxfId="55" priority="47">
      <formula>$O$91&gt;$P$91</formula>
    </cfRule>
  </conditionalFormatting>
  <conditionalFormatting sqref="P92">
    <cfRule type="expression" dxfId="54" priority="46">
      <formula>$O$92&lt;$P$92</formula>
    </cfRule>
    <cfRule type="expression" dxfId="53" priority="45">
      <formula>$O$92&gt;$P$92</formula>
    </cfRule>
  </conditionalFormatting>
  <conditionalFormatting sqref="P93">
    <cfRule type="expression" dxfId="52" priority="44">
      <formula>$O$93&lt;$P$93</formula>
    </cfRule>
    <cfRule type="expression" dxfId="51" priority="43">
      <formula>$O$93&gt;$P$93</formula>
    </cfRule>
  </conditionalFormatting>
  <conditionalFormatting sqref="P94">
    <cfRule type="expression" dxfId="50" priority="42">
      <formula>$O$94&lt;$P$94</formula>
    </cfRule>
    <cfRule type="expression" dxfId="49" priority="41">
      <formula>$O$94&gt;$P$94</formula>
    </cfRule>
  </conditionalFormatting>
  <conditionalFormatting sqref="P95">
    <cfRule type="expression" dxfId="48" priority="39">
      <formula>$O$95&gt;$P$95</formula>
    </cfRule>
    <cfRule type="expression" dxfId="47" priority="40">
      <formula>$O$95&lt;$P$95</formula>
    </cfRule>
  </conditionalFormatting>
  <conditionalFormatting sqref="P96">
    <cfRule type="expression" dxfId="46" priority="38">
      <formula>$O$96&lt;$P$96</formula>
    </cfRule>
    <cfRule type="expression" dxfId="45" priority="37">
      <formula>$O$96&gt;$P$96</formula>
    </cfRule>
  </conditionalFormatting>
  <conditionalFormatting sqref="P97">
    <cfRule type="expression" dxfId="44" priority="36">
      <formula>$O$97&lt;$P$97</formula>
    </cfRule>
    <cfRule type="expression" dxfId="43" priority="35">
      <formula>$O$97&gt;$P$97</formula>
    </cfRule>
  </conditionalFormatting>
  <conditionalFormatting sqref="P98">
    <cfRule type="expression" dxfId="42" priority="34">
      <formula>$O$98&lt;$P$98</formula>
    </cfRule>
    <cfRule type="expression" dxfId="41" priority="33">
      <formula>$O$98&gt;$P$98</formula>
    </cfRule>
  </conditionalFormatting>
  <conditionalFormatting sqref="P99">
    <cfRule type="expression" dxfId="40" priority="32">
      <formula>$O$99&lt;$P$99</formula>
    </cfRule>
    <cfRule type="expression" dxfId="39" priority="31">
      <formula>$O$99&gt;$P$99</formula>
    </cfRule>
  </conditionalFormatting>
  <conditionalFormatting sqref="P100">
    <cfRule type="expression" dxfId="38" priority="30">
      <formula>$O$100&lt;$P$100</formula>
    </cfRule>
    <cfRule type="expression" dxfId="37" priority="29">
      <formula>$O$100&gt;$P$100</formula>
    </cfRule>
  </conditionalFormatting>
  <conditionalFormatting sqref="P101">
    <cfRule type="expression" dxfId="36" priority="28">
      <formula>$O$101&lt;$P$101</formula>
    </cfRule>
    <cfRule type="expression" dxfId="35" priority="27">
      <formula>$O$101&gt;$P$101</formula>
    </cfRule>
  </conditionalFormatting>
  <conditionalFormatting sqref="P102">
    <cfRule type="expression" dxfId="34" priority="25">
      <formula>$O$102&gt;$P$102</formula>
    </cfRule>
    <cfRule type="expression" dxfId="33" priority="26">
      <formula>$O$102&lt;$P$102</formula>
    </cfRule>
  </conditionalFormatting>
  <conditionalFormatting sqref="P103">
    <cfRule type="expression" dxfId="32" priority="24">
      <formula>$O$103&lt;$P$103</formula>
    </cfRule>
    <cfRule type="expression" dxfId="31" priority="23">
      <formula>$O$103&gt;$P$103</formula>
    </cfRule>
  </conditionalFormatting>
  <conditionalFormatting sqref="P104">
    <cfRule type="expression" dxfId="30" priority="22">
      <formula>$O$104&lt;$P$104</formula>
    </cfRule>
    <cfRule type="expression" dxfId="29" priority="21">
      <formula>$O$104&gt;$P$104</formula>
    </cfRule>
  </conditionalFormatting>
  <conditionalFormatting sqref="P105">
    <cfRule type="expression" dxfId="28" priority="20">
      <formula>$O$105&lt;$P$105</formula>
    </cfRule>
    <cfRule type="expression" dxfId="27" priority="19">
      <formula>$O$105&gt;$P$105</formula>
    </cfRule>
  </conditionalFormatting>
  <conditionalFormatting sqref="P106">
    <cfRule type="expression" dxfId="26" priority="18">
      <formula>$O$106&lt;$P$106</formula>
    </cfRule>
    <cfRule type="expression" dxfId="25" priority="17">
      <formula>$O$106&gt;$P$106</formula>
    </cfRule>
  </conditionalFormatting>
  <conditionalFormatting sqref="P107">
    <cfRule type="expression" dxfId="24" priority="16">
      <formula>$O$107&lt;$P$107</formula>
    </cfRule>
    <cfRule type="expression" dxfId="23" priority="15">
      <formula>$O$107&gt;$P$107</formula>
    </cfRule>
  </conditionalFormatting>
  <conditionalFormatting sqref="P108">
    <cfRule type="expression" dxfId="22" priority="13">
      <formula>$O$108&gt;$P$108</formula>
    </cfRule>
    <cfRule type="expression" dxfId="21" priority="14">
      <formula>$O$108&lt;$P$108</formula>
    </cfRule>
  </conditionalFormatting>
  <conditionalFormatting sqref="P109">
    <cfRule type="expression" dxfId="20" priority="12">
      <formula>$O$109&lt;$P$109</formula>
    </cfRule>
    <cfRule type="expression" dxfId="19" priority="11">
      <formula>$O$109&gt;$P$109</formula>
    </cfRule>
  </conditionalFormatting>
  <conditionalFormatting sqref="P110">
    <cfRule type="expression" dxfId="18" priority="10">
      <formula>$O$110&lt;$P$110</formula>
    </cfRule>
    <cfRule type="expression" dxfId="17" priority="9">
      <formula>$O$110&gt;$P$110</formula>
    </cfRule>
  </conditionalFormatting>
  <conditionalFormatting sqref="P111">
    <cfRule type="expression" dxfId="16" priority="8">
      <formula>$O$111&lt;$P$111</formula>
    </cfRule>
    <cfRule type="expression" dxfId="15" priority="7">
      <formula>$O$111&gt;$P$111</formula>
    </cfRule>
  </conditionalFormatting>
  <conditionalFormatting sqref="P112">
    <cfRule type="expression" dxfId="14" priority="6">
      <formula>$O$112&lt;$P$112</formula>
    </cfRule>
    <cfRule type="expression" dxfId="13" priority="5">
      <formula>$O$112&gt;$P$112</formula>
    </cfRule>
  </conditionalFormatting>
  <conditionalFormatting sqref="P113">
    <cfRule type="expression" dxfId="12" priority="4">
      <formula>$O$113&lt;$P$113</formula>
    </cfRule>
    <cfRule type="expression" dxfId="11" priority="3">
      <formula>$O$113&gt;$P$113</formula>
    </cfRule>
  </conditionalFormatting>
  <conditionalFormatting sqref="P114">
    <cfRule type="expression" dxfId="10" priority="2">
      <formula>$O$114&lt;$P$114</formula>
    </cfRule>
    <cfRule type="expression" dxfId="9" priority="1">
      <formula>$O$114&gt;$P$114</formula>
    </cfRule>
  </conditionalFormatting>
  <pageMargins left="0.7" right="0.7" top="0.78740157499999996" bottom="0.78740157499999996"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9">
        <x14:dataValidation type="list" allowBlank="1" showInputMessage="1" showErrorMessage="1" xr:uid="{5EB01B37-CCA6-4315-B8A5-6EF8EB26B864}">
          <x14:formula1>
            <xm:f>Datenbank!$CC$47:$CC$64</xm:f>
          </x14:formula1>
          <xm:sqref>I12:I61</xm:sqref>
        </x14:dataValidation>
        <x14:dataValidation type="list" allowBlank="1" showInputMessage="1" showErrorMessage="1" xr:uid="{C2556671-D895-4D4B-9103-291BAA220B1F}">
          <x14:formula1>
            <xm:f>Datenbank!$CC$70:$CC$93</xm:f>
          </x14:formula1>
          <xm:sqref>J12:J61</xm:sqref>
        </x14:dataValidation>
        <x14:dataValidation type="list" allowBlank="1" showInputMessage="1" showErrorMessage="1" xr:uid="{DC4C7DFB-5150-4543-B4A5-CC742B87E654}">
          <x14:formula1>
            <xm:f>Datenbank!$CH$19:$CH$20</xm:f>
          </x14:formula1>
          <xm:sqref>K12:K61</xm:sqref>
        </x14:dataValidation>
        <x14:dataValidation type="list" allowBlank="1" showInputMessage="1" showErrorMessage="1" xr:uid="{9882D89B-AF8C-4133-A159-3A2E69F03889}">
          <x14:formula1>
            <xm:f>Datenbank!$BR$13:$BR$33</xm:f>
          </x14:formula1>
          <xm:sqref>L12:L61</xm:sqref>
        </x14:dataValidation>
        <x14:dataValidation type="list" allowBlank="1" showInputMessage="1" showErrorMessage="1" xr:uid="{4EED5E02-0DA1-4DAD-8DE1-2A32F92AE143}">
          <x14:formula1>
            <xm:f>Datenbank!$CQ$13:$CQ$26</xm:f>
          </x14:formula1>
          <xm:sqref>S12:S61</xm:sqref>
        </x14:dataValidation>
        <x14:dataValidation type="list" allowBlank="1" showInputMessage="1" showErrorMessage="1" xr:uid="{1BFCE27E-9D87-4E3B-97CD-2E823ADD28B3}">
          <x14:formula1>
            <xm:f>Datenbank!$CU$13:$CU$33</xm:f>
          </x14:formula1>
          <xm:sqref>T12:T61</xm:sqref>
        </x14:dataValidation>
        <x14:dataValidation type="list" allowBlank="1" showInputMessage="1" showErrorMessage="1" xr:uid="{176161A2-13D0-436B-A3F5-19AF7E2EC762}">
          <x14:formula1>
            <xm:f>Datenbank!$CS$13:$CS$26</xm:f>
          </x14:formula1>
          <xm:sqref>U12:U61</xm:sqref>
        </x14:dataValidation>
        <x14:dataValidation type="list" allowBlank="1" showInputMessage="1" showErrorMessage="1" xr:uid="{6FCA0BDA-70AC-486D-A2BD-A4C14560C1B1}">
          <x14:formula1>
            <xm:f>Datenbank!$CX$13:$CX$29</xm:f>
          </x14:formula1>
          <xm:sqref>V12:V61</xm:sqref>
        </x14:dataValidation>
        <x14:dataValidation type="list" allowBlank="1" showInputMessage="1" showErrorMessage="1" xr:uid="{9D16E54E-5B0F-432E-BDEA-292198FEA13F}">
          <x14:formula1>
            <xm:f>Datenbank!$CC$11:$CC$41</xm:f>
          </x14:formula1>
          <xm:sqref>U64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CF64-37A1-4BFD-BF38-D9D1C6ABC8FA}">
  <dimension ref="B1:GN572"/>
  <sheetViews>
    <sheetView showGridLines="0" topLeftCell="FA20" zoomScale="70" zoomScaleNormal="70" workbookViewId="0">
      <selection activeCell="FQ50" sqref="FQ50"/>
    </sheetView>
  </sheetViews>
  <sheetFormatPr baseColWidth="10" defaultColWidth="11.44140625" defaultRowHeight="16.8"/>
  <cols>
    <col min="1" max="1" width="12.44140625" style="2" customWidth="1"/>
    <col min="2" max="2" width="46.5546875" style="2" customWidth="1"/>
    <col min="3" max="3" width="21.5546875" style="2" customWidth="1"/>
    <col min="4" max="4" width="22" style="2" customWidth="1"/>
    <col min="5" max="5" width="19.6640625" style="2" customWidth="1"/>
    <col min="6" max="6" width="14" style="2" customWidth="1"/>
    <col min="7" max="7" width="11.5546875" style="2" customWidth="1"/>
    <col min="8" max="8" width="19.44140625" style="2" customWidth="1"/>
    <col min="9" max="9" width="30.6640625" style="2" customWidth="1"/>
    <col min="10" max="10" width="14.33203125" style="2" bestFit="1" customWidth="1"/>
    <col min="11" max="11" width="37.5546875" style="2" customWidth="1"/>
    <col min="12" max="12" width="12.5546875" style="2" bestFit="1" customWidth="1"/>
    <col min="13" max="13" width="21" style="2" customWidth="1"/>
    <col min="14" max="14" width="15.44140625" style="2" customWidth="1"/>
    <col min="15" max="15" width="25.6640625" style="2" customWidth="1"/>
    <col min="16" max="16" width="21.5546875" style="2" customWidth="1"/>
    <col min="17" max="33" width="12.44140625" style="2" bestFit="1" customWidth="1"/>
    <col min="34" max="34" width="11.5546875" style="2" bestFit="1" customWidth="1"/>
    <col min="35" max="35" width="17.33203125" style="2" customWidth="1"/>
    <col min="36" max="36" width="16.6640625" style="2" customWidth="1"/>
    <col min="37" max="37" width="13.44140625" style="2" bestFit="1" customWidth="1"/>
    <col min="38" max="38" width="11.5546875" style="2" bestFit="1" customWidth="1"/>
    <col min="39" max="39" width="16.5546875" style="2" customWidth="1"/>
    <col min="40" max="40" width="21.44140625" style="2" customWidth="1"/>
    <col min="41" max="41" width="22.5546875" style="2" customWidth="1"/>
    <col min="42" max="42" width="11.6640625" style="2" customWidth="1"/>
    <col min="43" max="53" width="11.5546875" style="2" bestFit="1" customWidth="1"/>
    <col min="54" max="57" width="11.44140625" style="2"/>
    <col min="58" max="58" width="11.44140625" style="7"/>
    <col min="59" max="60" width="11.44140625" style="2"/>
    <col min="61" max="62" width="11.5546875" style="2" bestFit="1" customWidth="1"/>
    <col min="63" max="63" width="21.44140625" style="2" customWidth="1"/>
    <col min="64" max="64" width="26.5546875" style="2" customWidth="1"/>
    <col min="65" max="65" width="26.44140625" style="2" customWidth="1"/>
    <col min="66" max="66" width="50.44140625" style="2" customWidth="1"/>
    <col min="67" max="67" width="28.44140625" style="2" customWidth="1"/>
    <col min="68" max="69" width="11.44140625" style="2"/>
    <col min="70" max="70" width="16.5546875" style="2" customWidth="1"/>
    <col min="71" max="71" width="17.5546875" style="2" customWidth="1"/>
    <col min="72" max="80" width="11.44140625" style="2"/>
    <col min="81" max="81" width="17" style="2" customWidth="1"/>
    <col min="82" max="82" width="18.44140625" style="2" customWidth="1"/>
    <col min="83" max="83" width="18.5546875" style="2" customWidth="1"/>
    <col min="84" max="84" width="11.44140625" style="2" customWidth="1"/>
    <col min="85" max="86" width="11.44140625" style="2"/>
    <col min="87" max="89" width="11.5546875" style="2" bestFit="1" customWidth="1"/>
    <col min="90" max="93" width="11.44140625" style="2"/>
    <col min="94" max="94" width="11.5546875" style="2" bestFit="1" customWidth="1"/>
    <col min="95" max="95" width="18.44140625" style="2" customWidth="1"/>
    <col min="96" max="96" width="11.44140625" style="2"/>
    <col min="97" max="97" width="17.44140625" style="2" customWidth="1"/>
    <col min="98" max="98" width="11.44140625" style="2"/>
    <col min="99" max="99" width="23.44140625" style="2" customWidth="1"/>
    <col min="100" max="101" width="11.44140625" style="2"/>
    <col min="102" max="103" width="16" style="2" customWidth="1"/>
    <col min="104" max="104" width="19.5546875" style="2" customWidth="1"/>
    <col min="105" max="109" width="11.44140625" style="2"/>
    <col min="110" max="110" width="16.5546875" style="2" customWidth="1"/>
    <col min="111" max="111" width="19.5546875" style="2" customWidth="1"/>
    <col min="112" max="112" width="11.5546875" style="2" bestFit="1" customWidth="1"/>
    <col min="113" max="120" width="11.44140625" style="2"/>
    <col min="121" max="121" width="20.5546875" style="2" customWidth="1"/>
    <col min="122" max="122" width="22.44140625" style="2" customWidth="1"/>
    <col min="123" max="123" width="20.5546875" style="2" customWidth="1"/>
    <col min="124" max="124" width="23.5546875" style="2" customWidth="1"/>
    <col min="125" max="125" width="18.44140625" style="5" customWidth="1"/>
    <col min="126" max="126" width="18" style="5" customWidth="1"/>
    <col min="127" max="127" width="9.44140625" style="5" customWidth="1"/>
    <col min="128" max="128" width="16.5546875" style="5" customWidth="1"/>
    <col min="129" max="129" width="18" style="5" customWidth="1"/>
    <col min="130" max="130" width="20.5546875" style="5" customWidth="1"/>
    <col min="131" max="131" width="23.44140625" style="5" customWidth="1"/>
    <col min="132" max="134" width="20.5546875" style="5" customWidth="1"/>
    <col min="135" max="135" width="18.44140625" style="5" customWidth="1"/>
    <col min="136" max="136" width="19.44140625" style="5" customWidth="1"/>
    <col min="137" max="137" width="16.44140625" style="5" customWidth="1"/>
    <col min="138" max="138" width="20.5546875" style="5" customWidth="1"/>
    <col min="139" max="141" width="20.5546875" style="2" customWidth="1"/>
    <col min="142" max="142" width="11.44140625" style="2"/>
    <col min="143" max="143" width="14.5546875" style="2" customWidth="1"/>
    <col min="144" max="144" width="17" style="2" customWidth="1"/>
    <col min="145" max="145" width="18.5546875" style="2" customWidth="1"/>
    <col min="146" max="147" width="17.44140625" style="2" customWidth="1"/>
    <col min="148" max="150" width="11.44140625" style="2"/>
    <col min="151" max="151" width="21.44140625" style="2" customWidth="1"/>
    <col min="152" max="152" width="18.5546875" style="2" customWidth="1"/>
    <col min="153" max="153" width="14.5546875" style="2" customWidth="1"/>
    <col min="154" max="154" width="29.5546875" style="2" customWidth="1"/>
    <col min="155" max="155" width="11.44140625" style="2"/>
    <col min="156" max="156" width="21.44140625" style="2" customWidth="1"/>
    <col min="157" max="157" width="16.5546875" style="2" customWidth="1"/>
    <col min="158" max="158" width="23.5546875" style="2" customWidth="1"/>
    <col min="159" max="159" width="38.5546875" style="2" customWidth="1"/>
    <col min="160" max="179" width="11.44140625" style="2"/>
    <col min="180" max="180" width="16.6640625" style="2" customWidth="1"/>
    <col min="181" max="181" width="25.33203125" style="2" customWidth="1"/>
    <col min="182" max="182" width="11.44140625" style="2"/>
    <col min="183" max="183" width="19.6640625" style="2" customWidth="1"/>
    <col min="184" max="184" width="19" style="2" customWidth="1"/>
    <col min="185" max="185" width="11.44140625" style="2"/>
    <col min="186" max="186" width="19.6640625" style="2" customWidth="1"/>
    <col min="187" max="187" width="19" style="2" customWidth="1"/>
    <col min="188" max="188" width="11.44140625" style="2"/>
    <col min="189" max="189" width="19.6640625" style="2" customWidth="1"/>
    <col min="190" max="190" width="19" style="2" customWidth="1"/>
    <col min="191" max="191" width="11.44140625" style="2"/>
    <col min="192" max="192" width="19.6640625" style="2" customWidth="1"/>
    <col min="193" max="193" width="19" style="2" customWidth="1"/>
    <col min="194" max="194" width="11.44140625" style="2"/>
    <col min="195" max="195" width="18.6640625" style="2" customWidth="1"/>
    <col min="196" max="196" width="17.44140625" style="2" customWidth="1"/>
    <col min="197" max="16383" width="11.44140625" style="2"/>
    <col min="16384" max="16384" width="11.44140625" style="2" bestFit="1"/>
  </cols>
  <sheetData>
    <row r="1" spans="2:196">
      <c r="BH1" s="3" t="s">
        <v>403</v>
      </c>
    </row>
    <row r="2" spans="2:196">
      <c r="G2" s="6" t="s">
        <v>157</v>
      </c>
      <c r="I2" s="6" t="s">
        <v>404</v>
      </c>
      <c r="K2" s="6" t="s">
        <v>405</v>
      </c>
      <c r="M2" s="10" t="s">
        <v>406</v>
      </c>
      <c r="N2" s="2" t="s">
        <v>407</v>
      </c>
      <c r="O2" s="2" t="s">
        <v>408</v>
      </c>
      <c r="P2" s="2" t="s">
        <v>409</v>
      </c>
      <c r="Q2" s="2" t="s">
        <v>410</v>
      </c>
      <c r="DQ2" s="1776" t="s">
        <v>411</v>
      </c>
      <c r="DR2" s="1776"/>
      <c r="DS2" s="1776"/>
      <c r="DT2" s="1776"/>
      <c r="DU2" s="1776"/>
      <c r="DV2" s="1776"/>
      <c r="EM2" s="1776" t="s">
        <v>412</v>
      </c>
      <c r="EN2" s="1776"/>
      <c r="EO2" s="1776"/>
      <c r="EP2" s="1776"/>
      <c r="EQ2" s="1776"/>
      <c r="ER2" s="1776"/>
    </row>
    <row r="3" spans="2:196">
      <c r="B3" s="2" t="s">
        <v>22</v>
      </c>
      <c r="E3" s="2" t="s">
        <v>179</v>
      </c>
      <c r="G3" s="2" t="s">
        <v>157</v>
      </c>
      <c r="I3" s="2" t="s">
        <v>158</v>
      </c>
      <c r="K3" s="2" t="s">
        <v>413</v>
      </c>
      <c r="M3" s="1" t="s">
        <v>414</v>
      </c>
      <c r="N3" s="1" t="s">
        <v>415</v>
      </c>
      <c r="O3" s="1">
        <v>9.94</v>
      </c>
      <c r="P3" s="2">
        <v>266</v>
      </c>
      <c r="Q3" s="23">
        <f>Allgemein!C143</f>
        <v>0.04</v>
      </c>
      <c r="S3" s="2" t="s">
        <v>175</v>
      </c>
      <c r="T3" s="2" t="s">
        <v>106</v>
      </c>
      <c r="AL3" s="183"/>
      <c r="DQ3" s="1776"/>
      <c r="DR3" s="1776"/>
      <c r="DS3" s="1776"/>
      <c r="DT3" s="1776"/>
      <c r="DU3" s="1776"/>
      <c r="DV3" s="1776"/>
      <c r="DX3" s="1777" t="s">
        <v>416</v>
      </c>
      <c r="DY3" s="1777"/>
      <c r="DZ3" s="1782" t="s">
        <v>417</v>
      </c>
      <c r="EC3" s="146"/>
      <c r="ED3" s="1777" t="s">
        <v>418</v>
      </c>
      <c r="EE3" s="1777" t="s">
        <v>419</v>
      </c>
      <c r="EH3" s="145"/>
      <c r="EM3" s="1776"/>
      <c r="EN3" s="1776"/>
      <c r="EO3" s="1776"/>
      <c r="EP3" s="1776"/>
      <c r="EQ3" s="1776"/>
      <c r="ER3" s="1776"/>
      <c r="FX3" s="1773" t="s">
        <v>420</v>
      </c>
      <c r="FY3" s="1773"/>
      <c r="FZ3" s="1773"/>
      <c r="GA3" s="1773"/>
      <c r="GB3" s="1773"/>
      <c r="GC3" s="1773"/>
      <c r="GD3" s="1773"/>
      <c r="GE3" s="1773"/>
      <c r="GF3" s="1773"/>
      <c r="GG3" s="1773"/>
      <c r="GH3" s="1773"/>
      <c r="GI3" s="1773"/>
      <c r="GJ3" s="1773"/>
      <c r="GK3" s="1773"/>
      <c r="GL3" s="1773"/>
    </row>
    <row r="4" spans="2:196">
      <c r="B4" s="2" t="s">
        <v>2</v>
      </c>
      <c r="E4" s="2" t="s">
        <v>421</v>
      </c>
      <c r="G4" s="2" t="s">
        <v>68</v>
      </c>
      <c r="I4" s="2" t="s">
        <v>68</v>
      </c>
      <c r="K4" s="2" t="s">
        <v>156</v>
      </c>
      <c r="M4" s="1" t="s">
        <v>422</v>
      </c>
      <c r="N4" s="1" t="s">
        <v>423</v>
      </c>
      <c r="O4" s="27">
        <v>12.77</v>
      </c>
      <c r="P4" s="28">
        <v>239</v>
      </c>
      <c r="Q4" s="171">
        <f>Allgemein!C142</f>
        <v>0.04</v>
      </c>
      <c r="R4" s="1"/>
      <c r="S4" s="2" t="s">
        <v>147</v>
      </c>
      <c r="T4" s="2" t="s">
        <v>159</v>
      </c>
      <c r="AL4" s="183"/>
      <c r="BH4" s="2" t="s">
        <v>295</v>
      </c>
      <c r="BI4" s="2" t="s">
        <v>424</v>
      </c>
      <c r="BJ4" s="2" t="s">
        <v>425</v>
      </c>
      <c r="BK4" s="2" t="s">
        <v>426</v>
      </c>
      <c r="BL4" s="2" t="s">
        <v>427</v>
      </c>
      <c r="BM4" s="2" t="s">
        <v>428</v>
      </c>
      <c r="BN4" s="2" t="s">
        <v>429</v>
      </c>
      <c r="DQ4" s="1776"/>
      <c r="DR4" s="1776"/>
      <c r="DS4" s="1776"/>
      <c r="DT4" s="1776"/>
      <c r="DU4" s="1776"/>
      <c r="DV4" s="1776"/>
      <c r="DX4" s="1777"/>
      <c r="DY4" s="1777"/>
      <c r="DZ4" s="1782"/>
      <c r="EC4" s="146"/>
      <c r="ED4" s="1777"/>
      <c r="EE4" s="1777"/>
      <c r="EH4" s="145"/>
      <c r="EM4" s="1776"/>
      <c r="EN4" s="1776"/>
      <c r="EO4" s="1776"/>
      <c r="EP4" s="1776"/>
      <c r="EQ4" s="1776"/>
      <c r="ER4" s="1776"/>
      <c r="FX4" s="1773"/>
      <c r="FY4" s="1773"/>
      <c r="FZ4" s="1773"/>
      <c r="GA4" s="1773"/>
      <c r="GB4" s="1773"/>
      <c r="GC4" s="1773"/>
      <c r="GD4" s="1773"/>
      <c r="GE4" s="1773"/>
      <c r="GF4" s="1773"/>
      <c r="GG4" s="1773"/>
      <c r="GH4" s="1773"/>
      <c r="GI4" s="1773"/>
      <c r="GJ4" s="1773"/>
      <c r="GK4" s="1773"/>
      <c r="GL4" s="1773"/>
    </row>
    <row r="5" spans="2:196">
      <c r="B5" s="2" t="s">
        <v>430</v>
      </c>
      <c r="K5" s="2" t="s">
        <v>431</v>
      </c>
      <c r="M5" s="1" t="s">
        <v>432</v>
      </c>
      <c r="N5" s="1" t="s">
        <v>433</v>
      </c>
      <c r="O5" s="27">
        <v>9.77</v>
      </c>
      <c r="P5" s="28">
        <v>201</v>
      </c>
      <c r="Q5" s="171">
        <f>Allgemein!C142</f>
        <v>0.04</v>
      </c>
      <c r="R5" s="1"/>
      <c r="S5" s="1"/>
      <c r="T5" s="2" t="s">
        <v>171</v>
      </c>
      <c r="AL5" s="183"/>
      <c r="BH5" s="2" t="s">
        <v>434</v>
      </c>
      <c r="BI5" s="2">
        <v>400</v>
      </c>
      <c r="BJ5" s="2">
        <v>300</v>
      </c>
      <c r="BN5" s="2">
        <v>293</v>
      </c>
      <c r="DX5" s="1777"/>
      <c r="DY5" s="1777"/>
      <c r="DZ5" s="1782"/>
      <c r="EC5" s="146"/>
      <c r="ED5" s="1777"/>
      <c r="EE5" s="1777"/>
      <c r="EH5" s="145"/>
      <c r="FX5" s="1773"/>
      <c r="FY5" s="1773"/>
      <c r="FZ5" s="1773"/>
      <c r="GA5" s="1773"/>
      <c r="GB5" s="1773"/>
      <c r="GC5" s="1773"/>
      <c r="GD5" s="1773"/>
      <c r="GE5" s="1773"/>
      <c r="GF5" s="1773"/>
      <c r="GG5" s="1773"/>
      <c r="GH5" s="1773"/>
      <c r="GI5" s="1773"/>
      <c r="GJ5" s="1773"/>
      <c r="GK5" s="1773"/>
      <c r="GL5" s="1773"/>
    </row>
    <row r="6" spans="2:196">
      <c r="K6" s="2" t="s">
        <v>435</v>
      </c>
      <c r="M6" s="1" t="s">
        <v>432</v>
      </c>
      <c r="N6" s="1" t="s">
        <v>224</v>
      </c>
      <c r="O6" s="27">
        <v>1</v>
      </c>
      <c r="P6" s="28">
        <v>201</v>
      </c>
      <c r="Q6" s="171">
        <f>Allgemein!C142</f>
        <v>0.04</v>
      </c>
      <c r="R6" s="1"/>
      <c r="S6" s="1"/>
      <c r="T6" s="2" t="s">
        <v>436</v>
      </c>
      <c r="AO6" s="2" t="s">
        <v>437</v>
      </c>
      <c r="AP6" s="2" t="s">
        <v>438</v>
      </c>
      <c r="AQ6" s="2" t="s">
        <v>439</v>
      </c>
      <c r="BH6" s="2" t="s">
        <v>434</v>
      </c>
      <c r="BI6" s="2">
        <v>500</v>
      </c>
      <c r="BJ6" s="2">
        <v>300</v>
      </c>
      <c r="BN6" s="2">
        <v>366</v>
      </c>
      <c r="FN6" s="2" t="s">
        <v>1183</v>
      </c>
      <c r="FX6" s="1773"/>
      <c r="FY6" s="1773"/>
      <c r="FZ6" s="1773"/>
      <c r="GA6" s="1773"/>
      <c r="GB6" s="1773"/>
      <c r="GC6" s="1773"/>
      <c r="GD6" s="1773"/>
      <c r="GE6" s="1773"/>
      <c r="GF6" s="1773"/>
      <c r="GG6" s="1773"/>
      <c r="GH6" s="1773"/>
      <c r="GI6" s="1773"/>
      <c r="GJ6" s="1773"/>
      <c r="GK6" s="1773"/>
      <c r="GL6" s="1773"/>
    </row>
    <row r="7" spans="2:196" ht="23.1" customHeight="1" thickBot="1">
      <c r="K7" s="2" t="s">
        <v>440</v>
      </c>
      <c r="M7" s="1" t="s">
        <v>441</v>
      </c>
      <c r="N7" s="1" t="s">
        <v>423</v>
      </c>
      <c r="O7" s="27">
        <v>8.36</v>
      </c>
      <c r="P7" s="28">
        <v>338</v>
      </c>
      <c r="Q7" s="171">
        <f>Allgemein!C144</f>
        <v>0.04</v>
      </c>
      <c r="R7" s="1"/>
      <c r="S7" s="1"/>
      <c r="AO7" s="2" t="s">
        <v>442</v>
      </c>
      <c r="AP7" s="2">
        <v>0</v>
      </c>
      <c r="AQ7" s="2">
        <v>25</v>
      </c>
      <c r="BH7" s="2" t="s">
        <v>434</v>
      </c>
      <c r="BI7" s="2">
        <v>600</v>
      </c>
      <c r="BJ7" s="2">
        <v>300</v>
      </c>
      <c r="BN7" s="2">
        <v>439</v>
      </c>
      <c r="DQ7" s="5" t="s">
        <v>29</v>
      </c>
      <c r="DR7" s="5" t="s">
        <v>443</v>
      </c>
      <c r="DS7" s="5" t="s">
        <v>444</v>
      </c>
      <c r="DT7" s="5" t="s">
        <v>445</v>
      </c>
      <c r="DU7" s="5" t="s">
        <v>446</v>
      </c>
      <c r="DV7" s="5" t="s">
        <v>447</v>
      </c>
      <c r="DW7" s="5" t="s">
        <v>448</v>
      </c>
      <c r="DX7" s="5" t="s">
        <v>449</v>
      </c>
      <c r="DY7" s="5" t="s">
        <v>450</v>
      </c>
      <c r="DZ7" s="5" t="s">
        <v>451</v>
      </c>
      <c r="EA7" s="5" t="s">
        <v>452</v>
      </c>
      <c r="EB7" s="5" t="s">
        <v>453</v>
      </c>
      <c r="EC7" s="5" t="s">
        <v>454</v>
      </c>
      <c r="ED7" s="5" t="s">
        <v>455</v>
      </c>
      <c r="EE7" s="5" t="s">
        <v>456</v>
      </c>
      <c r="EF7" s="5" t="s">
        <v>457</v>
      </c>
      <c r="EG7" s="2" t="s">
        <v>458</v>
      </c>
      <c r="EH7" s="5" t="s">
        <v>459</v>
      </c>
      <c r="EM7" s="2" t="s">
        <v>29</v>
      </c>
      <c r="EN7" s="2" t="s">
        <v>443</v>
      </c>
      <c r="EO7" s="2" t="s">
        <v>460</v>
      </c>
      <c r="EP7" s="2" t="s">
        <v>461</v>
      </c>
      <c r="EQ7" s="2" t="s">
        <v>462</v>
      </c>
      <c r="ER7" s="2" t="s">
        <v>463</v>
      </c>
      <c r="ES7" s="2" t="s">
        <v>464</v>
      </c>
      <c r="ET7" s="2" t="s">
        <v>465</v>
      </c>
      <c r="EU7" s="153" t="s">
        <v>446</v>
      </c>
      <c r="EV7" s="153" t="s">
        <v>447</v>
      </c>
      <c r="EW7" s="148" t="s">
        <v>466</v>
      </c>
      <c r="EX7" s="2" t="s">
        <v>467</v>
      </c>
      <c r="EY7" s="2" t="s">
        <v>468</v>
      </c>
      <c r="EZ7" s="2" t="s">
        <v>469</v>
      </c>
      <c r="FA7" s="2" t="s">
        <v>470</v>
      </c>
      <c r="FB7" s="2" t="s">
        <v>471</v>
      </c>
      <c r="FC7" s="2" t="s">
        <v>444</v>
      </c>
      <c r="FG7" s="2" t="s">
        <v>472</v>
      </c>
      <c r="FI7" s="2">
        <v>1</v>
      </c>
      <c r="FJ7" s="2" cm="1">
        <f t="array" ref="FJ7:FK7">_xlfn.UNIQUE(Tabelle3[[Geschoss]:[Raum]])</f>
        <v>0</v>
      </c>
      <c r="FK7" s="2">
        <v>0</v>
      </c>
      <c r="FL7" s="2" cm="1">
        <f t="array" ref="FL7:FN7">_xlfn.UNIQUE(Heizflächen!C12:E61)</f>
        <v>0</v>
      </c>
      <c r="FM7" s="2">
        <v>0</v>
      </c>
      <c r="FN7" s="2">
        <v>0</v>
      </c>
      <c r="FX7" s="1363"/>
    </row>
    <row r="8" spans="2:196">
      <c r="K8" s="2" t="s">
        <v>176</v>
      </c>
      <c r="M8" s="1" t="s">
        <v>473</v>
      </c>
      <c r="N8" s="1" t="s">
        <v>423</v>
      </c>
      <c r="O8" s="27">
        <v>5.6</v>
      </c>
      <c r="P8" s="28">
        <v>399</v>
      </c>
      <c r="Q8" s="171">
        <f>Allgemein!C144</f>
        <v>0.04</v>
      </c>
      <c r="R8" s="1"/>
      <c r="S8" s="1"/>
      <c r="AO8" s="2" t="s">
        <v>474</v>
      </c>
      <c r="AP8" s="2">
        <v>30</v>
      </c>
      <c r="AQ8" s="2">
        <v>50</v>
      </c>
      <c r="BH8" s="2" t="s">
        <v>434</v>
      </c>
      <c r="BI8" s="2">
        <v>700</v>
      </c>
      <c r="BJ8" s="2">
        <v>300</v>
      </c>
      <c r="BN8" s="2">
        <v>513</v>
      </c>
      <c r="DQ8" s="2">
        <f>Heizflächen!C12</f>
        <v>0</v>
      </c>
      <c r="DR8" s="5">
        <f>Heizflächen!D12</f>
        <v>0</v>
      </c>
      <c r="DS8" s="5">
        <f>Heizflächen!H12</f>
        <v>1</v>
      </c>
      <c r="DT8" s="5">
        <f>Heizflächen!G12</f>
        <v>0</v>
      </c>
      <c r="DU8" s="5">
        <f>_xlfn.XLOOKUP(Heizflächen!$U$64,Tabelle5[Auswählbare Vor-und Rücklauftemperaturen],Tabelle5[Vorlauf],0,0,1)</f>
        <v>35</v>
      </c>
      <c r="DV8" s="5">
        <f>_xlfn.XLOOKUP(Heizflächen!$U$64,Tabelle5[Auswählbare Vor-und Rücklauftemperaturen],Tabelle5[Rücklauf],0,0,1)</f>
        <v>30</v>
      </c>
      <c r="DW8"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8" s="5">
        <f>_xlfn.XLOOKUP($DZ$3,Tabelle6[Systemtemperatur bei Norm-Wärmeleistungsbestimmung],Tabelle6[Vorlauf],0,0,1)</f>
        <v>55</v>
      </c>
      <c r="DY8" s="5">
        <f>_xlfn.XLOOKUP($DZ$3,Tabelle6[Systemtemperatur bei Norm-Wärmeleistungsbestimmung],Tabelle6[Rücklauf],0,0,1)</f>
        <v>45</v>
      </c>
      <c r="DZ8" s="5">
        <f>_xlfn.XLOOKUP($DZ$3,Tabelle6[Systemtemperatur bei Norm-Wärmeleistungsbestimmung],Tabelle6[Norm Innentemperatur],0,0,1)</f>
        <v>20</v>
      </c>
      <c r="EA8" s="147">
        <f>((Tabelle3[[#This Row],[Norm Vorlauftemperatur]]-Tabelle3[[#This Row],[Norm Rücklauftemperatur]])/LN((Tabelle3[[#This Row],[Norm Vorlauftemperatur]]-Tabelle3[[#This Row],[Norm Innentemperatur]])/(Tabelle3[[#This Row],[Norm Rücklauftemperatur]]-Tabelle3[[#This Row],[Norm Innentemperatur]])))</f>
        <v>29.720134119884619</v>
      </c>
      <c r="EB8" s="5">
        <f>_xlfn.XLOOKUP(Heizflächen!I12,Tabelle2[Typ],Tabelle2[Heizkörperexponent],0,1,1)</f>
        <v>0</v>
      </c>
      <c r="EC8" s="148">
        <f>Heizflächen!K12</f>
        <v>0</v>
      </c>
      <c r="ED8" s="5">
        <f>IF(Tabelle3[[#This Row],[Heizkörper in Nische?]]="Nein",1,_xlfn.XLOOKUP(Heizflächen!L12, Tabelle8[Höhe über HK],Tabelle8[Abminderungsfaktor],1,0,1))</f>
        <v>1</v>
      </c>
      <c r="EE8" s="149">
        <f>(DW8/EA8)^Tabelle3[[#This Row],[Heizkörperexponent n]]</f>
        <v>1</v>
      </c>
      <c r="EF8" s="5" cm="1">
        <f t="array" ref="EF8">_xlfn.XLOOKUP(Heizflächen!J12&amp;Heizflächen!M12&amp;Heizflächen!N12&amp;Heizflächen!O12&amp;Heizflächen!P12&amp;Heizflächen!Q12,Tabelle4[Typ]&amp;Tabelle4[Breite '[mm']]&amp;Tabelle4[Höhe '[mm']]&amp;Tabelle4[Bauhöhe Radiator '[mm']]&amp;Tabelle4[Nabenabstand Radiator '[mm']]&amp;Tabelle4[Bautiefe Radiator '[mm']],Tabelle4[Wärmeleistung (Radiatoren je Glied) '[W']],,-1,1)</f>
        <v>0</v>
      </c>
      <c r="EG8" s="5">
        <f>Heizflächen!R12</f>
        <v>0</v>
      </c>
      <c r="EH8" s="150">
        <f>IF(AND(Tabelle3[[#This Row],[Gliederanzahl]]&gt;0,Heizflächen!J12="Radiator"),Tabelle3[[#This Row],[Norm Heizleistung QNorm]]*Tabelle3[[#This Row],[f = (Δθm1/Δθm2)^n]]*Tabelle3[[#This Row],[Abminderungsfaktor]]*Tabelle3[[#This Row],[Gliederanzahl]],Tabelle3[[#This Row],[Abminderungsfaktor]]*Tabelle3[[#This Row],[f = (Δθm1/Δθm2)^n]]*Tabelle3[[#This Row],[Norm Heizleistung QNorm]])</f>
        <v>0</v>
      </c>
      <c r="EM8" s="2">
        <f>Heizflächen!C12</f>
        <v>0</v>
      </c>
      <c r="EN8" s="2">
        <f>Heizflächen!D12</f>
        <v>0</v>
      </c>
      <c r="EO8" s="2">
        <f>1-(Heizflächen!S12/0.075)</f>
        <v>1</v>
      </c>
      <c r="EP8" s="2">
        <f>100*(0.045-Heizflächen!T12)</f>
        <v>4.5</v>
      </c>
      <c r="EQ8" s="2">
        <f>250*(Heizflächen!U12-0.02)</f>
        <v>-5</v>
      </c>
      <c r="ER8" s="2">
        <f>_xlfn.XLOOKUP(Tabelle14[[#This Row],[Wärmedurchlasswiderstand Bodenbelag]],Tabelle17[Wärmedurchlasswiderstand Rλ,B in '[m²K/W']],Tabelle17[aT],0,-1,1)</f>
        <v>1.23</v>
      </c>
      <c r="ES8" s="2" cm="1">
        <f t="array" ref="ES8">_xlfn.XLOOKUP(Heizflächen!S12&amp;Tabelle14[[#This Row],[Wärmedurchlasswiderstand Bodenbelag]],Tabelle18[T]&amp;Tabelle18[Rλ,B in '[m²K/W']],Tabelle18[au],0,-1,1)</f>
        <v>0</v>
      </c>
      <c r="ET8" s="2" cm="1">
        <f t="array" ref="ET8">_xlfn.XLOOKUP(Heizflächen!S12&amp;Tabelle14[[#This Row],[Wärmedurchlasswiderstand Bodenbelag]],Tabelle19[T]&amp;Tabelle19[Rλ,B in '[m²K/W']],Tabelle19[aD],0,-1,1)</f>
        <v>0</v>
      </c>
      <c r="EU8" s="5">
        <f>_xlfn.XLOOKUP(Heizflächen!$U$64,Tabelle5[Auswählbare Vor-und Rücklauftemperaturen],Tabelle5[Vorlauf],0,0,1)</f>
        <v>35</v>
      </c>
      <c r="EV8" s="5">
        <f>_xlfn.XLOOKUP(Heizflächen!$U$64,Tabelle5[Auswählbare Vor-und Rücklauftemperaturen],Tabelle5[Rücklauf],0,0,1)</f>
        <v>30</v>
      </c>
      <c r="EW8" s="77">
        <f>((Tabelle14[[#This Row],[gewünschte Vorlauftemperatur]]-Tabelle14[[#This Row],[gewünschte Rücklauftemperatur]])/LN((Tabelle14[[#This Row],[gewünschte Vorlauftemperatur]]-Heizflächen!G12)/(Tabelle14[[#This Row],[gewünschte Rücklauftemperatur]]-Heizflächen!G12)))</f>
        <v>32.435795973154399</v>
      </c>
      <c r="EX8" s="2">
        <f>_xlfn.XLOOKUP(Heizflächen!V12,Tabelle13[Bodenbelagsmaterial],Tabelle13[Wärmedurchlasswiderstand Rλ,B in '[m²K/W']],0,0,1)</f>
        <v>0</v>
      </c>
      <c r="EY8" s="163">
        <f>((1/10.8)+(0.045/1))/((1/10.8)+(0.045/1.4)+Tabelle14[[#This Row],[Wärmedurchlasswiderstand Bodenbelag]])</f>
        <v>1.1030752916224815</v>
      </c>
      <c r="EZ8" s="2">
        <v>6.7</v>
      </c>
      <c r="FA8" s="164" t="e">
        <f>Tabelle14[[#This Row],[B '[W/(m²K)']]]*Tabelle14[[#This Row],[aB]]*(Tabelle14[[#This Row],[aT]]^Tabelle14[[#This Row],[mT]])*(Tabelle14[[#This Row],[au]]^Tabelle14[[#This Row],[mu]])*(Tabelle14[[#This Row],[aD]]^Tabelle14[[#This Row],[mD]])*Tabelle14[[#This Row],[gewünschte Übertemperatur Δθm]]</f>
        <v>#DIV/0!</v>
      </c>
      <c r="FB8" s="2">
        <f>IFERROR(Tabelle14[[#This Row],[q '[W/m²']]]*(Heizflächen!E12-Heizflächen!F12),0)</f>
        <v>0</v>
      </c>
      <c r="FC8" s="2">
        <f>Heizflächen!H12</f>
        <v>1</v>
      </c>
      <c r="FI8" s="2">
        <v>2</v>
      </c>
    </row>
    <row r="9" spans="2:196">
      <c r="K9" s="2" t="s">
        <v>475</v>
      </c>
      <c r="M9" s="1" t="s">
        <v>476</v>
      </c>
      <c r="N9" s="1" t="s">
        <v>415</v>
      </c>
      <c r="O9" s="27">
        <v>9.02</v>
      </c>
      <c r="P9" s="28">
        <v>264</v>
      </c>
      <c r="Q9" s="171">
        <f>Allgemein!C144</f>
        <v>0.04</v>
      </c>
      <c r="R9" s="1"/>
      <c r="S9" s="1"/>
      <c r="AO9" s="2" t="s">
        <v>477</v>
      </c>
      <c r="AP9" s="2">
        <v>50</v>
      </c>
      <c r="AQ9" s="2">
        <v>75</v>
      </c>
      <c r="BH9" s="2" t="s">
        <v>434</v>
      </c>
      <c r="BI9" s="2">
        <v>800</v>
      </c>
      <c r="BJ9" s="2">
        <v>300</v>
      </c>
      <c r="BN9" s="2">
        <v>586</v>
      </c>
      <c r="DQ9" s="2">
        <f>Heizflächen!C13</f>
        <v>0</v>
      </c>
      <c r="DR9" s="5">
        <f>Heizflächen!D13</f>
        <v>0</v>
      </c>
      <c r="DS9" s="5">
        <f>Heizflächen!H13</f>
        <v>2</v>
      </c>
      <c r="DT9" s="5">
        <f>Heizflächen!G13</f>
        <v>0</v>
      </c>
      <c r="DU9" s="5">
        <f>_xlfn.XLOOKUP(Heizflächen!$U$64,Tabelle5[Auswählbare Vor-und Rücklauftemperaturen],Tabelle5[Vorlauf],0,0,1)</f>
        <v>35</v>
      </c>
      <c r="DV9" s="5">
        <f>_xlfn.XLOOKUP(Heizflächen!$U$64,Tabelle5[Auswählbare Vor-und Rücklauftemperaturen],Tabelle5[Rücklauf],0,0,1)</f>
        <v>30</v>
      </c>
      <c r="DW9"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9" s="5">
        <f>_xlfn.XLOOKUP($DZ$3,Tabelle6[Systemtemperatur bei Norm-Wärmeleistungsbestimmung],Tabelle6[Vorlauf],0,0,1)</f>
        <v>55</v>
      </c>
      <c r="DY9" s="5">
        <f>_xlfn.XLOOKUP($DZ$3,Tabelle6[Systemtemperatur bei Norm-Wärmeleistungsbestimmung],Tabelle6[Rücklauf],0,0,1)</f>
        <v>45</v>
      </c>
      <c r="DZ9" s="5">
        <f>_xlfn.XLOOKUP($DZ$3,Tabelle6[Systemtemperatur bei Norm-Wärmeleistungsbestimmung],Tabelle6[Norm Innentemperatur],0,0,1)</f>
        <v>20</v>
      </c>
      <c r="EA9" s="147">
        <f>((Tabelle3[[#This Row],[Norm Vorlauftemperatur]]-Tabelle3[[#This Row],[Norm Rücklauftemperatur]])/LN((Tabelle3[[#This Row],[Norm Vorlauftemperatur]]-Tabelle3[[#This Row],[Norm Innentemperatur]])/(Tabelle3[[#This Row],[Norm Rücklauftemperatur]]-Tabelle3[[#This Row],[Norm Innentemperatur]])))</f>
        <v>29.720134119884619</v>
      </c>
      <c r="EB9" s="5">
        <f>_xlfn.XLOOKUP(Heizflächen!I13,Tabelle2[Typ],Tabelle2[Heizkörperexponent],0,1,1)</f>
        <v>0</v>
      </c>
      <c r="EC9" s="148">
        <f>Heizflächen!K13</f>
        <v>0</v>
      </c>
      <c r="ED9" s="5">
        <f>IF(Tabelle3[[#This Row],[Heizkörper in Nische?]]="Nein",1,_xlfn.XLOOKUP(Heizflächen!L13, Tabelle8[Höhe über HK],Tabelle8[Abminderungsfaktor],1,0,1))</f>
        <v>1</v>
      </c>
      <c r="EE9" s="5">
        <f>(DW9/EA9)^Tabelle3[[#This Row],[Heizkörperexponent n]]</f>
        <v>1</v>
      </c>
      <c r="EF9" s="5" cm="1">
        <f t="array" ref="EF9">_xlfn.XLOOKUP(Heizflächen!J13&amp;Heizflächen!M13&amp;Heizflächen!N13&amp;Heizflächen!O13&amp;Heizflächen!P13&amp;Heizflächen!Q13,Tabelle4[Typ]&amp;Tabelle4[Breite '[mm']]&amp;Tabelle4[Höhe '[mm']]&amp;Tabelle4[Bauhöhe Radiator '[mm']]&amp;Tabelle4[Nabenabstand Radiator '[mm']]&amp;Tabelle4[Bautiefe Radiator '[mm']],Tabelle4[Wärmeleistung (Radiatoren je Glied) '[W']],,-1,1)</f>
        <v>0</v>
      </c>
      <c r="EG9" s="5">
        <f>Heizflächen!R13</f>
        <v>0</v>
      </c>
      <c r="EH9" s="150">
        <f>IF(AND(Tabelle3[[#This Row],[Gliederanzahl]]&gt;0,Heizflächen!J13="Radiator"),Tabelle3[[#This Row],[Norm Heizleistung QNorm]]*Tabelle3[[#This Row],[f = (Δθm1/Δθm2)^n]]*Tabelle3[[#This Row],[Abminderungsfaktor]]*Tabelle3[[#This Row],[Gliederanzahl]],Tabelle3[[#This Row],[Abminderungsfaktor]]*Tabelle3[[#This Row],[f = (Δθm1/Δθm2)^n]]*Tabelle3[[#This Row],[Norm Heizleistung QNorm]])</f>
        <v>0</v>
      </c>
      <c r="EM9" s="2">
        <f>Heizflächen!C13</f>
        <v>0</v>
      </c>
      <c r="EN9" s="2">
        <f>Heizflächen!D13</f>
        <v>0</v>
      </c>
      <c r="EO9" s="2">
        <f>1-(Heizflächen!S13/0.075)</f>
        <v>1</v>
      </c>
      <c r="EP9" s="2">
        <f>100*(0.045-Heizflächen!T13)</f>
        <v>4.5</v>
      </c>
      <c r="EQ9" s="2">
        <f>250*(Heizflächen!U13-0.02)</f>
        <v>-5</v>
      </c>
      <c r="ER9" s="2">
        <f>_xlfn.XLOOKUP(Tabelle14[[#This Row],[Wärmedurchlasswiderstand Bodenbelag]],Tabelle17[Wärmedurchlasswiderstand Rλ,B in '[m²K/W']],Tabelle17[aT],0,-1,1)</f>
        <v>1.23</v>
      </c>
      <c r="ES9" s="2" cm="1">
        <f t="array" ref="ES9">_xlfn.XLOOKUP(Heizflächen!S13&amp;Tabelle14[[#This Row],[Wärmedurchlasswiderstand Bodenbelag]],Tabelle18[T]&amp;Tabelle18[Rλ,B in '[m²K/W']],Tabelle18[au],0,-1,1)</f>
        <v>0</v>
      </c>
      <c r="ET9" s="2" cm="1">
        <f t="array" ref="ET9">_xlfn.XLOOKUP(Heizflächen!S13&amp;Tabelle14[[#This Row],[Wärmedurchlasswiderstand Bodenbelag]],Tabelle19[T]&amp;Tabelle19[Rλ,B in '[m²K/W']],Tabelle19[aD],0,-1,1)</f>
        <v>0</v>
      </c>
      <c r="EU9" s="5">
        <f>_xlfn.XLOOKUP(Heizflächen!$U$64,Tabelle5[Auswählbare Vor-und Rücklauftemperaturen],Tabelle5[Vorlauf],0,0,1)</f>
        <v>35</v>
      </c>
      <c r="EV9" s="5">
        <f>_xlfn.XLOOKUP(Heizflächen!$U$64,Tabelle5[Auswählbare Vor-und Rücklauftemperaturen],Tabelle5[Rücklauf],0,0,1)</f>
        <v>30</v>
      </c>
      <c r="EW9" s="77">
        <f>((Tabelle14[[#This Row],[gewünschte Vorlauftemperatur]]-Tabelle14[[#This Row],[gewünschte Rücklauftemperatur]])/LN((Tabelle14[[#This Row],[gewünschte Vorlauftemperatur]]-Heizflächen!G13)/(Tabelle14[[#This Row],[gewünschte Rücklauftemperatur]]-Heizflächen!G13)))</f>
        <v>32.435795973154399</v>
      </c>
      <c r="EX9" s="2">
        <f>_xlfn.XLOOKUP(Heizflächen!V13,Tabelle13[Bodenbelagsmaterial],Tabelle13[Wärmedurchlasswiderstand Rλ,B in '[m²K/W']],0,0,1)</f>
        <v>0</v>
      </c>
      <c r="EY9" s="163">
        <f>((1/10.8)+(0.045/1))/((1/10.8)+(0.045/1.4)+Tabelle14[[#This Row],[Wärmedurchlasswiderstand Bodenbelag]])</f>
        <v>1.1030752916224815</v>
      </c>
      <c r="EZ9" s="2">
        <v>6.7</v>
      </c>
      <c r="FA9" s="164" t="e">
        <f>Tabelle14[[#This Row],[B '[W/(m²K)']]]*Tabelle14[[#This Row],[aB]]*(Tabelle14[[#This Row],[aT]]^Tabelle14[[#This Row],[mT]])*(Tabelle14[[#This Row],[au]]^Tabelle14[[#This Row],[mu]])*(Tabelle14[[#This Row],[aD]]^Tabelle14[[#This Row],[mD]])*Tabelle14[[#This Row],[gewünschte Übertemperatur Δθm]]</f>
        <v>#DIV/0!</v>
      </c>
      <c r="FB9" s="2">
        <f>IFERROR(Tabelle14[[#This Row],[q '[W/m²']]]*(Heizflächen!E13-Heizflächen!F13),0)</f>
        <v>0</v>
      </c>
      <c r="FC9" s="2">
        <f>Heizflächen!H13</f>
        <v>2</v>
      </c>
      <c r="FI9" s="2">
        <v>3</v>
      </c>
    </row>
    <row r="10" spans="2:196">
      <c r="B10" s="2" t="s">
        <v>20</v>
      </c>
      <c r="M10" s="1" t="s">
        <v>478</v>
      </c>
      <c r="N10" s="1" t="s">
        <v>415</v>
      </c>
      <c r="O10" s="27">
        <v>9.9600000000000009</v>
      </c>
      <c r="P10" s="28">
        <v>264</v>
      </c>
      <c r="Q10" s="171">
        <f>Allgemein!C144</f>
        <v>0.04</v>
      </c>
      <c r="R10" s="1"/>
      <c r="S10" s="1"/>
      <c r="AO10" s="2" t="s">
        <v>479</v>
      </c>
      <c r="AP10" s="2">
        <v>75</v>
      </c>
      <c r="AQ10" s="2">
        <v>100</v>
      </c>
      <c r="BH10" s="2" t="s">
        <v>434</v>
      </c>
      <c r="BI10" s="2">
        <v>900</v>
      </c>
      <c r="BJ10" s="2">
        <v>300</v>
      </c>
      <c r="BN10" s="2">
        <v>659</v>
      </c>
      <c r="CC10" s="2" t="s">
        <v>480</v>
      </c>
      <c r="CD10" s="2" t="s">
        <v>481</v>
      </c>
      <c r="CE10" s="2" t="s">
        <v>482</v>
      </c>
      <c r="CH10" s="2" t="s">
        <v>483</v>
      </c>
      <c r="CI10" s="2" t="s">
        <v>481</v>
      </c>
      <c r="CJ10" s="2" t="s">
        <v>482</v>
      </c>
      <c r="CK10" s="2" t="s">
        <v>451</v>
      </c>
      <c r="DQ10" s="2">
        <f>Heizflächen!C14</f>
        <v>0</v>
      </c>
      <c r="DR10" s="5">
        <f>Heizflächen!D14</f>
        <v>0</v>
      </c>
      <c r="DS10" s="5">
        <f>Heizflächen!H14</f>
        <v>3</v>
      </c>
      <c r="DT10" s="5">
        <f>Heizflächen!G14</f>
        <v>0</v>
      </c>
      <c r="DU10" s="5">
        <f>_xlfn.XLOOKUP(Heizflächen!$U$64,Tabelle5[Auswählbare Vor-und Rücklauftemperaturen],Tabelle5[Vorlauf],0,0,1)</f>
        <v>35</v>
      </c>
      <c r="DV10" s="5">
        <f>_xlfn.XLOOKUP(Heizflächen!$U$64,Tabelle5[Auswählbare Vor-und Rücklauftemperaturen],Tabelle5[Rücklauf],0,0,1)</f>
        <v>30</v>
      </c>
      <c r="DW10"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10" s="5">
        <f>_xlfn.XLOOKUP($DZ$3,Tabelle6[Systemtemperatur bei Norm-Wärmeleistungsbestimmung],Tabelle6[Vorlauf],0,0,1)</f>
        <v>55</v>
      </c>
      <c r="DY10" s="5">
        <f>_xlfn.XLOOKUP($DZ$3,Tabelle6[Systemtemperatur bei Norm-Wärmeleistungsbestimmung],Tabelle6[Rücklauf],0,0,1)</f>
        <v>45</v>
      </c>
      <c r="DZ10" s="5">
        <f>_xlfn.XLOOKUP($DZ$3,Tabelle6[Systemtemperatur bei Norm-Wärmeleistungsbestimmung],Tabelle6[Norm Innentemperatur],0,0,1)</f>
        <v>20</v>
      </c>
      <c r="EA10" s="147">
        <f>((Tabelle3[[#This Row],[Norm Vorlauftemperatur]]-Tabelle3[[#This Row],[Norm Rücklauftemperatur]])/LN((Tabelle3[[#This Row],[Norm Vorlauftemperatur]]-Tabelle3[[#This Row],[Norm Innentemperatur]])/(Tabelle3[[#This Row],[Norm Rücklauftemperatur]]-Tabelle3[[#This Row],[Norm Innentemperatur]])))</f>
        <v>29.720134119884619</v>
      </c>
      <c r="EB10" s="5">
        <f>_xlfn.XLOOKUP(Heizflächen!I14,Tabelle2[Typ],Tabelle2[Heizkörperexponent],0,1,1)</f>
        <v>0</v>
      </c>
      <c r="EC10" s="148">
        <f>Heizflächen!K14</f>
        <v>0</v>
      </c>
      <c r="ED10" s="5">
        <f>IF(Tabelle3[[#This Row],[Heizkörper in Nische?]]="Nein",1,_xlfn.XLOOKUP(Heizflächen!L14, Tabelle8[Höhe über HK],Tabelle8[Abminderungsfaktor],1,0,1))</f>
        <v>1</v>
      </c>
      <c r="EE10" s="5">
        <f>(DW10/EA10)^Tabelle3[[#This Row],[Heizkörperexponent n]]</f>
        <v>1</v>
      </c>
      <c r="EF10" s="5" cm="1">
        <f t="array" ref="EF10">_xlfn.XLOOKUP(Heizflächen!J14&amp;Heizflächen!M14&amp;Heizflächen!N14&amp;Heizflächen!O14&amp;Heizflächen!P14&amp;Heizflächen!Q14,Tabelle4[Typ]&amp;Tabelle4[Breite '[mm']]&amp;Tabelle4[Höhe '[mm']]&amp;Tabelle4[Bauhöhe Radiator '[mm']]&amp;Tabelle4[Nabenabstand Radiator '[mm']]&amp;Tabelle4[Bautiefe Radiator '[mm']],Tabelle4[Wärmeleistung (Radiatoren je Glied) '[W']],,-1,1)</f>
        <v>0</v>
      </c>
      <c r="EG10" s="5">
        <f>Heizflächen!R14</f>
        <v>0</v>
      </c>
      <c r="EH10" s="150">
        <f>IF(AND(Tabelle3[[#This Row],[Gliederanzahl]]&gt;0,Heizflächen!J14="Radiator"),Tabelle3[[#This Row],[Norm Heizleistung QNorm]]*Tabelle3[[#This Row],[f = (Δθm1/Δθm2)^n]]*Tabelle3[[#This Row],[Abminderungsfaktor]]*Tabelle3[[#This Row],[Gliederanzahl]],Tabelle3[[#This Row],[Abminderungsfaktor]]*Tabelle3[[#This Row],[f = (Δθm1/Δθm2)^n]]*Tabelle3[[#This Row],[Norm Heizleistung QNorm]])</f>
        <v>0</v>
      </c>
      <c r="EM10" s="2">
        <f>Heizflächen!C14</f>
        <v>0</v>
      </c>
      <c r="EN10" s="2">
        <f>Heizflächen!D14</f>
        <v>0</v>
      </c>
      <c r="EO10" s="2">
        <f>1-(Heizflächen!S14/0.075)</f>
        <v>1</v>
      </c>
      <c r="EP10" s="2">
        <f>100*(0.045-Heizflächen!T14)</f>
        <v>4.5</v>
      </c>
      <c r="EQ10" s="2">
        <f>250*(Heizflächen!U14-0.02)</f>
        <v>-5</v>
      </c>
      <c r="ER10" s="2">
        <f>_xlfn.XLOOKUP(Tabelle14[[#This Row],[Wärmedurchlasswiderstand Bodenbelag]],Tabelle17[Wärmedurchlasswiderstand Rλ,B in '[m²K/W']],Tabelle17[aT],0,-1,1)</f>
        <v>1.23</v>
      </c>
      <c r="ES10" s="2" cm="1">
        <f t="array" ref="ES10">_xlfn.XLOOKUP(Heizflächen!S14&amp;Tabelle14[[#This Row],[Wärmedurchlasswiderstand Bodenbelag]],Tabelle18[T]&amp;Tabelle18[Rλ,B in '[m²K/W']],Tabelle18[au],0,-1,1)</f>
        <v>0</v>
      </c>
      <c r="ET10" s="2" cm="1">
        <f t="array" ref="ET10">_xlfn.XLOOKUP(Heizflächen!S14&amp;Tabelle14[[#This Row],[Wärmedurchlasswiderstand Bodenbelag]],Tabelle19[T]&amp;Tabelle19[Rλ,B in '[m²K/W']],Tabelle19[aD],0,-1,1)</f>
        <v>0</v>
      </c>
      <c r="EU10" s="5">
        <f>_xlfn.XLOOKUP(Heizflächen!$U$64,Tabelle5[Auswählbare Vor-und Rücklauftemperaturen],Tabelle5[Vorlauf],0,0,1)</f>
        <v>35</v>
      </c>
      <c r="EV10" s="5">
        <f>_xlfn.XLOOKUP(Heizflächen!$U$64,Tabelle5[Auswählbare Vor-und Rücklauftemperaturen],Tabelle5[Rücklauf],0,0,1)</f>
        <v>30</v>
      </c>
      <c r="EW10" s="77">
        <f>((Tabelle14[[#This Row],[gewünschte Vorlauftemperatur]]-Tabelle14[[#This Row],[gewünschte Rücklauftemperatur]])/LN((Tabelle14[[#This Row],[gewünschte Vorlauftemperatur]]-Heizflächen!G14)/(Tabelle14[[#This Row],[gewünschte Rücklauftemperatur]]-Heizflächen!G14)))</f>
        <v>32.435795973154399</v>
      </c>
      <c r="EX10" s="2">
        <f>_xlfn.XLOOKUP(Heizflächen!V14,Tabelle13[Bodenbelagsmaterial],Tabelle13[Wärmedurchlasswiderstand Rλ,B in '[m²K/W']],0,0,1)</f>
        <v>0</v>
      </c>
      <c r="EY10" s="163">
        <f>((1/10.8)+(0.045/1))/((1/10.8)+(0.045/1.4)+Tabelle14[[#This Row],[Wärmedurchlasswiderstand Bodenbelag]])</f>
        <v>1.1030752916224815</v>
      </c>
      <c r="EZ10" s="2">
        <v>6.7</v>
      </c>
      <c r="FA10" s="164" t="e">
        <f>Tabelle14[[#This Row],[B '[W/(m²K)']]]*Tabelle14[[#This Row],[aB]]*(Tabelle14[[#This Row],[aT]]^Tabelle14[[#This Row],[mT]])*(Tabelle14[[#This Row],[au]]^Tabelle14[[#This Row],[mu]])*(Tabelle14[[#This Row],[aD]]^Tabelle14[[#This Row],[mD]])*Tabelle14[[#This Row],[gewünschte Übertemperatur Δθm]]</f>
        <v>#DIV/0!</v>
      </c>
      <c r="FB10" s="2">
        <f>IFERROR(Tabelle14[[#This Row],[q '[W/m²']]]*(Heizflächen!E14-Heizflächen!F14),0)</f>
        <v>0</v>
      </c>
      <c r="FC10" s="2">
        <f>Heizflächen!H14</f>
        <v>3</v>
      </c>
      <c r="FI10" s="2">
        <v>4</v>
      </c>
    </row>
    <row r="11" spans="2:196">
      <c r="B11" s="2" t="s">
        <v>7</v>
      </c>
      <c r="M11" s="1" t="s">
        <v>484</v>
      </c>
      <c r="N11" s="1" t="s">
        <v>485</v>
      </c>
      <c r="O11" s="27">
        <v>4.07</v>
      </c>
      <c r="P11" s="28">
        <v>0</v>
      </c>
      <c r="Q11" s="171">
        <f>Allgemein!C144</f>
        <v>0.04</v>
      </c>
      <c r="R11" s="1"/>
      <c r="S11" s="1"/>
      <c r="AO11" s="2" t="s">
        <v>486</v>
      </c>
      <c r="AP11" s="2">
        <v>100</v>
      </c>
      <c r="AQ11" s="2">
        <v>130</v>
      </c>
      <c r="BH11" s="2" t="s">
        <v>434</v>
      </c>
      <c r="BI11" s="2">
        <v>1000</v>
      </c>
      <c r="BJ11" s="2">
        <v>300</v>
      </c>
      <c r="BN11" s="2">
        <v>732</v>
      </c>
      <c r="CC11" s="2" t="s">
        <v>487</v>
      </c>
      <c r="CD11" s="2">
        <v>90</v>
      </c>
      <c r="CE11" s="2">
        <v>70</v>
      </c>
      <c r="CI11" s="2">
        <v>75</v>
      </c>
      <c r="CJ11" s="2">
        <v>65</v>
      </c>
      <c r="CK11" s="2">
        <v>20</v>
      </c>
      <c r="DQ11" s="2">
        <f>Heizflächen!C15</f>
        <v>0</v>
      </c>
      <c r="DR11" s="5">
        <f>Heizflächen!D15</f>
        <v>0</v>
      </c>
      <c r="DS11" s="5">
        <f>Heizflächen!H15</f>
        <v>4</v>
      </c>
      <c r="DT11" s="5">
        <f>Heizflächen!G15</f>
        <v>0</v>
      </c>
      <c r="DU11" s="5">
        <f>_xlfn.XLOOKUP(Heizflächen!$U$64,Tabelle5[Auswählbare Vor-und Rücklauftemperaturen],Tabelle5[Vorlauf],0,0,1)</f>
        <v>35</v>
      </c>
      <c r="DV11" s="5">
        <f>_xlfn.XLOOKUP(Heizflächen!$U$64,Tabelle5[Auswählbare Vor-und Rücklauftemperaturen],Tabelle5[Rücklauf],0,0,1)</f>
        <v>30</v>
      </c>
      <c r="DW11"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11" s="5">
        <f>_xlfn.XLOOKUP($DZ$3,Tabelle6[Systemtemperatur bei Norm-Wärmeleistungsbestimmung],Tabelle6[Vorlauf],0,0,1)</f>
        <v>55</v>
      </c>
      <c r="DY11" s="5">
        <f>_xlfn.XLOOKUP($DZ$3,Tabelle6[Systemtemperatur bei Norm-Wärmeleistungsbestimmung],Tabelle6[Rücklauf],0,0,1)</f>
        <v>45</v>
      </c>
      <c r="DZ11" s="5">
        <f>_xlfn.XLOOKUP($DZ$3,Tabelle6[Systemtemperatur bei Norm-Wärmeleistungsbestimmung],Tabelle6[Norm Innentemperatur],0,0,1)</f>
        <v>20</v>
      </c>
      <c r="EA11" s="147">
        <f>((Tabelle3[[#This Row],[Norm Vorlauftemperatur]]-Tabelle3[[#This Row],[Norm Rücklauftemperatur]])/LN((Tabelle3[[#This Row],[Norm Vorlauftemperatur]]-Tabelle3[[#This Row],[Norm Innentemperatur]])/(Tabelle3[[#This Row],[Norm Rücklauftemperatur]]-Tabelle3[[#This Row],[Norm Innentemperatur]])))</f>
        <v>29.720134119884619</v>
      </c>
      <c r="EB11" s="5">
        <f>_xlfn.XLOOKUP(Heizflächen!I15,Tabelle2[Typ],Tabelle2[Heizkörperexponent],0,1,1)</f>
        <v>0</v>
      </c>
      <c r="EC11" s="148">
        <f>Heizflächen!K15</f>
        <v>0</v>
      </c>
      <c r="ED11" s="5">
        <f>IF(Tabelle3[[#This Row],[Heizkörper in Nische?]]="Nein",1,_xlfn.XLOOKUP(Heizflächen!L15, Tabelle8[Höhe über HK],Tabelle8[Abminderungsfaktor],1,0,1))</f>
        <v>1</v>
      </c>
      <c r="EE11" s="5">
        <f>(DW11/EA11)^Tabelle3[[#This Row],[Heizkörperexponent n]]</f>
        <v>1</v>
      </c>
      <c r="EF11" s="5" cm="1">
        <f t="array" ref="EF11">_xlfn.XLOOKUP(Heizflächen!J15&amp;Heizflächen!M15&amp;Heizflächen!N15&amp;Heizflächen!O15&amp;Heizflächen!P15&amp;Heizflächen!Q15,Tabelle4[Typ]&amp;Tabelle4[Breite '[mm']]&amp;Tabelle4[Höhe '[mm']]&amp;Tabelle4[Bauhöhe Radiator '[mm']]&amp;Tabelle4[Nabenabstand Radiator '[mm']]&amp;Tabelle4[Bautiefe Radiator '[mm']],Tabelle4[Wärmeleistung (Radiatoren je Glied) '[W']],,-1,1)</f>
        <v>0</v>
      </c>
      <c r="EG11" s="5">
        <f>Heizflächen!R15</f>
        <v>0</v>
      </c>
      <c r="EH11" s="150">
        <f>IF(AND(Tabelle3[[#This Row],[Gliederanzahl]]&gt;0,Heizflächen!J15="Radiator"),Tabelle3[[#This Row],[Norm Heizleistung QNorm]]*Tabelle3[[#This Row],[f = (Δθm1/Δθm2)^n]]*Tabelle3[[#This Row],[Abminderungsfaktor]]*Tabelle3[[#This Row],[Gliederanzahl]],Tabelle3[[#This Row],[Abminderungsfaktor]]*Tabelle3[[#This Row],[f = (Δθm1/Δθm2)^n]]*Tabelle3[[#This Row],[Norm Heizleistung QNorm]])</f>
        <v>0</v>
      </c>
      <c r="EM11" s="2">
        <f>Heizflächen!C15</f>
        <v>0</v>
      </c>
      <c r="EN11" s="2">
        <f>Heizflächen!D15</f>
        <v>0</v>
      </c>
      <c r="EO11" s="2">
        <f>1-(Heizflächen!S15/0.075)</f>
        <v>1</v>
      </c>
      <c r="EP11" s="2">
        <f>100*(0.045-Heizflächen!T15)</f>
        <v>4.5</v>
      </c>
      <c r="EQ11" s="2">
        <f>250*(Heizflächen!U15-0.02)</f>
        <v>-5</v>
      </c>
      <c r="ER11" s="2">
        <f>_xlfn.XLOOKUP(Tabelle14[[#This Row],[Wärmedurchlasswiderstand Bodenbelag]],Tabelle17[Wärmedurchlasswiderstand Rλ,B in '[m²K/W']],Tabelle17[aT],0,-1,1)</f>
        <v>1.23</v>
      </c>
      <c r="ES11" s="2" cm="1">
        <f t="array" ref="ES11">_xlfn.XLOOKUP(Heizflächen!S15&amp;Tabelle14[[#This Row],[Wärmedurchlasswiderstand Bodenbelag]],Tabelle18[T]&amp;Tabelle18[Rλ,B in '[m²K/W']],Tabelle18[au],0,-1,1)</f>
        <v>0</v>
      </c>
      <c r="ET11" s="2" cm="1">
        <f t="array" ref="ET11">_xlfn.XLOOKUP(Heizflächen!S15&amp;Tabelle14[[#This Row],[Wärmedurchlasswiderstand Bodenbelag]],Tabelle19[T]&amp;Tabelle19[Rλ,B in '[m²K/W']],Tabelle19[aD],0,-1,1)</f>
        <v>0</v>
      </c>
      <c r="EU11" s="5">
        <f>_xlfn.XLOOKUP(Heizflächen!$U$64,Tabelle5[Auswählbare Vor-und Rücklauftemperaturen],Tabelle5[Vorlauf],0,0,1)</f>
        <v>35</v>
      </c>
      <c r="EV11" s="5">
        <f>_xlfn.XLOOKUP(Heizflächen!$U$64,Tabelle5[Auswählbare Vor-und Rücklauftemperaturen],Tabelle5[Rücklauf],0,0,1)</f>
        <v>30</v>
      </c>
      <c r="EW11" s="77">
        <f>((Tabelle14[[#This Row],[gewünschte Vorlauftemperatur]]-Tabelle14[[#This Row],[gewünschte Rücklauftemperatur]])/LN((Tabelle14[[#This Row],[gewünschte Vorlauftemperatur]]-Heizflächen!G15)/(Tabelle14[[#This Row],[gewünschte Rücklauftemperatur]]-Heizflächen!G15)))</f>
        <v>32.435795973154399</v>
      </c>
      <c r="EX11" s="2">
        <f>_xlfn.XLOOKUP(Heizflächen!V15,Tabelle13[Bodenbelagsmaterial],Tabelle13[Wärmedurchlasswiderstand Rλ,B in '[m²K/W']],0,0,1)</f>
        <v>0</v>
      </c>
      <c r="EY11" s="163">
        <f>((1/10.8)+(0.045/1))/((1/10.8)+(0.045/1.4)+Tabelle14[[#This Row],[Wärmedurchlasswiderstand Bodenbelag]])</f>
        <v>1.1030752916224815</v>
      </c>
      <c r="EZ11" s="2">
        <v>6.7</v>
      </c>
      <c r="FA11" s="164" t="e">
        <f>Tabelle14[[#This Row],[B '[W/(m²K)']]]*Tabelle14[[#This Row],[aB]]*(Tabelle14[[#This Row],[aT]]^Tabelle14[[#This Row],[mT]])*(Tabelle14[[#This Row],[au]]^Tabelle14[[#This Row],[mu]])*(Tabelle14[[#This Row],[aD]]^Tabelle14[[#This Row],[mD]])*Tabelle14[[#This Row],[gewünschte Übertemperatur Δθm]]</f>
        <v>#DIV/0!</v>
      </c>
      <c r="FB11" s="2">
        <f>IFERROR(Tabelle14[[#This Row],[q '[W/m²']]]*(Heizflächen!E15-Heizflächen!F15),0)</f>
        <v>0</v>
      </c>
      <c r="FC11" s="2">
        <f>Heizflächen!H15</f>
        <v>4</v>
      </c>
      <c r="FI11" s="2">
        <v>5</v>
      </c>
      <c r="FX11" s="2" t="s">
        <v>297</v>
      </c>
      <c r="GA11" s="2" t="s">
        <v>254</v>
      </c>
      <c r="GD11" t="s">
        <v>488</v>
      </c>
      <c r="GG11" t="s">
        <v>489</v>
      </c>
      <c r="GJ11" t="s">
        <v>490</v>
      </c>
      <c r="GM11" s="2" t="s">
        <v>491</v>
      </c>
    </row>
    <row r="12" spans="2:196" ht="24" customHeight="1" thickBot="1">
      <c r="B12" s="2" t="s">
        <v>492</v>
      </c>
      <c r="M12" s="1" t="s">
        <v>493</v>
      </c>
      <c r="N12" s="1" t="s">
        <v>485</v>
      </c>
      <c r="O12" s="27">
        <v>5</v>
      </c>
      <c r="P12" s="28">
        <v>0</v>
      </c>
      <c r="Q12" s="171">
        <f>Allgemein!C144</f>
        <v>0.04</v>
      </c>
      <c r="R12" s="1"/>
      <c r="S12" s="1"/>
      <c r="AO12" s="2" t="s">
        <v>494</v>
      </c>
      <c r="AP12" s="2">
        <v>130</v>
      </c>
      <c r="AQ12" s="2">
        <v>160</v>
      </c>
      <c r="BH12" s="2" t="s">
        <v>434</v>
      </c>
      <c r="BI12" s="2">
        <v>1100</v>
      </c>
      <c r="BJ12" s="2">
        <v>300</v>
      </c>
      <c r="BN12" s="2">
        <v>806</v>
      </c>
      <c r="BR12" s="2" t="s">
        <v>495</v>
      </c>
      <c r="BS12" s="2" t="s">
        <v>455</v>
      </c>
      <c r="CC12" s="2" t="s">
        <v>496</v>
      </c>
      <c r="CD12" s="2">
        <v>80</v>
      </c>
      <c r="CE12" s="2">
        <v>60</v>
      </c>
      <c r="CI12" s="2">
        <v>70</v>
      </c>
      <c r="CJ12" s="2">
        <v>55</v>
      </c>
      <c r="CK12" s="2">
        <v>20</v>
      </c>
      <c r="CQ12" s="151" t="s">
        <v>497</v>
      </c>
      <c r="CR12" s="152"/>
      <c r="CS12" s="152" t="s">
        <v>498</v>
      </c>
      <c r="CT12" s="152"/>
      <c r="CU12" s="152" t="s">
        <v>499</v>
      </c>
      <c r="CV12" s="152"/>
      <c r="CX12" s="5" t="s">
        <v>500</v>
      </c>
      <c r="CY12" s="2" t="s">
        <v>501</v>
      </c>
      <c r="CZ12" s="5" t="s">
        <v>502</v>
      </c>
      <c r="DQ12" s="2">
        <f>Heizflächen!C16</f>
        <v>0</v>
      </c>
      <c r="DR12" s="5">
        <f>Heizflächen!D16</f>
        <v>0</v>
      </c>
      <c r="DS12" s="5">
        <f>Heizflächen!H16</f>
        <v>5</v>
      </c>
      <c r="DT12" s="5">
        <f>Heizflächen!G16</f>
        <v>0</v>
      </c>
      <c r="DU12" s="5">
        <f>_xlfn.XLOOKUP(Heizflächen!$U$64,Tabelle5[Auswählbare Vor-und Rücklauftemperaturen],Tabelle5[Vorlauf],0,0,1)</f>
        <v>35</v>
      </c>
      <c r="DV12" s="5">
        <f>_xlfn.XLOOKUP(Heizflächen!$U$64,Tabelle5[Auswählbare Vor-und Rücklauftemperaturen],Tabelle5[Rücklauf],0,0,1)</f>
        <v>30</v>
      </c>
      <c r="DW12"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12" s="5">
        <f>_xlfn.XLOOKUP($DZ$3,Tabelle6[Systemtemperatur bei Norm-Wärmeleistungsbestimmung],Tabelle6[Vorlauf],0,0,1)</f>
        <v>55</v>
      </c>
      <c r="DY12" s="5">
        <f>_xlfn.XLOOKUP($DZ$3,Tabelle6[Systemtemperatur bei Norm-Wärmeleistungsbestimmung],Tabelle6[Rücklauf],0,0,1)</f>
        <v>45</v>
      </c>
      <c r="DZ12" s="5">
        <f>_xlfn.XLOOKUP($DZ$3,Tabelle6[Systemtemperatur bei Norm-Wärmeleistungsbestimmung],Tabelle6[Norm Innentemperatur],0,0,1)</f>
        <v>20</v>
      </c>
      <c r="EA12" s="147">
        <f>((Tabelle3[[#This Row],[Norm Vorlauftemperatur]]-Tabelle3[[#This Row],[Norm Rücklauftemperatur]])/LN((Tabelle3[[#This Row],[Norm Vorlauftemperatur]]-Tabelle3[[#This Row],[Norm Innentemperatur]])/(Tabelle3[[#This Row],[Norm Rücklauftemperatur]]-Tabelle3[[#This Row],[Norm Innentemperatur]])))</f>
        <v>29.720134119884619</v>
      </c>
      <c r="EB12" s="5">
        <f>_xlfn.XLOOKUP(Heizflächen!I16,Tabelle2[Typ],Tabelle2[Heizkörperexponent],0,1,1)</f>
        <v>0</v>
      </c>
      <c r="EC12" s="148">
        <f>Heizflächen!K16</f>
        <v>0</v>
      </c>
      <c r="ED12" s="5">
        <f>IF(Tabelle3[[#This Row],[Heizkörper in Nische?]]="Nein",1,_xlfn.XLOOKUP(Heizflächen!L16, Tabelle8[Höhe über HK],Tabelle8[Abminderungsfaktor],1,0,1))</f>
        <v>1</v>
      </c>
      <c r="EE12" s="5">
        <f>(DW12/EA12)^Tabelle3[[#This Row],[Heizkörperexponent n]]</f>
        <v>1</v>
      </c>
      <c r="EF12" s="5" cm="1">
        <f t="array" ref="EF12">_xlfn.XLOOKUP(Heizflächen!J16&amp;Heizflächen!M16&amp;Heizflächen!N16&amp;Heizflächen!O16&amp;Heizflächen!P16&amp;Heizflächen!Q16,Tabelle4[Typ]&amp;Tabelle4[Breite '[mm']]&amp;Tabelle4[Höhe '[mm']]&amp;Tabelle4[Bauhöhe Radiator '[mm']]&amp;Tabelle4[Nabenabstand Radiator '[mm']]&amp;Tabelle4[Bautiefe Radiator '[mm']],Tabelle4[Wärmeleistung (Radiatoren je Glied) '[W']],,-1,1)</f>
        <v>0</v>
      </c>
      <c r="EG12" s="5">
        <f>Heizflächen!R16</f>
        <v>0</v>
      </c>
      <c r="EH12" s="150">
        <f>IF(AND(Tabelle3[[#This Row],[Gliederanzahl]]&gt;0,Heizflächen!J16="Radiator"),Tabelle3[[#This Row],[Norm Heizleistung QNorm]]*Tabelle3[[#This Row],[f = (Δθm1/Δθm2)^n]]*Tabelle3[[#This Row],[Abminderungsfaktor]]*Tabelle3[[#This Row],[Gliederanzahl]],Tabelle3[[#This Row],[Abminderungsfaktor]]*Tabelle3[[#This Row],[f = (Δθm1/Δθm2)^n]]*Tabelle3[[#This Row],[Norm Heizleistung QNorm]])</f>
        <v>0</v>
      </c>
      <c r="EM12" s="2">
        <f>Heizflächen!C16</f>
        <v>0</v>
      </c>
      <c r="EN12" s="2">
        <f>Heizflächen!D16</f>
        <v>0</v>
      </c>
      <c r="EO12" s="2">
        <f>1-(Heizflächen!S16/0.075)</f>
        <v>1</v>
      </c>
      <c r="EP12" s="2">
        <f>100*(0.045-Heizflächen!T16)</f>
        <v>4.5</v>
      </c>
      <c r="EQ12" s="2">
        <f>250*(Heizflächen!U16-0.02)</f>
        <v>-5</v>
      </c>
      <c r="ER12" s="2">
        <f>_xlfn.XLOOKUP(Tabelle14[[#This Row],[Wärmedurchlasswiderstand Bodenbelag]],Tabelle17[Wärmedurchlasswiderstand Rλ,B in '[m²K/W']],Tabelle17[aT],0,-1,1)</f>
        <v>1.23</v>
      </c>
      <c r="ES12" s="2" cm="1">
        <f t="array" ref="ES12">_xlfn.XLOOKUP(Heizflächen!S16&amp;Tabelle14[[#This Row],[Wärmedurchlasswiderstand Bodenbelag]],Tabelle18[T]&amp;Tabelle18[Rλ,B in '[m²K/W']],Tabelle18[au],0,-1,1)</f>
        <v>0</v>
      </c>
      <c r="ET12" s="2" cm="1">
        <f t="array" ref="ET12">_xlfn.XLOOKUP(Heizflächen!S16&amp;Tabelle14[[#This Row],[Wärmedurchlasswiderstand Bodenbelag]],Tabelle19[T]&amp;Tabelle19[Rλ,B in '[m²K/W']],Tabelle19[aD],0,-1,1)</f>
        <v>0</v>
      </c>
      <c r="EU12" s="5">
        <f>_xlfn.XLOOKUP(Heizflächen!$U$64,Tabelle5[Auswählbare Vor-und Rücklauftemperaturen],Tabelle5[Vorlauf],0,0,1)</f>
        <v>35</v>
      </c>
      <c r="EV12" s="5">
        <f>_xlfn.XLOOKUP(Heizflächen!$U$64,Tabelle5[Auswählbare Vor-und Rücklauftemperaturen],Tabelle5[Rücklauf],0,0,1)</f>
        <v>30</v>
      </c>
      <c r="EW12" s="77">
        <f>((Tabelle14[[#This Row],[gewünschte Vorlauftemperatur]]-Tabelle14[[#This Row],[gewünschte Rücklauftemperatur]])/LN((Tabelle14[[#This Row],[gewünschte Vorlauftemperatur]]-Heizflächen!G16)/(Tabelle14[[#This Row],[gewünschte Rücklauftemperatur]]-Heizflächen!G16)))</f>
        <v>32.435795973154399</v>
      </c>
      <c r="EX12" s="2">
        <f>_xlfn.XLOOKUP(Heizflächen!V16,Tabelle13[Bodenbelagsmaterial],Tabelle13[Wärmedurchlasswiderstand Rλ,B in '[m²K/W']],0,0,1)</f>
        <v>0</v>
      </c>
      <c r="EY12" s="163">
        <f>((1/10.8)+(0.045/1))/((1/10.8)+(0.045/1.4)+Tabelle14[[#This Row],[Wärmedurchlasswiderstand Bodenbelag]])</f>
        <v>1.1030752916224815</v>
      </c>
      <c r="EZ12" s="2">
        <v>6.7</v>
      </c>
      <c r="FA12" s="164" t="e">
        <f>Tabelle14[[#This Row],[B '[W/(m²K)']]]*Tabelle14[[#This Row],[aB]]*(Tabelle14[[#This Row],[aT]]^Tabelle14[[#This Row],[mT]])*(Tabelle14[[#This Row],[au]]^Tabelle14[[#This Row],[mu]])*(Tabelle14[[#This Row],[aD]]^Tabelle14[[#This Row],[mD]])*Tabelle14[[#This Row],[gewünschte Übertemperatur Δθm]]</f>
        <v>#DIV/0!</v>
      </c>
      <c r="FB12" s="2">
        <f>IFERROR(Tabelle14[[#This Row],[q '[W/m²']]]*(Heizflächen!E16-Heizflächen!F16),0)</f>
        <v>0</v>
      </c>
      <c r="FC12" s="2">
        <f>Heizflächen!H16</f>
        <v>5</v>
      </c>
      <c r="FI12" s="2">
        <v>6</v>
      </c>
      <c r="FX12" s="6" t="s">
        <v>503</v>
      </c>
      <c r="FY12" s="4" t="s">
        <v>504</v>
      </c>
      <c r="GA12" s="6" t="s">
        <v>503</v>
      </c>
      <c r="GB12" s="4" t="s">
        <v>504</v>
      </c>
      <c r="GD12" s="6" t="s">
        <v>503</v>
      </c>
      <c r="GE12" s="4" t="s">
        <v>504</v>
      </c>
      <c r="GG12" s="6" t="s">
        <v>503</v>
      </c>
      <c r="GH12" s="4" t="s">
        <v>504</v>
      </c>
      <c r="GJ12" s="6" t="s">
        <v>503</v>
      </c>
      <c r="GK12" s="4" t="s">
        <v>504</v>
      </c>
      <c r="GM12" s="6" t="s">
        <v>503</v>
      </c>
      <c r="GN12" s="4" t="s">
        <v>504</v>
      </c>
    </row>
    <row r="13" spans="2:196">
      <c r="B13" s="2" t="s">
        <v>505</v>
      </c>
      <c r="M13" s="1" t="s">
        <v>506</v>
      </c>
      <c r="N13" s="1" t="s">
        <v>507</v>
      </c>
      <c r="O13" s="27">
        <v>5</v>
      </c>
      <c r="P13" s="28">
        <v>0</v>
      </c>
      <c r="Q13" s="171">
        <f>Allgemein!C142</f>
        <v>0.04</v>
      </c>
      <c r="R13" s="1"/>
      <c r="S13" s="1"/>
      <c r="AO13" s="2" t="s">
        <v>508</v>
      </c>
      <c r="AP13" s="2">
        <v>160</v>
      </c>
      <c r="AQ13" s="2">
        <v>200</v>
      </c>
      <c r="BH13" s="2" t="s">
        <v>434</v>
      </c>
      <c r="BI13" s="2">
        <v>1200</v>
      </c>
      <c r="BJ13" s="2">
        <v>300</v>
      </c>
      <c r="BN13" s="2">
        <v>879</v>
      </c>
      <c r="BR13" s="2">
        <v>0</v>
      </c>
      <c r="BS13" s="2">
        <v>0.58609999999999995</v>
      </c>
      <c r="CC13" s="2" t="s">
        <v>509</v>
      </c>
      <c r="CD13" s="2">
        <v>75</v>
      </c>
      <c r="CE13" s="2">
        <v>55</v>
      </c>
      <c r="CH13" s="2" t="s">
        <v>417</v>
      </c>
      <c r="CI13" s="2">
        <v>55</v>
      </c>
      <c r="CJ13" s="2">
        <v>45</v>
      </c>
      <c r="CK13" s="2">
        <v>20</v>
      </c>
      <c r="CQ13" s="2">
        <v>0.05</v>
      </c>
      <c r="CS13" s="2">
        <v>8.0000000000000002E-3</v>
      </c>
      <c r="CU13" s="2">
        <v>0.01</v>
      </c>
      <c r="CX13" s="2" t="s">
        <v>510</v>
      </c>
      <c r="CY13" s="2">
        <v>13</v>
      </c>
      <c r="CZ13" s="2">
        <v>1.2E-2</v>
      </c>
      <c r="DQ13" s="2">
        <f>Heizflächen!C17</f>
        <v>0</v>
      </c>
      <c r="DR13" s="5">
        <f>Heizflächen!D17</f>
        <v>0</v>
      </c>
      <c r="DS13" s="5">
        <f>Heizflächen!H17</f>
        <v>6</v>
      </c>
      <c r="DT13" s="5">
        <f>Heizflächen!G17</f>
        <v>0</v>
      </c>
      <c r="DU13" s="5">
        <f>_xlfn.XLOOKUP(Heizflächen!$U$64,Tabelle5[Auswählbare Vor-und Rücklauftemperaturen],Tabelle5[Vorlauf],0,0,1)</f>
        <v>35</v>
      </c>
      <c r="DV13" s="5">
        <f>_xlfn.XLOOKUP(Heizflächen!$U$64,Tabelle5[Auswählbare Vor-und Rücklauftemperaturen],Tabelle5[Rücklauf],0,0,1)</f>
        <v>30</v>
      </c>
      <c r="DW13"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13" s="5">
        <f>_xlfn.XLOOKUP($DZ$3,Tabelle6[Systemtemperatur bei Norm-Wärmeleistungsbestimmung],Tabelle6[Vorlauf],0,0,1)</f>
        <v>55</v>
      </c>
      <c r="DY13" s="5">
        <f>_xlfn.XLOOKUP($DZ$3,Tabelle6[Systemtemperatur bei Norm-Wärmeleistungsbestimmung],Tabelle6[Rücklauf],0,0,1)</f>
        <v>45</v>
      </c>
      <c r="DZ13" s="5">
        <f>_xlfn.XLOOKUP($DZ$3,Tabelle6[Systemtemperatur bei Norm-Wärmeleistungsbestimmung],Tabelle6[Norm Innentemperatur],0,0,1)</f>
        <v>20</v>
      </c>
      <c r="EA13" s="147">
        <f>((Tabelle3[[#This Row],[Norm Vorlauftemperatur]]-Tabelle3[[#This Row],[Norm Rücklauftemperatur]])/LN((Tabelle3[[#This Row],[Norm Vorlauftemperatur]]-Tabelle3[[#This Row],[Norm Innentemperatur]])/(Tabelle3[[#This Row],[Norm Rücklauftemperatur]]-Tabelle3[[#This Row],[Norm Innentemperatur]])))</f>
        <v>29.720134119884619</v>
      </c>
      <c r="EB13" s="5">
        <f>_xlfn.XLOOKUP(Heizflächen!I17,Tabelle2[Typ],Tabelle2[Heizkörperexponent],0,1,1)</f>
        <v>0</v>
      </c>
      <c r="EC13" s="148">
        <f>Heizflächen!K17</f>
        <v>0</v>
      </c>
      <c r="ED13" s="5">
        <f>IF(Tabelle3[[#This Row],[Heizkörper in Nische?]]="Nein",1,_xlfn.XLOOKUP(Heizflächen!L17, Tabelle8[Höhe über HK],Tabelle8[Abminderungsfaktor],1,0,1))</f>
        <v>1</v>
      </c>
      <c r="EE13" s="5">
        <f>(DW13/EA13)^Tabelle3[[#This Row],[Heizkörperexponent n]]</f>
        <v>1</v>
      </c>
      <c r="EF13" s="5" cm="1">
        <f t="array" ref="EF13">_xlfn.XLOOKUP(Heizflächen!J17&amp;Heizflächen!M17&amp;Heizflächen!N17&amp;Heizflächen!O17&amp;Heizflächen!P17&amp;Heizflächen!Q17,Tabelle4[Typ]&amp;Tabelle4[Breite '[mm']]&amp;Tabelle4[Höhe '[mm']]&amp;Tabelle4[Bauhöhe Radiator '[mm']]&amp;Tabelle4[Nabenabstand Radiator '[mm']]&amp;Tabelle4[Bautiefe Radiator '[mm']],Tabelle4[Wärmeleistung (Radiatoren je Glied) '[W']],,-1,1)</f>
        <v>0</v>
      </c>
      <c r="EG13" s="5">
        <f>Heizflächen!R17</f>
        <v>0</v>
      </c>
      <c r="EH13" s="150">
        <f>IF(AND(Tabelle3[[#This Row],[Gliederanzahl]]&gt;0,Heizflächen!J17="Radiator"),Tabelle3[[#This Row],[Norm Heizleistung QNorm]]*Tabelle3[[#This Row],[f = (Δθm1/Δθm2)^n]]*Tabelle3[[#This Row],[Abminderungsfaktor]]*Tabelle3[[#This Row],[Gliederanzahl]],Tabelle3[[#This Row],[Abminderungsfaktor]]*Tabelle3[[#This Row],[f = (Δθm1/Δθm2)^n]]*Tabelle3[[#This Row],[Norm Heizleistung QNorm]])</f>
        <v>0</v>
      </c>
      <c r="EM13" s="2">
        <f>Heizflächen!C17</f>
        <v>0</v>
      </c>
      <c r="EN13" s="2">
        <f>Heizflächen!D17</f>
        <v>0</v>
      </c>
      <c r="EO13" s="2">
        <f>1-(Heizflächen!S17/0.075)</f>
        <v>1</v>
      </c>
      <c r="EP13" s="2">
        <f>100*(0.045-Heizflächen!T17)</f>
        <v>4.5</v>
      </c>
      <c r="EQ13" s="2">
        <f>250*(Heizflächen!U17-0.02)</f>
        <v>-5</v>
      </c>
      <c r="ER13" s="2">
        <f>_xlfn.XLOOKUP(Tabelle14[[#This Row],[Wärmedurchlasswiderstand Bodenbelag]],Tabelle17[Wärmedurchlasswiderstand Rλ,B in '[m²K/W']],Tabelle17[aT],0,-1,1)</f>
        <v>1.23</v>
      </c>
      <c r="ES13" s="2" cm="1">
        <f t="array" ref="ES13">_xlfn.XLOOKUP(Heizflächen!S17&amp;Tabelle14[[#This Row],[Wärmedurchlasswiderstand Bodenbelag]],Tabelle18[T]&amp;Tabelle18[Rλ,B in '[m²K/W']],Tabelle18[au],0,-1,1)</f>
        <v>0</v>
      </c>
      <c r="ET13" s="2" cm="1">
        <f t="array" ref="ET13">_xlfn.XLOOKUP(Heizflächen!S17&amp;Tabelle14[[#This Row],[Wärmedurchlasswiderstand Bodenbelag]],Tabelle19[T]&amp;Tabelle19[Rλ,B in '[m²K/W']],Tabelle19[aD],0,-1,1)</f>
        <v>0</v>
      </c>
      <c r="EU13" s="5">
        <f>_xlfn.XLOOKUP(Heizflächen!$U$64,Tabelle5[Auswählbare Vor-und Rücklauftemperaturen],Tabelle5[Vorlauf],0,0,1)</f>
        <v>35</v>
      </c>
      <c r="EV13" s="5">
        <f>_xlfn.XLOOKUP(Heizflächen!$U$64,Tabelle5[Auswählbare Vor-und Rücklauftemperaturen],Tabelle5[Rücklauf],0,0,1)</f>
        <v>30</v>
      </c>
      <c r="EW13" s="77">
        <f>((Tabelle14[[#This Row],[gewünschte Vorlauftemperatur]]-Tabelle14[[#This Row],[gewünschte Rücklauftemperatur]])/LN((Tabelle14[[#This Row],[gewünschte Vorlauftemperatur]]-Heizflächen!G17)/(Tabelle14[[#This Row],[gewünschte Rücklauftemperatur]]-Heizflächen!G17)))</f>
        <v>32.435795973154399</v>
      </c>
      <c r="EX13" s="2">
        <f>_xlfn.XLOOKUP(Heizflächen!V17,Tabelle13[Bodenbelagsmaterial],Tabelle13[Wärmedurchlasswiderstand Rλ,B in '[m²K/W']],0,0,1)</f>
        <v>0</v>
      </c>
      <c r="EY13" s="163">
        <f>((1/10.8)+(0.045/1))/((1/10.8)+(0.045/1.4)+Tabelle14[[#This Row],[Wärmedurchlasswiderstand Bodenbelag]])</f>
        <v>1.1030752916224815</v>
      </c>
      <c r="EZ13" s="2">
        <v>6.7</v>
      </c>
      <c r="FA13" s="164" t="e">
        <f>Tabelle14[[#This Row],[B '[W/(m²K)']]]*Tabelle14[[#This Row],[aB]]*(Tabelle14[[#This Row],[aT]]^Tabelle14[[#This Row],[mT]])*(Tabelle14[[#This Row],[au]]^Tabelle14[[#This Row],[mu]])*(Tabelle14[[#This Row],[aD]]^Tabelle14[[#This Row],[mD]])*Tabelle14[[#This Row],[gewünschte Übertemperatur Δθm]]</f>
        <v>#DIV/0!</v>
      </c>
      <c r="FB13" s="2">
        <f>IFERROR(Tabelle14[[#This Row],[q '[W/m²']]]*(Heizflächen!E17-Heizflächen!F17),0)</f>
        <v>0</v>
      </c>
      <c r="FC13" s="2">
        <f>Heizflächen!H17</f>
        <v>6</v>
      </c>
      <c r="FI13" s="2">
        <v>7</v>
      </c>
      <c r="FX13" s="2" t="s">
        <v>68</v>
      </c>
      <c r="FY13" s="2" t="s">
        <v>68</v>
      </c>
      <c r="GA13" s="2" t="s">
        <v>68</v>
      </c>
      <c r="GB13" s="2" t="s">
        <v>68</v>
      </c>
      <c r="GD13" s="2" t="s">
        <v>68</v>
      </c>
      <c r="GE13" s="2" t="s">
        <v>68</v>
      </c>
      <c r="GG13" s="2" t="s">
        <v>68</v>
      </c>
      <c r="GH13" s="2" t="s">
        <v>68</v>
      </c>
      <c r="GJ13" s="2" t="s">
        <v>68</v>
      </c>
      <c r="GK13" s="2" t="s">
        <v>68</v>
      </c>
      <c r="GM13" s="2" t="s">
        <v>68</v>
      </c>
      <c r="GN13" s="2" t="s">
        <v>68</v>
      </c>
    </row>
    <row r="14" spans="2:196" ht="26.1" customHeight="1" thickBot="1">
      <c r="B14" s="2" t="s">
        <v>511</v>
      </c>
      <c r="M14" s="1" t="s">
        <v>512</v>
      </c>
      <c r="N14" s="1" t="s">
        <v>415</v>
      </c>
      <c r="O14" s="27">
        <v>9.0399999999999991</v>
      </c>
      <c r="P14" s="28">
        <v>0</v>
      </c>
      <c r="Q14" s="171">
        <f>Allgemein!C144</f>
        <v>0.04</v>
      </c>
      <c r="R14" s="1"/>
      <c r="S14" s="1"/>
      <c r="AO14" s="2" t="s">
        <v>513</v>
      </c>
      <c r="AP14" s="2">
        <v>200</v>
      </c>
      <c r="AQ14" s="2">
        <v>250</v>
      </c>
      <c r="BH14" s="2" t="s">
        <v>434</v>
      </c>
      <c r="BI14" s="2">
        <v>1400</v>
      </c>
      <c r="BJ14" s="2">
        <v>300</v>
      </c>
      <c r="BN14" s="2">
        <v>1025</v>
      </c>
      <c r="BR14" s="2">
        <v>5</v>
      </c>
      <c r="BS14" s="2">
        <v>0.67620000000000002</v>
      </c>
      <c r="CC14" s="2" t="s">
        <v>514</v>
      </c>
      <c r="CD14" s="2">
        <v>70</v>
      </c>
      <c r="CE14" s="2">
        <v>55</v>
      </c>
      <c r="CQ14" s="2">
        <v>7.4999999999999997E-2</v>
      </c>
      <c r="CS14" s="2">
        <v>0.01</v>
      </c>
      <c r="CU14" s="2">
        <v>1.4999999999999999E-2</v>
      </c>
      <c r="CX14" s="2" t="s">
        <v>515</v>
      </c>
      <c r="CY14" s="2">
        <v>12</v>
      </c>
      <c r="CZ14" s="2">
        <v>5.7000000000000002E-3</v>
      </c>
      <c r="DF14" s="153" t="s">
        <v>502</v>
      </c>
      <c r="DG14" s="2" t="s">
        <v>463</v>
      </c>
      <c r="DQ14" s="2">
        <f>Heizflächen!C18</f>
        <v>0</v>
      </c>
      <c r="DR14" s="5">
        <f>Heizflächen!D18</f>
        <v>0</v>
      </c>
      <c r="DS14" s="5">
        <f>Heizflächen!H18</f>
        <v>7</v>
      </c>
      <c r="DT14" s="5">
        <f>Heizflächen!G18</f>
        <v>0</v>
      </c>
      <c r="DU14" s="5">
        <f>_xlfn.XLOOKUP(Heizflächen!$U$64,Tabelle5[Auswählbare Vor-und Rücklauftemperaturen],Tabelle5[Vorlauf],0,0,1)</f>
        <v>35</v>
      </c>
      <c r="DV14" s="5">
        <f>_xlfn.XLOOKUP(Heizflächen!$U$64,Tabelle5[Auswählbare Vor-und Rücklauftemperaturen],Tabelle5[Rücklauf],0,0,1)</f>
        <v>30</v>
      </c>
      <c r="DW14"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14" s="5">
        <f>_xlfn.XLOOKUP($DZ$3,Tabelle6[Systemtemperatur bei Norm-Wärmeleistungsbestimmung],Tabelle6[Vorlauf],0,0,1)</f>
        <v>55</v>
      </c>
      <c r="DY14" s="5">
        <f>_xlfn.XLOOKUP($DZ$3,Tabelle6[Systemtemperatur bei Norm-Wärmeleistungsbestimmung],Tabelle6[Rücklauf],0,0,1)</f>
        <v>45</v>
      </c>
      <c r="DZ14" s="5">
        <f>_xlfn.XLOOKUP($DZ$3,Tabelle6[Systemtemperatur bei Norm-Wärmeleistungsbestimmung],Tabelle6[Norm Innentemperatur],0,0,1)</f>
        <v>20</v>
      </c>
      <c r="EA14" s="147">
        <f>((Tabelle3[[#This Row],[Norm Vorlauftemperatur]]-Tabelle3[[#This Row],[Norm Rücklauftemperatur]])/LN((Tabelle3[[#This Row],[Norm Vorlauftemperatur]]-Tabelle3[[#This Row],[Norm Innentemperatur]])/(Tabelle3[[#This Row],[Norm Rücklauftemperatur]]-Tabelle3[[#This Row],[Norm Innentemperatur]])))</f>
        <v>29.720134119884619</v>
      </c>
      <c r="EB14" s="5">
        <f>_xlfn.XLOOKUP(Heizflächen!I18,Tabelle2[Typ],Tabelle2[Heizkörperexponent],0,1,1)</f>
        <v>0</v>
      </c>
      <c r="EC14" s="148">
        <f>Heizflächen!K18</f>
        <v>0</v>
      </c>
      <c r="ED14" s="5">
        <f>IF(Tabelle3[[#This Row],[Heizkörper in Nische?]]="Nein",1,_xlfn.XLOOKUP(Heizflächen!L18, Tabelle8[Höhe über HK],Tabelle8[Abminderungsfaktor],1,0,1))</f>
        <v>1</v>
      </c>
      <c r="EE14" s="5">
        <f>(DW14/EA14)^Tabelle3[[#This Row],[Heizkörperexponent n]]</f>
        <v>1</v>
      </c>
      <c r="EF14" s="5" cm="1">
        <f t="array" ref="EF14">_xlfn.XLOOKUP(Heizflächen!J18&amp;Heizflächen!M18&amp;Heizflächen!N18&amp;Heizflächen!O18&amp;Heizflächen!P18&amp;Heizflächen!Q18,Tabelle4[Typ]&amp;Tabelle4[Breite '[mm']]&amp;Tabelle4[Höhe '[mm']]&amp;Tabelle4[Bauhöhe Radiator '[mm']]&amp;Tabelle4[Nabenabstand Radiator '[mm']]&amp;Tabelle4[Bautiefe Radiator '[mm']],Tabelle4[Wärmeleistung (Radiatoren je Glied) '[W']],,-1,1)</f>
        <v>0</v>
      </c>
      <c r="EG14" s="5">
        <f>Heizflächen!R18</f>
        <v>0</v>
      </c>
      <c r="EH14" s="150">
        <f>IF(AND(Tabelle3[[#This Row],[Gliederanzahl]]&gt;0,Heizflächen!J18="Radiator"),Tabelle3[[#This Row],[Norm Heizleistung QNorm]]*Tabelle3[[#This Row],[f = (Δθm1/Δθm2)^n]]*Tabelle3[[#This Row],[Abminderungsfaktor]]*Tabelle3[[#This Row],[Gliederanzahl]],Tabelle3[[#This Row],[Abminderungsfaktor]]*Tabelle3[[#This Row],[f = (Δθm1/Δθm2)^n]]*Tabelle3[[#This Row],[Norm Heizleistung QNorm]])</f>
        <v>0</v>
      </c>
      <c r="EM14" s="2">
        <f>Heizflächen!C18</f>
        <v>0</v>
      </c>
      <c r="EN14" s="2">
        <f>Heizflächen!D18</f>
        <v>0</v>
      </c>
      <c r="EO14" s="2">
        <f>1-(Heizflächen!S18/0.075)</f>
        <v>1</v>
      </c>
      <c r="EP14" s="2">
        <f>100*(0.045-Heizflächen!T18)</f>
        <v>4.5</v>
      </c>
      <c r="EQ14" s="2">
        <f>250*(Heizflächen!U18-0.02)</f>
        <v>-5</v>
      </c>
      <c r="ER14" s="2">
        <f>_xlfn.XLOOKUP(Tabelle14[[#This Row],[Wärmedurchlasswiderstand Bodenbelag]],Tabelle17[Wärmedurchlasswiderstand Rλ,B in '[m²K/W']],Tabelle17[aT],0,-1,1)</f>
        <v>1.23</v>
      </c>
      <c r="ES14" s="2" cm="1">
        <f t="array" ref="ES14">_xlfn.XLOOKUP(Heizflächen!S18&amp;Tabelle14[[#This Row],[Wärmedurchlasswiderstand Bodenbelag]],Tabelle18[T]&amp;Tabelle18[Rλ,B in '[m²K/W']],Tabelle18[au],0,-1,1)</f>
        <v>0</v>
      </c>
      <c r="ET14" s="2" cm="1">
        <f t="array" ref="ET14">_xlfn.XLOOKUP(Heizflächen!S18&amp;Tabelle14[[#This Row],[Wärmedurchlasswiderstand Bodenbelag]],Tabelle19[T]&amp;Tabelle19[Rλ,B in '[m²K/W']],Tabelle19[aD],0,-1,1)</f>
        <v>0</v>
      </c>
      <c r="EU14" s="5">
        <f>_xlfn.XLOOKUP(Heizflächen!$U$64,Tabelle5[Auswählbare Vor-und Rücklauftemperaturen],Tabelle5[Vorlauf],0,0,1)</f>
        <v>35</v>
      </c>
      <c r="EV14" s="5">
        <f>_xlfn.XLOOKUP(Heizflächen!$U$64,Tabelle5[Auswählbare Vor-und Rücklauftemperaturen],Tabelle5[Rücklauf],0,0,1)</f>
        <v>30</v>
      </c>
      <c r="EW14" s="77">
        <f>((Tabelle14[[#This Row],[gewünschte Vorlauftemperatur]]-Tabelle14[[#This Row],[gewünschte Rücklauftemperatur]])/LN((Tabelle14[[#This Row],[gewünschte Vorlauftemperatur]]-Heizflächen!G18)/(Tabelle14[[#This Row],[gewünschte Rücklauftemperatur]]-Heizflächen!G18)))</f>
        <v>32.435795973154399</v>
      </c>
      <c r="EX14" s="2">
        <f>_xlfn.XLOOKUP(Heizflächen!V18,Tabelle13[Bodenbelagsmaterial],Tabelle13[Wärmedurchlasswiderstand Rλ,B in '[m²K/W']],0,0,1)</f>
        <v>0</v>
      </c>
      <c r="EY14" s="163">
        <f>((1/10.8)+(0.045/1))/((1/10.8)+(0.045/1.4)+Tabelle14[[#This Row],[Wärmedurchlasswiderstand Bodenbelag]])</f>
        <v>1.1030752916224815</v>
      </c>
      <c r="EZ14" s="2">
        <v>6.7</v>
      </c>
      <c r="FA14" s="164" t="e">
        <f>Tabelle14[[#This Row],[B '[W/(m²K)']]]*Tabelle14[[#This Row],[aB]]*(Tabelle14[[#This Row],[aT]]^Tabelle14[[#This Row],[mT]])*(Tabelle14[[#This Row],[au]]^Tabelle14[[#This Row],[mu]])*(Tabelle14[[#This Row],[aD]]^Tabelle14[[#This Row],[mD]])*Tabelle14[[#This Row],[gewünschte Übertemperatur Δθm]]</f>
        <v>#DIV/0!</v>
      </c>
      <c r="FB14" s="2">
        <f>IFERROR(Tabelle14[[#This Row],[q '[W/m²']]]*(Heizflächen!E18-Heizflächen!F18),0)</f>
        <v>0</v>
      </c>
      <c r="FC14" s="2">
        <f>Heizflächen!H18</f>
        <v>7</v>
      </c>
      <c r="FI14" s="2">
        <v>8</v>
      </c>
      <c r="FX14" s="2" t="str">
        <f>IF(Fassade!C13="","",_xlfn.TEXTJOIN("",TRUE,Fassade!B11&amp;" (",_xlfn.TEXTJOIN(" / ",TRUE,Fassade!C13:C16)&amp;") "))&amp;IF(Fassade!C39="","",_xlfn.TEXTJOIN("",TRUE,"+ "&amp;Fassade!B37&amp;" (",_xlfn.TEXTJOIN(" / ",TRUE,Fassade!C39:C42)&amp;") "))&amp;IF(Fassade!C26="","",_xlfn.TEXTJOIN("",TRUE,"+ "&amp;Fassade!B24&amp;" (",_xlfn.TEXTJOIN(" / ",TRUE,Fassade!C26:C29)&amp;") "))&amp;IF(Fassade!C52="","",_xlfn.TEXTJOIN("",TRUE,"+ "&amp;Fassade!B50&amp;" (",_xlfn.TEXTJOIN(" / ",TRUE,Fassade!C52:C58)&amp;") "))&amp;IF(Fassade!C65="","",_xlfn.TEXTJOIN("",TRUE,"+ "&amp;Fassade!B63&amp;" (",_xlfn.TEXTJOIN(" / ",TRUE,Fassade!C65:C71)&amp;") "))&amp;IF(Fassade!C78="","",_xlfn.TEXTJOIN("",TRUE,"+ "&amp;Fassade!B76&amp;" (",_xlfn.TEXTJOIN(" / ",TRUE,Fassade!C78:C84)&amp;") "))&amp;IF(Fassade!C91="","",_xlfn.TEXTJOIN("",TRUE,"+ "&amp;Fassade!B89&amp;" (",_xlfn.TEXTJOIN(" / ",TRUE,Fassade!C91:C97)&amp;") "))&amp;IF(Fassade!C104="","",_xlfn.TEXTJOIN("",TRUE,"+ "&amp;Fassade!B102&amp;" (",_xlfn.TEXTJOIN(" / ",TRUE,Fassade!C104:C110)&amp;") "))&amp;IF(Fassade!C117="","",_xlfn.TEXTJOIN("",TRUE,"+ "&amp;Fassade!B115&amp;" (",_xlfn.TEXTJOIN(" / ",TRUE,Fassade!C117:C123)&amp;") "))&amp;IF(Fassade!C130="","",_xlfn.TEXTJOIN("",TRUE,"+ "&amp;Fassade!B128&amp;" (",_xlfn.TEXTJOIN(" / ",TRUE,Fassade!C130:C138)&amp;") "))&amp;IF(Fassade!C143="","",_xlfn.TEXTJOIN("",TRUE,"+ "&amp;Fassade!B141&amp;" (",_xlfn.TEXTJOIN(" / ",TRUE,Fassade!C143:C151)&amp;") "))&amp;IF(Fassade!C156="","",_xlfn.TEXTJOIN("",TRUE,"+ "&amp;Fassade!B154&amp;" (",_xlfn.TEXTJOIN(" / ",TRUE,Fassade!C156:C164)&amp;") "))&amp;IF(Fassade!C169="","",_xlfn.TEXTJOIN("",TRUE,"+ "&amp;Fassade!B167&amp;" (",_xlfn.TEXTJOIN(" / ",TRUE,Fassade!C169:C172)&amp;") "))&amp;IF(Fassade!C182="","",_xlfn.TEXTJOIN("",TRUE,"+ "&amp;Fassade!B180&amp;" (",_xlfn.TEXTJOIN(" / ",TRUE,Fassade!C182:C185)&amp;") "))&amp;IF(Fassade!C195="","",_xlfn.TEXTJOIN("",TRUE,"+ "&amp;Fassade!B193&amp;" (",_xlfn.TEXTJOIN(" / ",TRUE,Fassade!C195:C198)&amp;") "))&amp;IF(Fassade!C208="","",_xlfn.TEXTJOIN("",TRUE,"+ "&amp;Fassade!B206&amp;" (",_xlfn.TEXTJOIN(" / ",TRUE,Fassade!C208:C217)&amp;") "))&amp;IF(Fassade!C221="","",_xlfn.TEXTJOIN("",TRUE,"+ "&amp;Fassade!B219&amp;" (",_xlfn.TEXTJOIN(" / ",TRUE,Fassade!C221:C230)&amp;") "))&amp;IF(Fassade!C234="","",_xlfn.TEXTJOIN("",TRUE,"+ "&amp;Fassade!B232&amp;" (",_xlfn.TEXTJOIN(" / ",TRUE,Fassade!C234:C243)&amp;") "))&amp;IF(Fassade!C247="","",_xlfn.TEXTJOIN("",TRUE,"+ "&amp;Fassade!B245&amp;" (",_xlfn.TEXTJOIN(" / ",TRUE,Fassade!C247:C256)&amp;") "))&amp;IF(Fassade!C260="","",_xlfn.TEXTJOIN("",TRUE,"+ "&amp;Fassade!B258&amp;" (",_xlfn.TEXTJOIN(" / ",TRUE,Fassade!C260:C269)&amp;") "))&amp;IF(Fassade!C273="","",_xlfn.TEXTJOIN("",TRUE,"+ "&amp;Fassade!B271&amp;" (",_xlfn.TEXTJOIN(" / ",TRUE,Fassade!C273:C282)&amp;") "))&amp;IF(Fassade!C286="","",_xlfn.TEXTJOIN("",TRUE,"+ "&amp;Fassade!B284&amp;" (",_xlfn.TEXTJOIN(" / ",TRUE,Fassade!C286:C295)&amp;") "))&amp;IF(Fassade!C299="","",_xlfn.TEXTJOIN("",TRUE,"+ "&amp;Fassade!B297&amp;" (",_xlfn.TEXTJOIN(" / ",TRUE,Fassade!C299:C308)&amp;") "))&amp;IF(Fassade!C312="","",_xlfn.TEXTJOIN("",TRUE,"+ "&amp;Fassade!B310&amp;" (",_xlfn.TEXTJOIN(" / ",TRUE,Fassade!C312:C321)&amp;") "))&amp;IF(Fassade!C325="","",_xlfn.TEXTJOIN("",TRUE,"+ "&amp;Fassade!B323&amp;" (",_xlfn.TEXTJOIN(" / ",TRUE,Fassade!C325:C334)&amp;") "))&amp;IF(Fassade!C338="","",_xlfn.TEXTJOIN("",TRUE,"+ "&amp;Fassade!B336&amp;" (",_xlfn.TEXTJOIN(" / ",TRUE,Fassade!C338:C347)&amp;") "))&amp;IF(Fassade!C351="","",_xlfn.TEXTJOIN("",TRUE,"+ "&amp;Fassade!B349&amp;" (",_xlfn.TEXTJOIN(" / ",TRUE,Fassade!C351:C360)&amp;") "))&amp;IF(Fassade!C364="","",_xlfn.TEXTJOIN("",TRUE,"+ "&amp;Fassade!B362&amp;" (",_xlfn.TEXTJOIN(" / ",TRUE,Fassade!C364:C373)&amp;") "))&amp;IF(Fassade!C377="","",_xlfn.TEXTJOIN("",TRUE,"+ "&amp;Fassade!B375&amp;" (",_xlfn.TEXTJOIN(" / ",TRUE,Fassade!C377:C386)&amp;") "))&amp;IF(Fassade!C390="","",_xlfn.TEXTJOIN("",TRUE,"+ "&amp;Fassade!B388&amp;" (",_xlfn.TEXTJOIN(" / ",TRUE,Fassade!C390:C399)&amp;") "))&amp;IF(Fassade!C403="","",_xlfn.TEXTJOIN("",TRUE,"+ "&amp;Fassade!B401&amp;" (",_xlfn.TEXTJOIN(" / ",TRUE,Fassade!C403:C408)&amp;") "))&amp;IF(Fassade!C416="","",_xlfn.TEXTJOIN("",TRUE,"+ "&amp;Fassade!B414&amp;" (",_xlfn.TEXTJOIN(" / ",TRUE,Fassade!C416:C421)&amp;") "))&amp;IF(Fassade!C429="","",_xlfn.TEXTJOIN("",TRUE,"+ "&amp;Fassade!B427&amp;" (",_xlfn.TEXTJOIN(" / ",TRUE,Fassade!C429:C434)&amp;") "))&amp;IF(Fassade!C442="","",_xlfn.TEXTJOIN("",TRUE,"+ "&amp;Fassade!B440&amp;" (",_xlfn.TEXTJOIN(" / ",TRUE,Fassade!C442:C447)&amp;") "))&amp;IF(Fassade!C455="","",_xlfn.TEXTJOIN("",TRUE,"+ "&amp;Fassade!B453&amp;" (",_xlfn.TEXTJOIN(" / ",TRUE,Fassade!C455:C460)&amp;") "))&amp;IF(Fassade!C468="","",_xlfn.TEXTJOIN("",TRUE,"+ "&amp;Fassade!B466&amp;" (",_xlfn.TEXTJOIN(" / ",TRUE,Fassade!C468:C473)&amp;") "))&amp;IF(Fassade!C481="","",_xlfn.TEXTJOIN("",TRUE,"+ "&amp;Fassade!B479&amp;" (",_xlfn.TEXTJOIN(" / ",TRUE,Fassade!C481:C490)&amp;") "))&amp;IF(Fassade!C494="","",_xlfn.TEXTJOIN("",TRUE,"+ "&amp;Fassade!B492&amp;" (",_xlfn.TEXTJOIN(" / ",TRUE,Fassade!C494:C503)&amp;") "))&amp;IF(Fassade!C507="","",_xlfn.TEXTJOIN("",TRUE,"+ "&amp;Fassade!B505&amp;" (",_xlfn.TEXTJOIN(" / ",TRUE,Fassade!C507:C516)&amp;") "))</f>
        <v/>
      </c>
      <c r="FY14" s="4"/>
      <c r="GA14" t="str">
        <f>"Fenster ("&amp;_xlfn.TEXTJOIN("/",TRUE,Fenster!C12,Fenster!D12,Fenster!E12)&amp;")"&amp;" Türen ("&amp;_xlfn.TEXTJOIN("/",TRUE,Fenster!C18,Fenster!D18,Fenster!E18)&amp;")"</f>
        <v>Fenster () Türen ()</v>
      </c>
      <c r="GB14"/>
      <c r="GD14" t="str">
        <f>_xlfn.TEXTJOIN(" / ",TRUE,Dach!C12,IF(Dach!C29="---","Schrägen ungedämmt",Dach!C29&amp;" - "&amp;Dach!C30),IF(Dach!C36="---","",Dach!C36&amp;" - "&amp;Dach!C37&amp;" - "&amp;Dach!C38))</f>
        <v xml:space="preserve"> -  /  -  - </v>
      </c>
      <c r="GE14"/>
      <c r="GG14" t="str">
        <f>"Kellertyp: "&amp;'Boden u. Keller'!C12&amp;" / "&amp;"Deckentyp: "&amp;'Boden u. Keller'!C20</f>
        <v xml:space="preserve">Kellertyp:  / Deckentyp: </v>
      </c>
      <c r="GH14"/>
      <c r="GJ14"/>
      <c r="GK14"/>
      <c r="GM14" s="1354" t="str">
        <f>Wärmepumpe!C16&amp;" - "&amp;Wärmepumpe!C17</f>
        <v xml:space="preserve"> - </v>
      </c>
      <c r="GN14"/>
    </row>
    <row r="15" spans="2:196">
      <c r="B15" s="2" t="s">
        <v>516</v>
      </c>
      <c r="M15" s="1" t="s">
        <v>517</v>
      </c>
      <c r="N15" s="1" t="s">
        <v>518</v>
      </c>
      <c r="O15" s="27">
        <v>3</v>
      </c>
      <c r="P15" s="28">
        <v>0</v>
      </c>
      <c r="Q15" s="171">
        <f>Allgemein!C144</f>
        <v>0.04</v>
      </c>
      <c r="R15" s="1"/>
      <c r="S15" s="1"/>
      <c r="AO15" s="2" t="s">
        <v>519</v>
      </c>
      <c r="AP15" s="2">
        <v>250</v>
      </c>
      <c r="AQ15" s="2">
        <v>1000</v>
      </c>
      <c r="BH15" s="2" t="s">
        <v>434</v>
      </c>
      <c r="BI15" s="2">
        <v>1600</v>
      </c>
      <c r="BJ15" s="2">
        <v>300</v>
      </c>
      <c r="BN15" s="2">
        <v>1172</v>
      </c>
      <c r="BR15" s="2">
        <v>10</v>
      </c>
      <c r="BS15" s="2">
        <v>0.76839999999999997</v>
      </c>
      <c r="CC15" s="2" t="s">
        <v>520</v>
      </c>
      <c r="CD15" s="2">
        <v>55</v>
      </c>
      <c r="CE15" s="2">
        <v>48</v>
      </c>
      <c r="CQ15" s="2">
        <v>0.1</v>
      </c>
      <c r="CS15" s="2">
        <v>1.2E-2</v>
      </c>
      <c r="CU15" s="2">
        <v>0.02</v>
      </c>
      <c r="CX15" s="2" t="s">
        <v>521</v>
      </c>
      <c r="CY15" s="2">
        <v>12</v>
      </c>
      <c r="CZ15" s="2">
        <v>0.01</v>
      </c>
      <c r="DF15" s="2">
        <v>0</v>
      </c>
      <c r="DG15" s="2">
        <v>1.23</v>
      </c>
      <c r="DQ15" s="2">
        <f>Heizflächen!C19</f>
        <v>0</v>
      </c>
      <c r="DR15" s="5">
        <f>Heizflächen!D19</f>
        <v>0</v>
      </c>
      <c r="DS15" s="5">
        <f>Heizflächen!H19</f>
        <v>8</v>
      </c>
      <c r="DT15" s="5">
        <f>Heizflächen!G19</f>
        <v>0</v>
      </c>
      <c r="DU15" s="5">
        <f>_xlfn.XLOOKUP(Heizflächen!$U$64,Tabelle5[Auswählbare Vor-und Rücklauftemperaturen],Tabelle5[Vorlauf],0,0,1)</f>
        <v>35</v>
      </c>
      <c r="DV15" s="5">
        <f>_xlfn.XLOOKUP(Heizflächen!$U$64,Tabelle5[Auswählbare Vor-und Rücklauftemperaturen],Tabelle5[Rücklauf],0,0,1)</f>
        <v>30</v>
      </c>
      <c r="DW15"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15" s="5">
        <f>_xlfn.XLOOKUP($DZ$3,Tabelle6[Systemtemperatur bei Norm-Wärmeleistungsbestimmung],Tabelle6[Vorlauf],0,0,1)</f>
        <v>55</v>
      </c>
      <c r="DY15" s="5">
        <f>_xlfn.XLOOKUP($DZ$3,Tabelle6[Systemtemperatur bei Norm-Wärmeleistungsbestimmung],Tabelle6[Rücklauf],0,0,1)</f>
        <v>45</v>
      </c>
      <c r="DZ15" s="5">
        <f>_xlfn.XLOOKUP($DZ$3,Tabelle6[Systemtemperatur bei Norm-Wärmeleistungsbestimmung],Tabelle6[Norm Innentemperatur],0,0,1)</f>
        <v>20</v>
      </c>
      <c r="EA15" s="147">
        <f>((Tabelle3[[#This Row],[Norm Vorlauftemperatur]]-Tabelle3[[#This Row],[Norm Rücklauftemperatur]])/LN((Tabelle3[[#This Row],[Norm Vorlauftemperatur]]-Tabelle3[[#This Row],[Norm Innentemperatur]])/(Tabelle3[[#This Row],[Norm Rücklauftemperatur]]-Tabelle3[[#This Row],[Norm Innentemperatur]])))</f>
        <v>29.720134119884619</v>
      </c>
      <c r="EB15" s="5">
        <f>_xlfn.XLOOKUP(Heizflächen!I19,Tabelle2[Typ],Tabelle2[Heizkörperexponent],0,1,1)</f>
        <v>0</v>
      </c>
      <c r="EC15" s="148">
        <f>Heizflächen!K19</f>
        <v>0</v>
      </c>
      <c r="ED15" s="5">
        <f>IF(Tabelle3[[#This Row],[Heizkörper in Nische?]]="Nein",1,_xlfn.XLOOKUP(Heizflächen!L19, Tabelle8[Höhe über HK],Tabelle8[Abminderungsfaktor],1,0,1))</f>
        <v>1</v>
      </c>
      <c r="EE15" s="5">
        <f>(DW15/EA15)^Tabelle3[[#This Row],[Heizkörperexponent n]]</f>
        <v>1</v>
      </c>
      <c r="EF15" s="5" cm="1">
        <f t="array" ref="EF15">_xlfn.XLOOKUP(Heizflächen!J19&amp;Heizflächen!M19&amp;Heizflächen!N19&amp;Heizflächen!O19&amp;Heizflächen!P19&amp;Heizflächen!Q19,Tabelle4[Typ]&amp;Tabelle4[Breite '[mm']]&amp;Tabelle4[Höhe '[mm']]&amp;Tabelle4[Bauhöhe Radiator '[mm']]&amp;Tabelle4[Nabenabstand Radiator '[mm']]&amp;Tabelle4[Bautiefe Radiator '[mm']],Tabelle4[Wärmeleistung (Radiatoren je Glied) '[W']],,-1,1)</f>
        <v>0</v>
      </c>
      <c r="EG15" s="5">
        <f>Heizflächen!R19</f>
        <v>0</v>
      </c>
      <c r="EH15" s="150">
        <f>IF(AND(Tabelle3[[#This Row],[Gliederanzahl]]&gt;0,Heizflächen!J19="Radiator"),Tabelle3[[#This Row],[Norm Heizleistung QNorm]]*Tabelle3[[#This Row],[f = (Δθm1/Δθm2)^n]]*Tabelle3[[#This Row],[Abminderungsfaktor]]*Tabelle3[[#This Row],[Gliederanzahl]],Tabelle3[[#This Row],[Abminderungsfaktor]]*Tabelle3[[#This Row],[f = (Δθm1/Δθm2)^n]]*Tabelle3[[#This Row],[Norm Heizleistung QNorm]])</f>
        <v>0</v>
      </c>
      <c r="EM15" s="2">
        <f>Heizflächen!C19</f>
        <v>0</v>
      </c>
      <c r="EN15" s="2">
        <f>Heizflächen!D19</f>
        <v>0</v>
      </c>
      <c r="EO15" s="2">
        <f>1-(Heizflächen!S19/0.075)</f>
        <v>1</v>
      </c>
      <c r="EP15" s="2">
        <f>100*(0.045-Heizflächen!T19)</f>
        <v>4.5</v>
      </c>
      <c r="EQ15" s="2">
        <f>250*(Heizflächen!U19-0.02)</f>
        <v>-5</v>
      </c>
      <c r="ER15" s="2">
        <f>_xlfn.XLOOKUP(Tabelle14[[#This Row],[Wärmedurchlasswiderstand Bodenbelag]],Tabelle17[Wärmedurchlasswiderstand Rλ,B in '[m²K/W']],Tabelle17[aT],0,-1,1)</f>
        <v>1.23</v>
      </c>
      <c r="ES15" s="2" cm="1">
        <f t="array" ref="ES15">_xlfn.XLOOKUP(Heizflächen!S19&amp;Tabelle14[[#This Row],[Wärmedurchlasswiderstand Bodenbelag]],Tabelle18[T]&amp;Tabelle18[Rλ,B in '[m²K/W']],Tabelle18[au],0,-1,1)</f>
        <v>0</v>
      </c>
      <c r="ET15" s="2" cm="1">
        <f t="array" ref="ET15">_xlfn.XLOOKUP(Heizflächen!S19&amp;Tabelle14[[#This Row],[Wärmedurchlasswiderstand Bodenbelag]],Tabelle19[T]&amp;Tabelle19[Rλ,B in '[m²K/W']],Tabelle19[aD],0,-1,1)</f>
        <v>0</v>
      </c>
      <c r="EU15" s="5">
        <f>_xlfn.XLOOKUP(Heizflächen!$U$64,Tabelle5[Auswählbare Vor-und Rücklauftemperaturen],Tabelle5[Vorlauf],0,0,1)</f>
        <v>35</v>
      </c>
      <c r="EV15" s="5">
        <f>_xlfn.XLOOKUP(Heizflächen!$U$64,Tabelle5[Auswählbare Vor-und Rücklauftemperaturen],Tabelle5[Rücklauf],0,0,1)</f>
        <v>30</v>
      </c>
      <c r="EW15" s="77">
        <f>((Tabelle14[[#This Row],[gewünschte Vorlauftemperatur]]-Tabelle14[[#This Row],[gewünschte Rücklauftemperatur]])/LN((Tabelle14[[#This Row],[gewünschte Vorlauftemperatur]]-Heizflächen!G19)/(Tabelle14[[#This Row],[gewünschte Rücklauftemperatur]]-Heizflächen!G19)))</f>
        <v>32.435795973154399</v>
      </c>
      <c r="EX15" s="2">
        <f>_xlfn.XLOOKUP(Heizflächen!V19,Tabelle13[Bodenbelagsmaterial],Tabelle13[Wärmedurchlasswiderstand Rλ,B in '[m²K/W']],0,0,1)</f>
        <v>0</v>
      </c>
      <c r="EY15" s="163">
        <f>((1/10.8)+(0.045/1))/((1/10.8)+(0.045/1.4)+Tabelle14[[#This Row],[Wärmedurchlasswiderstand Bodenbelag]])</f>
        <v>1.1030752916224815</v>
      </c>
      <c r="EZ15" s="2">
        <v>6.7</v>
      </c>
      <c r="FA15" s="164" t="e">
        <f>Tabelle14[[#This Row],[B '[W/(m²K)']]]*Tabelle14[[#This Row],[aB]]*(Tabelle14[[#This Row],[aT]]^Tabelle14[[#This Row],[mT]])*(Tabelle14[[#This Row],[au]]^Tabelle14[[#This Row],[mu]])*(Tabelle14[[#This Row],[aD]]^Tabelle14[[#This Row],[mD]])*Tabelle14[[#This Row],[gewünschte Übertemperatur Δθm]]</f>
        <v>#DIV/0!</v>
      </c>
      <c r="FB15" s="2">
        <f>IFERROR(Tabelle14[[#This Row],[q '[W/m²']]]*(Heizflächen!E19-Heizflächen!F19),0)</f>
        <v>0</v>
      </c>
      <c r="FC15" s="2">
        <f>Heizflächen!H19</f>
        <v>8</v>
      </c>
      <c r="FI15" s="2">
        <v>9</v>
      </c>
      <c r="FX15" s="2" t="str">
        <f>Allgemein!D27</f>
        <v>-</v>
      </c>
      <c r="GA15" s="2" t="str">
        <f>Allgemein!D28</f>
        <v>-</v>
      </c>
      <c r="GD15" s="2" t="str">
        <f>Allgemein!D26</f>
        <v>-</v>
      </c>
      <c r="GG15" t="str">
        <f>Allgemein!D29</f>
        <v>-</v>
      </c>
      <c r="GJ15" t="str">
        <f>Allgemein!D30</f>
        <v>-</v>
      </c>
      <c r="GM15" t="str">
        <f>Allgemein!D31</f>
        <v>-</v>
      </c>
    </row>
    <row r="16" spans="2:196">
      <c r="M16" s="1" t="s">
        <v>522</v>
      </c>
      <c r="N16" s="1" t="s">
        <v>224</v>
      </c>
      <c r="O16" s="27">
        <v>1</v>
      </c>
      <c r="P16" s="28">
        <v>0</v>
      </c>
      <c r="Q16" s="172">
        <f>Allgemein!C140</f>
        <v>0.02</v>
      </c>
      <c r="R16" s="1"/>
      <c r="S16" s="1"/>
      <c r="BH16" s="2" t="s">
        <v>434</v>
      </c>
      <c r="BI16" s="2">
        <v>1800</v>
      </c>
      <c r="BJ16" s="2">
        <v>300</v>
      </c>
      <c r="BN16" s="2">
        <v>1318</v>
      </c>
      <c r="BR16" s="2">
        <v>15</v>
      </c>
      <c r="BS16" s="2">
        <v>0.80330000000000001</v>
      </c>
      <c r="CC16" s="2" t="s">
        <v>417</v>
      </c>
      <c r="CD16" s="2">
        <v>55</v>
      </c>
      <c r="CE16" s="2">
        <v>45</v>
      </c>
      <c r="CQ16" s="2">
        <v>0.15</v>
      </c>
      <c r="CS16" s="2">
        <v>1.4E-2</v>
      </c>
      <c r="CU16" s="2">
        <v>2.5000000000000001E-2</v>
      </c>
      <c r="CX16" s="2" t="s">
        <v>523</v>
      </c>
      <c r="CY16" s="2">
        <v>12</v>
      </c>
      <c r="CZ16" s="2">
        <v>5.7000000000000002E-3</v>
      </c>
      <c r="DF16" s="2">
        <v>0.05</v>
      </c>
      <c r="DG16" s="2">
        <v>1.1879999999999999</v>
      </c>
      <c r="DQ16" s="2">
        <f>Heizflächen!C20</f>
        <v>0</v>
      </c>
      <c r="DR16" s="5">
        <f>Heizflächen!D20</f>
        <v>0</v>
      </c>
      <c r="DS16" s="5">
        <f>Heizflächen!H20</f>
        <v>9</v>
      </c>
      <c r="DT16" s="5">
        <f>Heizflächen!G20</f>
        <v>0</v>
      </c>
      <c r="DU16" s="5">
        <f>_xlfn.XLOOKUP(Heizflächen!$U$64,Tabelle5[Auswählbare Vor-und Rücklauftemperaturen],Tabelle5[Vorlauf],0,0,1)</f>
        <v>35</v>
      </c>
      <c r="DV16" s="5">
        <f>_xlfn.XLOOKUP(Heizflächen!$U$64,Tabelle5[Auswählbare Vor-und Rücklauftemperaturen],Tabelle5[Rücklauf],0,0,1)</f>
        <v>30</v>
      </c>
      <c r="DW16"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16" s="5">
        <f>_xlfn.XLOOKUP($DZ$3,Tabelle6[Systemtemperatur bei Norm-Wärmeleistungsbestimmung],Tabelle6[Vorlauf],0,0,1)</f>
        <v>55</v>
      </c>
      <c r="DY16" s="5">
        <f>_xlfn.XLOOKUP($DZ$3,Tabelle6[Systemtemperatur bei Norm-Wärmeleistungsbestimmung],Tabelle6[Rücklauf],0,0,1)</f>
        <v>45</v>
      </c>
      <c r="DZ16" s="5">
        <f>_xlfn.XLOOKUP($DZ$3,Tabelle6[Systemtemperatur bei Norm-Wärmeleistungsbestimmung],Tabelle6[Norm Innentemperatur],0,0,1)</f>
        <v>20</v>
      </c>
      <c r="EA16" s="147">
        <f>((Tabelle3[[#This Row],[Norm Vorlauftemperatur]]-Tabelle3[[#This Row],[Norm Rücklauftemperatur]])/LN((Tabelle3[[#This Row],[Norm Vorlauftemperatur]]-Tabelle3[[#This Row],[Norm Innentemperatur]])/(Tabelle3[[#This Row],[Norm Rücklauftemperatur]]-Tabelle3[[#This Row],[Norm Innentemperatur]])))</f>
        <v>29.720134119884619</v>
      </c>
      <c r="EB16" s="5">
        <f>_xlfn.XLOOKUP(Heizflächen!I20,Tabelle2[Typ],Tabelle2[Heizkörperexponent],0,1,1)</f>
        <v>0</v>
      </c>
      <c r="EC16" s="148">
        <f>Heizflächen!K20</f>
        <v>0</v>
      </c>
      <c r="ED16" s="5">
        <f>IF(Tabelle3[[#This Row],[Heizkörper in Nische?]]="Nein",1,_xlfn.XLOOKUP(Heizflächen!L20, Tabelle8[Höhe über HK],Tabelle8[Abminderungsfaktor],1,0,1))</f>
        <v>1</v>
      </c>
      <c r="EE16" s="5">
        <f>(DW16/EA16)^Tabelle3[[#This Row],[Heizkörperexponent n]]</f>
        <v>1</v>
      </c>
      <c r="EF16" s="5" cm="1">
        <f t="array" ref="EF16">_xlfn.XLOOKUP(Heizflächen!J20&amp;Heizflächen!M20&amp;Heizflächen!N20&amp;Heizflächen!O20&amp;Heizflächen!P20&amp;Heizflächen!Q20,Tabelle4[Typ]&amp;Tabelle4[Breite '[mm']]&amp;Tabelle4[Höhe '[mm']]&amp;Tabelle4[Bauhöhe Radiator '[mm']]&amp;Tabelle4[Nabenabstand Radiator '[mm']]&amp;Tabelle4[Bautiefe Radiator '[mm']],Tabelle4[Wärmeleistung (Radiatoren je Glied) '[W']],,-1,1)</f>
        <v>0</v>
      </c>
      <c r="EG16" s="5">
        <f>Heizflächen!R20</f>
        <v>0</v>
      </c>
      <c r="EH16" s="150">
        <f>IF(AND(Tabelle3[[#This Row],[Gliederanzahl]]&gt;0,Heizflächen!J20="Radiator"),Tabelle3[[#This Row],[Norm Heizleistung QNorm]]*Tabelle3[[#This Row],[f = (Δθm1/Δθm2)^n]]*Tabelle3[[#This Row],[Abminderungsfaktor]]*Tabelle3[[#This Row],[Gliederanzahl]],Tabelle3[[#This Row],[Abminderungsfaktor]]*Tabelle3[[#This Row],[f = (Δθm1/Δθm2)^n]]*Tabelle3[[#This Row],[Norm Heizleistung QNorm]])</f>
        <v>0</v>
      </c>
      <c r="EM16" s="2">
        <f>Heizflächen!C20</f>
        <v>0</v>
      </c>
      <c r="EN16" s="2">
        <f>Heizflächen!D20</f>
        <v>0</v>
      </c>
      <c r="EO16" s="2">
        <f>1-(Heizflächen!S20/0.075)</f>
        <v>1</v>
      </c>
      <c r="EP16" s="2">
        <f>100*(0.045-Heizflächen!T20)</f>
        <v>4.5</v>
      </c>
      <c r="EQ16" s="2">
        <f>250*(Heizflächen!U20-0.02)</f>
        <v>-5</v>
      </c>
      <c r="ER16" s="2">
        <f>_xlfn.XLOOKUP(Tabelle14[[#This Row],[Wärmedurchlasswiderstand Bodenbelag]],Tabelle17[Wärmedurchlasswiderstand Rλ,B in '[m²K/W']],Tabelle17[aT],0,-1,1)</f>
        <v>1.23</v>
      </c>
      <c r="ES16" s="2" cm="1">
        <f t="array" ref="ES16">_xlfn.XLOOKUP(Heizflächen!S20&amp;Tabelle14[[#This Row],[Wärmedurchlasswiderstand Bodenbelag]],Tabelle18[T]&amp;Tabelle18[Rλ,B in '[m²K/W']],Tabelle18[au],0,-1,1)</f>
        <v>0</v>
      </c>
      <c r="ET16" s="2" cm="1">
        <f t="array" ref="ET16">_xlfn.XLOOKUP(Heizflächen!S20&amp;Tabelle14[[#This Row],[Wärmedurchlasswiderstand Bodenbelag]],Tabelle19[T]&amp;Tabelle19[Rλ,B in '[m²K/W']],Tabelle19[aD],0,-1,1)</f>
        <v>0</v>
      </c>
      <c r="EU16" s="5">
        <f>_xlfn.XLOOKUP(Heizflächen!$U$64,Tabelle5[Auswählbare Vor-und Rücklauftemperaturen],Tabelle5[Vorlauf],0,0,1)</f>
        <v>35</v>
      </c>
      <c r="EV16" s="5">
        <f>_xlfn.XLOOKUP(Heizflächen!$U$64,Tabelle5[Auswählbare Vor-und Rücklauftemperaturen],Tabelle5[Rücklauf],0,0,1)</f>
        <v>30</v>
      </c>
      <c r="EW16" s="77">
        <f>((Tabelle14[[#This Row],[gewünschte Vorlauftemperatur]]-Tabelle14[[#This Row],[gewünschte Rücklauftemperatur]])/LN((Tabelle14[[#This Row],[gewünschte Vorlauftemperatur]]-Heizflächen!G20)/(Tabelle14[[#This Row],[gewünschte Rücklauftemperatur]]-Heizflächen!G20)))</f>
        <v>32.435795973154399</v>
      </c>
      <c r="EX16" s="2">
        <f>_xlfn.XLOOKUP(Heizflächen!V20,Tabelle13[Bodenbelagsmaterial],Tabelle13[Wärmedurchlasswiderstand Rλ,B in '[m²K/W']],0,0,1)</f>
        <v>0</v>
      </c>
      <c r="EY16" s="163">
        <f>((1/10.8)+(0.045/1))/((1/10.8)+(0.045/1.4)+Tabelle14[[#This Row],[Wärmedurchlasswiderstand Bodenbelag]])</f>
        <v>1.1030752916224815</v>
      </c>
      <c r="EZ16" s="2">
        <v>6.7</v>
      </c>
      <c r="FA16" s="164" t="e">
        <f>Tabelle14[[#This Row],[B '[W/(m²K)']]]*Tabelle14[[#This Row],[aB]]*(Tabelle14[[#This Row],[aT]]^Tabelle14[[#This Row],[mT]])*(Tabelle14[[#This Row],[au]]^Tabelle14[[#This Row],[mu]])*(Tabelle14[[#This Row],[aD]]^Tabelle14[[#This Row],[mD]])*Tabelle14[[#This Row],[gewünschte Übertemperatur Δθm]]</f>
        <v>#DIV/0!</v>
      </c>
      <c r="FB16" s="2">
        <f>IFERROR(Tabelle14[[#This Row],[q '[W/m²']]]*(Heizflächen!E20-Heizflächen!F20),0)</f>
        <v>0</v>
      </c>
      <c r="FC16" s="2">
        <f>Heizflächen!H20</f>
        <v>9</v>
      </c>
      <c r="FI16" s="2">
        <v>10</v>
      </c>
      <c r="GD16"/>
      <c r="GE16"/>
      <c r="GG16"/>
      <c r="GH16"/>
      <c r="GJ16"/>
      <c r="GK16"/>
      <c r="GM16"/>
      <c r="GN16"/>
    </row>
    <row r="17" spans="2:165">
      <c r="M17" s="2" t="s">
        <v>524</v>
      </c>
      <c r="N17" s="2" t="s">
        <v>224</v>
      </c>
      <c r="O17" s="173">
        <v>1</v>
      </c>
      <c r="P17" s="28">
        <v>0</v>
      </c>
      <c r="Q17" s="171">
        <f>Allgemein!C144</f>
        <v>0.04</v>
      </c>
      <c r="R17" s="1"/>
      <c r="S17" s="1"/>
      <c r="BH17" s="2" t="s">
        <v>434</v>
      </c>
      <c r="BI17" s="2">
        <v>2000</v>
      </c>
      <c r="BJ17" s="2">
        <v>300</v>
      </c>
      <c r="BN17" s="2">
        <v>1465</v>
      </c>
      <c r="BR17" s="2">
        <v>20</v>
      </c>
      <c r="BS17" s="2">
        <v>0.83809999999999996</v>
      </c>
      <c r="CC17" s="2" t="s">
        <v>525</v>
      </c>
      <c r="CD17" s="2">
        <v>48</v>
      </c>
      <c r="CE17" s="2">
        <v>41</v>
      </c>
      <c r="CQ17" s="2">
        <v>0.2</v>
      </c>
      <c r="CS17" s="2">
        <v>1.6E-2</v>
      </c>
      <c r="CU17" s="2">
        <v>0.03</v>
      </c>
      <c r="CX17" s="2" t="s">
        <v>526</v>
      </c>
      <c r="CZ17" s="2">
        <v>0.1</v>
      </c>
      <c r="DF17" s="2">
        <v>0.1</v>
      </c>
      <c r="DG17" s="2">
        <v>1.1559999999999999</v>
      </c>
      <c r="DQ17" s="2">
        <f>Heizflächen!C21</f>
        <v>0</v>
      </c>
      <c r="DR17" s="5">
        <f>Heizflächen!D21</f>
        <v>0</v>
      </c>
      <c r="DS17" s="5">
        <f>Heizflächen!H21</f>
        <v>10</v>
      </c>
      <c r="DT17" s="5">
        <f>Heizflächen!G21</f>
        <v>0</v>
      </c>
      <c r="DU17" s="5">
        <f>_xlfn.XLOOKUP(Heizflächen!$U$64,Tabelle5[Auswählbare Vor-und Rücklauftemperaturen],Tabelle5[Vorlauf],0,0,1)</f>
        <v>35</v>
      </c>
      <c r="DV17" s="5">
        <f>_xlfn.XLOOKUP(Heizflächen!$U$64,Tabelle5[Auswählbare Vor-und Rücklauftemperaturen],Tabelle5[Rücklauf],0,0,1)</f>
        <v>30</v>
      </c>
      <c r="DW17"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17" s="5">
        <f>_xlfn.XLOOKUP($DZ$3,Tabelle6[Systemtemperatur bei Norm-Wärmeleistungsbestimmung],Tabelle6[Vorlauf],0,0,1)</f>
        <v>55</v>
      </c>
      <c r="DY17" s="5">
        <f>_xlfn.XLOOKUP($DZ$3,Tabelle6[Systemtemperatur bei Norm-Wärmeleistungsbestimmung],Tabelle6[Rücklauf],0,0,1)</f>
        <v>45</v>
      </c>
      <c r="DZ17" s="5">
        <f>_xlfn.XLOOKUP($DZ$3,Tabelle6[Systemtemperatur bei Norm-Wärmeleistungsbestimmung],Tabelle6[Norm Innentemperatur],0,0,1)</f>
        <v>20</v>
      </c>
      <c r="EA17" s="147">
        <f>((Tabelle3[[#This Row],[Norm Vorlauftemperatur]]-Tabelle3[[#This Row],[Norm Rücklauftemperatur]])/LN((Tabelle3[[#This Row],[Norm Vorlauftemperatur]]-Tabelle3[[#This Row],[Norm Innentemperatur]])/(Tabelle3[[#This Row],[Norm Rücklauftemperatur]]-Tabelle3[[#This Row],[Norm Innentemperatur]])))</f>
        <v>29.720134119884619</v>
      </c>
      <c r="EB17" s="5">
        <f>_xlfn.XLOOKUP(Heizflächen!I21,Tabelle2[Typ],Tabelle2[Heizkörperexponent],0,1,1)</f>
        <v>0</v>
      </c>
      <c r="EC17" s="148">
        <f>Heizflächen!K21</f>
        <v>0</v>
      </c>
      <c r="ED17" s="5">
        <f>IF(Tabelle3[[#This Row],[Heizkörper in Nische?]]="Nein",1,_xlfn.XLOOKUP(Heizflächen!L21, Tabelle8[Höhe über HK],Tabelle8[Abminderungsfaktor],1,0,1))</f>
        <v>1</v>
      </c>
      <c r="EE17" s="5">
        <f>(DW17/EA17)^Tabelle3[[#This Row],[Heizkörperexponent n]]</f>
        <v>1</v>
      </c>
      <c r="EF17" s="5" cm="1">
        <f t="array" ref="EF17">_xlfn.XLOOKUP(Heizflächen!J21&amp;Heizflächen!M21&amp;Heizflächen!N21&amp;Heizflächen!O21&amp;Heizflächen!P21&amp;Heizflächen!Q21,Tabelle4[Typ]&amp;Tabelle4[Breite '[mm']]&amp;Tabelle4[Höhe '[mm']]&amp;Tabelle4[Bauhöhe Radiator '[mm']]&amp;Tabelle4[Nabenabstand Radiator '[mm']]&amp;Tabelle4[Bautiefe Radiator '[mm']],Tabelle4[Wärmeleistung (Radiatoren je Glied) '[W']],,-1,1)</f>
        <v>0</v>
      </c>
      <c r="EG17" s="5">
        <f>Heizflächen!R21</f>
        <v>0</v>
      </c>
      <c r="EH17" s="150">
        <f>IF(AND(Tabelle3[[#This Row],[Gliederanzahl]]&gt;0,Heizflächen!J21="Radiator"),Tabelle3[[#This Row],[Norm Heizleistung QNorm]]*Tabelle3[[#This Row],[f = (Δθm1/Δθm2)^n]]*Tabelle3[[#This Row],[Abminderungsfaktor]]*Tabelle3[[#This Row],[Gliederanzahl]],Tabelle3[[#This Row],[Abminderungsfaktor]]*Tabelle3[[#This Row],[f = (Δθm1/Δθm2)^n]]*Tabelle3[[#This Row],[Norm Heizleistung QNorm]])</f>
        <v>0</v>
      </c>
      <c r="EM17" s="2">
        <f>Heizflächen!C21</f>
        <v>0</v>
      </c>
      <c r="EN17" s="2">
        <f>Heizflächen!D21</f>
        <v>0</v>
      </c>
      <c r="EO17" s="2">
        <f>1-(Heizflächen!S21/0.075)</f>
        <v>1</v>
      </c>
      <c r="EP17" s="2">
        <f>100*(0.045-Heizflächen!T21)</f>
        <v>4.5</v>
      </c>
      <c r="EQ17" s="2">
        <f>250*(Heizflächen!U21-0.02)</f>
        <v>-5</v>
      </c>
      <c r="ER17" s="2">
        <f>_xlfn.XLOOKUP(Tabelle14[[#This Row],[Wärmedurchlasswiderstand Bodenbelag]],Tabelle17[Wärmedurchlasswiderstand Rλ,B in '[m²K/W']],Tabelle17[aT],0,-1,1)</f>
        <v>1.23</v>
      </c>
      <c r="ES17" s="2" cm="1">
        <f t="array" ref="ES17">_xlfn.XLOOKUP(Heizflächen!S21&amp;Tabelle14[[#This Row],[Wärmedurchlasswiderstand Bodenbelag]],Tabelle18[T]&amp;Tabelle18[Rλ,B in '[m²K/W']],Tabelle18[au],0,-1,1)</f>
        <v>0</v>
      </c>
      <c r="ET17" s="2" cm="1">
        <f t="array" ref="ET17">_xlfn.XLOOKUP(Heizflächen!S21&amp;Tabelle14[[#This Row],[Wärmedurchlasswiderstand Bodenbelag]],Tabelle19[T]&amp;Tabelle19[Rλ,B in '[m²K/W']],Tabelle19[aD],0,-1,1)</f>
        <v>0</v>
      </c>
      <c r="EU17" s="5">
        <f>_xlfn.XLOOKUP(Heizflächen!$U$64,Tabelle5[Auswählbare Vor-und Rücklauftemperaturen],Tabelle5[Vorlauf],0,0,1)</f>
        <v>35</v>
      </c>
      <c r="EV17" s="5">
        <f>_xlfn.XLOOKUP(Heizflächen!$U$64,Tabelle5[Auswählbare Vor-und Rücklauftemperaturen],Tabelle5[Rücklauf],0,0,1)</f>
        <v>30</v>
      </c>
      <c r="EW17" s="77">
        <f>((Tabelle14[[#This Row],[gewünschte Vorlauftemperatur]]-Tabelle14[[#This Row],[gewünschte Rücklauftemperatur]])/LN((Tabelle14[[#This Row],[gewünschte Vorlauftemperatur]]-Heizflächen!G21)/(Tabelle14[[#This Row],[gewünschte Rücklauftemperatur]]-Heizflächen!G21)))</f>
        <v>32.435795973154399</v>
      </c>
      <c r="EX17" s="2">
        <f>_xlfn.XLOOKUP(Heizflächen!V21,Tabelle13[Bodenbelagsmaterial],Tabelle13[Wärmedurchlasswiderstand Rλ,B in '[m²K/W']],0,0,1)</f>
        <v>0</v>
      </c>
      <c r="EY17" s="163">
        <f>((1/10.8)+(0.045/1))/((1/10.8)+(0.045/1.4)+Tabelle14[[#This Row],[Wärmedurchlasswiderstand Bodenbelag]])</f>
        <v>1.1030752916224815</v>
      </c>
      <c r="EZ17" s="2">
        <v>6.7</v>
      </c>
      <c r="FA17" s="164" t="e">
        <f>Tabelle14[[#This Row],[B '[W/(m²K)']]]*Tabelle14[[#This Row],[aB]]*(Tabelle14[[#This Row],[aT]]^Tabelle14[[#This Row],[mT]])*(Tabelle14[[#This Row],[au]]^Tabelle14[[#This Row],[mu]])*(Tabelle14[[#This Row],[aD]]^Tabelle14[[#This Row],[mD]])*Tabelle14[[#This Row],[gewünschte Übertemperatur Δθm]]</f>
        <v>#DIV/0!</v>
      </c>
      <c r="FB17" s="2">
        <f>IFERROR(Tabelle14[[#This Row],[q '[W/m²']]]*(Heizflächen!E21-Heizflächen!F21),0)</f>
        <v>0</v>
      </c>
      <c r="FC17" s="2">
        <f>Heizflächen!H21</f>
        <v>10</v>
      </c>
      <c r="FI17" s="2">
        <v>11</v>
      </c>
    </row>
    <row r="18" spans="2:165">
      <c r="M18" s="1"/>
      <c r="N18" s="1"/>
      <c r="P18" s="28"/>
      <c r="Q18" s="28"/>
      <c r="R18" s="1"/>
      <c r="S18" s="1"/>
      <c r="BH18" s="2" t="s">
        <v>434</v>
      </c>
      <c r="BI18" s="2">
        <v>2200</v>
      </c>
      <c r="BJ18" s="2">
        <v>300</v>
      </c>
      <c r="BN18" s="2">
        <v>1611</v>
      </c>
      <c r="BR18" s="2">
        <v>25</v>
      </c>
      <c r="BS18" s="2">
        <v>0.85450000000000004</v>
      </c>
      <c r="CC18" s="2" t="s">
        <v>527</v>
      </c>
      <c r="CD18" s="2">
        <v>45</v>
      </c>
      <c r="CE18" s="2">
        <v>38</v>
      </c>
      <c r="CH18" s="2" t="s">
        <v>528</v>
      </c>
      <c r="CQ18" s="2">
        <v>0.22500000000000001</v>
      </c>
      <c r="CS18" s="2">
        <v>1.7999999999999999E-2</v>
      </c>
      <c r="CU18" s="2">
        <v>3.5000000000000003E-2</v>
      </c>
      <c r="CX18" s="2" t="s">
        <v>529</v>
      </c>
      <c r="CY18" s="2">
        <v>6.5</v>
      </c>
      <c r="CZ18" s="2">
        <v>1.2E-2</v>
      </c>
      <c r="DF18" s="2">
        <v>0.15</v>
      </c>
      <c r="DG18" s="2">
        <v>1.1339999999999999</v>
      </c>
      <c r="DQ18" s="2">
        <f>Heizflächen!C22</f>
        <v>0</v>
      </c>
      <c r="DR18" s="5">
        <f>Heizflächen!D22</f>
        <v>0</v>
      </c>
      <c r="DS18" s="5">
        <f>Heizflächen!H22</f>
        <v>11</v>
      </c>
      <c r="DT18" s="5">
        <f>Heizflächen!G22</f>
        <v>0</v>
      </c>
      <c r="DU18" s="5">
        <f>_xlfn.XLOOKUP(Heizflächen!$U$64,Tabelle5[Auswählbare Vor-und Rücklauftemperaturen],Tabelle5[Vorlauf],0,0,1)</f>
        <v>35</v>
      </c>
      <c r="DV18" s="5">
        <f>_xlfn.XLOOKUP(Heizflächen!$U$64,Tabelle5[Auswählbare Vor-und Rücklauftemperaturen],Tabelle5[Rücklauf],0,0,1)</f>
        <v>30</v>
      </c>
      <c r="DW18"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18" s="5">
        <f>_xlfn.XLOOKUP($DZ$3,Tabelle6[Systemtemperatur bei Norm-Wärmeleistungsbestimmung],Tabelle6[Vorlauf],0,0,1)</f>
        <v>55</v>
      </c>
      <c r="DY18" s="5">
        <f>_xlfn.XLOOKUP($DZ$3,Tabelle6[Systemtemperatur bei Norm-Wärmeleistungsbestimmung],Tabelle6[Rücklauf],0,0,1)</f>
        <v>45</v>
      </c>
      <c r="DZ18" s="5">
        <f>_xlfn.XLOOKUP($DZ$3,Tabelle6[Systemtemperatur bei Norm-Wärmeleistungsbestimmung],Tabelle6[Norm Innentemperatur],0,0,1)</f>
        <v>20</v>
      </c>
      <c r="EA18" s="147">
        <f>((Tabelle3[[#This Row],[Norm Vorlauftemperatur]]-Tabelle3[[#This Row],[Norm Rücklauftemperatur]])/LN((Tabelle3[[#This Row],[Norm Vorlauftemperatur]]-Tabelle3[[#This Row],[Norm Innentemperatur]])/(Tabelle3[[#This Row],[Norm Rücklauftemperatur]]-Tabelle3[[#This Row],[Norm Innentemperatur]])))</f>
        <v>29.720134119884619</v>
      </c>
      <c r="EB18" s="5">
        <f>_xlfn.XLOOKUP(Heizflächen!I22,Tabelle2[Typ],Tabelle2[Heizkörperexponent],0,1,1)</f>
        <v>0</v>
      </c>
      <c r="EC18" s="148">
        <f>Heizflächen!K22</f>
        <v>0</v>
      </c>
      <c r="ED18" s="5">
        <f>IF(Tabelle3[[#This Row],[Heizkörper in Nische?]]="Nein",1,_xlfn.XLOOKUP(Heizflächen!L22, Tabelle8[Höhe über HK],Tabelle8[Abminderungsfaktor],1,0,1))</f>
        <v>1</v>
      </c>
      <c r="EE18" s="5">
        <f>(DW18/EA18)^Tabelle3[[#This Row],[Heizkörperexponent n]]</f>
        <v>1</v>
      </c>
      <c r="EF18" s="5" cm="1">
        <f t="array" ref="EF18">_xlfn.XLOOKUP(Heizflächen!J22&amp;Heizflächen!M22&amp;Heizflächen!N22&amp;Heizflächen!O22&amp;Heizflächen!P22&amp;Heizflächen!Q22,Tabelle4[Typ]&amp;Tabelle4[Breite '[mm']]&amp;Tabelle4[Höhe '[mm']]&amp;Tabelle4[Bauhöhe Radiator '[mm']]&amp;Tabelle4[Nabenabstand Radiator '[mm']]&amp;Tabelle4[Bautiefe Radiator '[mm']],Tabelle4[Wärmeleistung (Radiatoren je Glied) '[W']],,-1,1)</f>
        <v>0</v>
      </c>
      <c r="EG18" s="5">
        <f>Heizflächen!R22</f>
        <v>0</v>
      </c>
      <c r="EH18" s="150">
        <f>IF(AND(Tabelle3[[#This Row],[Gliederanzahl]]&gt;0,Heizflächen!J22="Radiator"),Tabelle3[[#This Row],[Norm Heizleistung QNorm]]*Tabelle3[[#This Row],[f = (Δθm1/Δθm2)^n]]*Tabelle3[[#This Row],[Abminderungsfaktor]]*Tabelle3[[#This Row],[Gliederanzahl]],Tabelle3[[#This Row],[Abminderungsfaktor]]*Tabelle3[[#This Row],[f = (Δθm1/Δθm2)^n]]*Tabelle3[[#This Row],[Norm Heizleistung QNorm]])</f>
        <v>0</v>
      </c>
      <c r="EM18" s="2">
        <f>Heizflächen!C22</f>
        <v>0</v>
      </c>
      <c r="EN18" s="2">
        <f>Heizflächen!D22</f>
        <v>0</v>
      </c>
      <c r="EO18" s="2">
        <f>1-(Heizflächen!S22/0.075)</f>
        <v>1</v>
      </c>
      <c r="EP18" s="2">
        <f>100*(0.045-Heizflächen!T22)</f>
        <v>4.5</v>
      </c>
      <c r="EQ18" s="2">
        <f>250*(Heizflächen!U22-0.02)</f>
        <v>-5</v>
      </c>
      <c r="ER18" s="2">
        <f>_xlfn.XLOOKUP(Tabelle14[[#This Row],[Wärmedurchlasswiderstand Bodenbelag]],Tabelle17[Wärmedurchlasswiderstand Rλ,B in '[m²K/W']],Tabelle17[aT],0,-1,1)</f>
        <v>1.23</v>
      </c>
      <c r="ES18" s="2" cm="1">
        <f t="array" ref="ES18">_xlfn.XLOOKUP(Heizflächen!S22&amp;Tabelle14[[#This Row],[Wärmedurchlasswiderstand Bodenbelag]],Tabelle18[T]&amp;Tabelle18[Rλ,B in '[m²K/W']],Tabelle18[au],0,-1,1)</f>
        <v>0</v>
      </c>
      <c r="ET18" s="2" cm="1">
        <f t="array" ref="ET18">_xlfn.XLOOKUP(Heizflächen!S22&amp;Tabelle14[[#This Row],[Wärmedurchlasswiderstand Bodenbelag]],Tabelle19[T]&amp;Tabelle19[Rλ,B in '[m²K/W']],Tabelle19[aD],0,-1,1)</f>
        <v>0</v>
      </c>
      <c r="EU18" s="5">
        <f>_xlfn.XLOOKUP(Heizflächen!$U$64,Tabelle5[Auswählbare Vor-und Rücklauftemperaturen],Tabelle5[Vorlauf],0,0,1)</f>
        <v>35</v>
      </c>
      <c r="EV18" s="5">
        <f>_xlfn.XLOOKUP(Heizflächen!$U$64,Tabelle5[Auswählbare Vor-und Rücklauftemperaturen],Tabelle5[Rücklauf],0,0,1)</f>
        <v>30</v>
      </c>
      <c r="EW18" s="77">
        <f>((Tabelle14[[#This Row],[gewünschte Vorlauftemperatur]]-Tabelle14[[#This Row],[gewünschte Rücklauftemperatur]])/LN((Tabelle14[[#This Row],[gewünschte Vorlauftemperatur]]-Heizflächen!G22)/(Tabelle14[[#This Row],[gewünschte Rücklauftemperatur]]-Heizflächen!G22)))</f>
        <v>32.435795973154399</v>
      </c>
      <c r="EX18" s="2">
        <f>_xlfn.XLOOKUP(Heizflächen!V22,Tabelle13[Bodenbelagsmaterial],Tabelle13[Wärmedurchlasswiderstand Rλ,B in '[m²K/W']],0,0,1)</f>
        <v>0</v>
      </c>
      <c r="EY18" s="163">
        <f>((1/10.8)+(0.045/1))/((1/10.8)+(0.045/1.4)+Tabelle14[[#This Row],[Wärmedurchlasswiderstand Bodenbelag]])</f>
        <v>1.1030752916224815</v>
      </c>
      <c r="EZ18" s="2">
        <v>6.7</v>
      </c>
      <c r="FA18" s="164" t="e">
        <f>Tabelle14[[#This Row],[B '[W/(m²K)']]]*Tabelle14[[#This Row],[aB]]*(Tabelle14[[#This Row],[aT]]^Tabelle14[[#This Row],[mT]])*(Tabelle14[[#This Row],[au]]^Tabelle14[[#This Row],[mu]])*(Tabelle14[[#This Row],[aD]]^Tabelle14[[#This Row],[mD]])*Tabelle14[[#This Row],[gewünschte Übertemperatur Δθm]]</f>
        <v>#DIV/0!</v>
      </c>
      <c r="FB18" s="2">
        <f>IFERROR(Tabelle14[[#This Row],[q '[W/m²']]]*(Heizflächen!E22-Heizflächen!F22),0)</f>
        <v>0</v>
      </c>
      <c r="FC18" s="2">
        <f>Heizflächen!H22</f>
        <v>11</v>
      </c>
      <c r="FI18" s="2">
        <v>12</v>
      </c>
    </row>
    <row r="19" spans="2:165">
      <c r="M19" s="1"/>
      <c r="N19" s="1"/>
      <c r="P19" s="28"/>
      <c r="Q19" s="28"/>
      <c r="R19" s="1"/>
      <c r="BH19" s="2" t="s">
        <v>434</v>
      </c>
      <c r="BI19" s="2">
        <v>2300</v>
      </c>
      <c r="BJ19" s="2">
        <v>300</v>
      </c>
      <c r="BN19" s="2">
        <v>1693</v>
      </c>
      <c r="BR19" s="2">
        <v>30</v>
      </c>
      <c r="BS19" s="2">
        <v>0.873</v>
      </c>
      <c r="CC19" s="2" t="s">
        <v>530</v>
      </c>
      <c r="CD19" s="2">
        <v>40</v>
      </c>
      <c r="CE19" s="2">
        <v>35</v>
      </c>
      <c r="CH19" s="2" t="s">
        <v>175</v>
      </c>
      <c r="CQ19" s="2">
        <v>0.3</v>
      </c>
      <c r="CS19" s="2">
        <v>0.02</v>
      </c>
      <c r="CU19" s="2">
        <v>0.04</v>
      </c>
      <c r="CX19" s="2" t="s">
        <v>531</v>
      </c>
      <c r="CY19" s="2">
        <v>2.5</v>
      </c>
      <c r="CZ19" s="2">
        <v>1.4999999999999999E-2</v>
      </c>
      <c r="DQ19" s="2">
        <f>Heizflächen!C23</f>
        <v>0</v>
      </c>
      <c r="DR19" s="5">
        <f>Heizflächen!D23</f>
        <v>0</v>
      </c>
      <c r="DS19" s="5">
        <f>Heizflächen!H23</f>
        <v>12</v>
      </c>
      <c r="DT19" s="5">
        <f>Heizflächen!G23</f>
        <v>0</v>
      </c>
      <c r="DU19" s="5">
        <f>_xlfn.XLOOKUP(Heizflächen!$U$64,Tabelle5[Auswählbare Vor-und Rücklauftemperaturen],Tabelle5[Vorlauf],0,0,1)</f>
        <v>35</v>
      </c>
      <c r="DV19" s="5">
        <f>_xlfn.XLOOKUP(Heizflächen!$U$64,Tabelle5[Auswählbare Vor-und Rücklauftemperaturen],Tabelle5[Rücklauf],0,0,1)</f>
        <v>30</v>
      </c>
      <c r="DW19"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19" s="5">
        <f>_xlfn.XLOOKUP($DZ$3,Tabelle6[Systemtemperatur bei Norm-Wärmeleistungsbestimmung],Tabelle6[Vorlauf],0,0,1)</f>
        <v>55</v>
      </c>
      <c r="DY19" s="5">
        <f>_xlfn.XLOOKUP($DZ$3,Tabelle6[Systemtemperatur bei Norm-Wärmeleistungsbestimmung],Tabelle6[Rücklauf],0,0,1)</f>
        <v>45</v>
      </c>
      <c r="DZ19" s="5">
        <f>_xlfn.XLOOKUP($DZ$3,Tabelle6[Systemtemperatur bei Norm-Wärmeleistungsbestimmung],Tabelle6[Norm Innentemperatur],0,0,1)</f>
        <v>20</v>
      </c>
      <c r="EA19" s="147">
        <f>((Tabelle3[[#This Row],[Norm Vorlauftemperatur]]-Tabelle3[[#This Row],[Norm Rücklauftemperatur]])/LN((Tabelle3[[#This Row],[Norm Vorlauftemperatur]]-Tabelle3[[#This Row],[Norm Innentemperatur]])/(Tabelle3[[#This Row],[Norm Rücklauftemperatur]]-Tabelle3[[#This Row],[Norm Innentemperatur]])))</f>
        <v>29.720134119884619</v>
      </c>
      <c r="EB19" s="5">
        <f>_xlfn.XLOOKUP(Heizflächen!I23,Tabelle2[Typ],Tabelle2[Heizkörperexponent],0,1,1)</f>
        <v>0</v>
      </c>
      <c r="EC19" s="148">
        <f>Heizflächen!K23</f>
        <v>0</v>
      </c>
      <c r="ED19" s="5">
        <f>IF(Tabelle3[[#This Row],[Heizkörper in Nische?]]="Nein",1,_xlfn.XLOOKUP(Heizflächen!L23, Tabelle8[Höhe über HK],Tabelle8[Abminderungsfaktor],1,0,1))</f>
        <v>1</v>
      </c>
      <c r="EE19" s="5">
        <f>(DW19/EA19)^Tabelle3[[#This Row],[Heizkörperexponent n]]</f>
        <v>1</v>
      </c>
      <c r="EF19" s="5" cm="1">
        <f t="array" ref="EF19">_xlfn.XLOOKUP(Heizflächen!J23&amp;Heizflächen!M23&amp;Heizflächen!N23&amp;Heizflächen!O23&amp;Heizflächen!P23&amp;Heizflächen!Q23,Tabelle4[Typ]&amp;Tabelle4[Breite '[mm']]&amp;Tabelle4[Höhe '[mm']]&amp;Tabelle4[Bauhöhe Radiator '[mm']]&amp;Tabelle4[Nabenabstand Radiator '[mm']]&amp;Tabelle4[Bautiefe Radiator '[mm']],Tabelle4[Wärmeleistung (Radiatoren je Glied) '[W']],,-1,1)</f>
        <v>0</v>
      </c>
      <c r="EG19" s="5">
        <f>Heizflächen!R23</f>
        <v>0</v>
      </c>
      <c r="EH19" s="150">
        <f>IF(AND(Tabelle3[[#This Row],[Gliederanzahl]]&gt;0,Heizflächen!J23="Radiator"),Tabelle3[[#This Row],[Norm Heizleistung QNorm]]*Tabelle3[[#This Row],[f = (Δθm1/Δθm2)^n]]*Tabelle3[[#This Row],[Abminderungsfaktor]]*Tabelle3[[#This Row],[Gliederanzahl]],Tabelle3[[#This Row],[Abminderungsfaktor]]*Tabelle3[[#This Row],[f = (Δθm1/Δθm2)^n]]*Tabelle3[[#This Row],[Norm Heizleistung QNorm]])</f>
        <v>0</v>
      </c>
      <c r="EM19" s="2">
        <f>Heizflächen!C23</f>
        <v>0</v>
      </c>
      <c r="EN19" s="2">
        <f>Heizflächen!D23</f>
        <v>0</v>
      </c>
      <c r="EO19" s="2">
        <f>1-(Heizflächen!S23/0.075)</f>
        <v>1</v>
      </c>
      <c r="EP19" s="2">
        <f>100*(0.045-Heizflächen!T23)</f>
        <v>4.5</v>
      </c>
      <c r="EQ19" s="2">
        <f>250*(Heizflächen!U23-0.02)</f>
        <v>-5</v>
      </c>
      <c r="ER19" s="2">
        <f>_xlfn.XLOOKUP(Tabelle14[[#This Row],[Wärmedurchlasswiderstand Bodenbelag]],Tabelle17[Wärmedurchlasswiderstand Rλ,B in '[m²K/W']],Tabelle17[aT],0,-1,1)</f>
        <v>1.23</v>
      </c>
      <c r="ES19" s="2" cm="1">
        <f t="array" ref="ES19">_xlfn.XLOOKUP(Heizflächen!S23&amp;Tabelle14[[#This Row],[Wärmedurchlasswiderstand Bodenbelag]],Tabelle18[T]&amp;Tabelle18[Rλ,B in '[m²K/W']],Tabelle18[au],0,-1,1)</f>
        <v>0</v>
      </c>
      <c r="ET19" s="2" cm="1">
        <f t="array" ref="ET19">_xlfn.XLOOKUP(Heizflächen!S23&amp;Tabelle14[[#This Row],[Wärmedurchlasswiderstand Bodenbelag]],Tabelle19[T]&amp;Tabelle19[Rλ,B in '[m²K/W']],Tabelle19[aD],0,-1,1)</f>
        <v>0</v>
      </c>
      <c r="EU19" s="5">
        <f>_xlfn.XLOOKUP(Heizflächen!$U$64,Tabelle5[Auswählbare Vor-und Rücklauftemperaturen],Tabelle5[Vorlauf],0,0,1)</f>
        <v>35</v>
      </c>
      <c r="EV19" s="5">
        <f>_xlfn.XLOOKUP(Heizflächen!$U$64,Tabelle5[Auswählbare Vor-und Rücklauftemperaturen],Tabelle5[Rücklauf],0,0,1)</f>
        <v>30</v>
      </c>
      <c r="EW19" s="77">
        <f>((Tabelle14[[#This Row],[gewünschte Vorlauftemperatur]]-Tabelle14[[#This Row],[gewünschte Rücklauftemperatur]])/LN((Tabelle14[[#This Row],[gewünschte Vorlauftemperatur]]-Heizflächen!G23)/(Tabelle14[[#This Row],[gewünschte Rücklauftemperatur]]-Heizflächen!G23)))</f>
        <v>32.435795973154399</v>
      </c>
      <c r="EX19" s="2">
        <f>_xlfn.XLOOKUP(Heizflächen!V23,Tabelle13[Bodenbelagsmaterial],Tabelle13[Wärmedurchlasswiderstand Rλ,B in '[m²K/W']],0,0,1)</f>
        <v>0</v>
      </c>
      <c r="EY19" s="163">
        <f>((1/10.8)+(0.045/1))/((1/10.8)+(0.045/1.4)+Tabelle14[[#This Row],[Wärmedurchlasswiderstand Bodenbelag]])</f>
        <v>1.1030752916224815</v>
      </c>
      <c r="EZ19" s="2">
        <v>6.7</v>
      </c>
      <c r="FA19" s="164" t="e">
        <f>Tabelle14[[#This Row],[B '[W/(m²K)']]]*Tabelle14[[#This Row],[aB]]*(Tabelle14[[#This Row],[aT]]^Tabelle14[[#This Row],[mT]])*(Tabelle14[[#This Row],[au]]^Tabelle14[[#This Row],[mu]])*(Tabelle14[[#This Row],[aD]]^Tabelle14[[#This Row],[mD]])*Tabelle14[[#This Row],[gewünschte Übertemperatur Δθm]]</f>
        <v>#DIV/0!</v>
      </c>
      <c r="FB19" s="2">
        <f>IFERROR(Tabelle14[[#This Row],[q '[W/m²']]]*(Heizflächen!E23-Heizflächen!F23),0)</f>
        <v>0</v>
      </c>
      <c r="FC19" s="2">
        <f>Heizflächen!H23</f>
        <v>12</v>
      </c>
      <c r="FI19" s="2">
        <v>13</v>
      </c>
    </row>
    <row r="20" spans="2:165">
      <c r="M20" s="1"/>
      <c r="N20" s="1"/>
      <c r="P20" s="174"/>
      <c r="R20" s="1"/>
      <c r="BH20" s="2" t="s">
        <v>434</v>
      </c>
      <c r="BI20" s="2">
        <v>2600</v>
      </c>
      <c r="BJ20" s="2">
        <v>300</v>
      </c>
      <c r="BN20" s="2">
        <v>1914</v>
      </c>
      <c r="BR20" s="2">
        <v>35</v>
      </c>
      <c r="BS20" s="2">
        <v>0.88319999999999999</v>
      </c>
      <c r="CC20" s="2" t="s">
        <v>532</v>
      </c>
      <c r="CD20" s="2">
        <v>35</v>
      </c>
      <c r="CE20" s="2">
        <v>30</v>
      </c>
      <c r="CH20" s="2" t="s">
        <v>147</v>
      </c>
      <c r="CQ20" s="2">
        <v>0.375</v>
      </c>
      <c r="CS20" s="2">
        <v>2.1999999999999999E-2</v>
      </c>
      <c r="CU20" s="2">
        <v>4.4999999999999998E-2</v>
      </c>
      <c r="CX20" s="2" t="s">
        <v>533</v>
      </c>
      <c r="CY20" s="2">
        <v>3</v>
      </c>
      <c r="CZ20" s="2">
        <v>1.2999999999999999E-2</v>
      </c>
      <c r="DQ20" s="2">
        <f>Heizflächen!C24</f>
        <v>0</v>
      </c>
      <c r="DR20" s="5">
        <f>Heizflächen!D24</f>
        <v>0</v>
      </c>
      <c r="DS20" s="5">
        <f>Heizflächen!H24</f>
        <v>13</v>
      </c>
      <c r="DT20" s="5">
        <f>Heizflächen!G24</f>
        <v>0</v>
      </c>
      <c r="DU20" s="5">
        <f>_xlfn.XLOOKUP(Heizflächen!$U$64,Tabelle5[Auswählbare Vor-und Rücklauftemperaturen],Tabelle5[Vorlauf],0,0,1)</f>
        <v>35</v>
      </c>
      <c r="DV20" s="5">
        <f>_xlfn.XLOOKUP(Heizflächen!$U$64,Tabelle5[Auswählbare Vor-und Rücklauftemperaturen],Tabelle5[Rücklauf],0,0,1)</f>
        <v>30</v>
      </c>
      <c r="DW20"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20" s="5">
        <f>_xlfn.XLOOKUP($DZ$3,Tabelle6[Systemtemperatur bei Norm-Wärmeleistungsbestimmung],Tabelle6[Vorlauf],0,0,1)</f>
        <v>55</v>
      </c>
      <c r="DY20" s="5">
        <f>_xlfn.XLOOKUP($DZ$3,Tabelle6[Systemtemperatur bei Norm-Wärmeleistungsbestimmung],Tabelle6[Rücklauf],0,0,1)</f>
        <v>45</v>
      </c>
      <c r="DZ20" s="5">
        <f>_xlfn.XLOOKUP($DZ$3,Tabelle6[Systemtemperatur bei Norm-Wärmeleistungsbestimmung],Tabelle6[Norm Innentemperatur],0,0,1)</f>
        <v>20</v>
      </c>
      <c r="EA20" s="147">
        <f>((Tabelle3[[#This Row],[Norm Vorlauftemperatur]]-Tabelle3[[#This Row],[Norm Rücklauftemperatur]])/LN((Tabelle3[[#This Row],[Norm Vorlauftemperatur]]-Tabelle3[[#This Row],[Norm Innentemperatur]])/(Tabelle3[[#This Row],[Norm Rücklauftemperatur]]-Tabelle3[[#This Row],[Norm Innentemperatur]])))</f>
        <v>29.720134119884619</v>
      </c>
      <c r="EB20" s="5">
        <f>_xlfn.XLOOKUP(Heizflächen!I24,Tabelle2[Typ],Tabelle2[Heizkörperexponent],0,1,1)</f>
        <v>0</v>
      </c>
      <c r="EC20" s="148">
        <f>Heizflächen!K24</f>
        <v>0</v>
      </c>
      <c r="ED20" s="5">
        <f>IF(Tabelle3[[#This Row],[Heizkörper in Nische?]]="Nein",1,_xlfn.XLOOKUP(Heizflächen!L24, Tabelle8[Höhe über HK],Tabelle8[Abminderungsfaktor],1,0,1))</f>
        <v>1</v>
      </c>
      <c r="EE20" s="5">
        <f>(DW20/EA20)^Tabelle3[[#This Row],[Heizkörperexponent n]]</f>
        <v>1</v>
      </c>
      <c r="EF20" s="5" cm="1">
        <f t="array" ref="EF20">_xlfn.XLOOKUP(Heizflächen!J24&amp;Heizflächen!M24&amp;Heizflächen!N24&amp;Heizflächen!O24&amp;Heizflächen!P24&amp;Heizflächen!Q24,Tabelle4[Typ]&amp;Tabelle4[Breite '[mm']]&amp;Tabelle4[Höhe '[mm']]&amp;Tabelle4[Bauhöhe Radiator '[mm']]&amp;Tabelle4[Nabenabstand Radiator '[mm']]&amp;Tabelle4[Bautiefe Radiator '[mm']],Tabelle4[Wärmeleistung (Radiatoren je Glied) '[W']],,-1,1)</f>
        <v>0</v>
      </c>
      <c r="EG20" s="5">
        <f>Heizflächen!R24</f>
        <v>0</v>
      </c>
      <c r="EH20" s="150">
        <f>IF(AND(Tabelle3[[#This Row],[Gliederanzahl]]&gt;0,Heizflächen!J24="Radiator"),Tabelle3[[#This Row],[Norm Heizleistung QNorm]]*Tabelle3[[#This Row],[f = (Δθm1/Δθm2)^n]]*Tabelle3[[#This Row],[Abminderungsfaktor]]*Tabelle3[[#This Row],[Gliederanzahl]],Tabelle3[[#This Row],[Abminderungsfaktor]]*Tabelle3[[#This Row],[f = (Δθm1/Δθm2)^n]]*Tabelle3[[#This Row],[Norm Heizleistung QNorm]])</f>
        <v>0</v>
      </c>
      <c r="EM20" s="2">
        <f>Heizflächen!C24</f>
        <v>0</v>
      </c>
      <c r="EN20" s="2">
        <f>Heizflächen!D24</f>
        <v>0</v>
      </c>
      <c r="EO20" s="2">
        <f>1-(Heizflächen!S24/0.075)</f>
        <v>1</v>
      </c>
      <c r="EP20" s="2">
        <f>100*(0.045-Heizflächen!T24)</f>
        <v>4.5</v>
      </c>
      <c r="EQ20" s="2">
        <f>250*(Heizflächen!U24-0.02)</f>
        <v>-5</v>
      </c>
      <c r="ER20" s="2">
        <f>_xlfn.XLOOKUP(Tabelle14[[#This Row],[Wärmedurchlasswiderstand Bodenbelag]],Tabelle17[Wärmedurchlasswiderstand Rλ,B in '[m²K/W']],Tabelle17[aT],0,-1,1)</f>
        <v>1.23</v>
      </c>
      <c r="ES20" s="2" cm="1">
        <f t="array" ref="ES20">_xlfn.XLOOKUP(Heizflächen!S24&amp;Tabelle14[[#This Row],[Wärmedurchlasswiderstand Bodenbelag]],Tabelle18[T]&amp;Tabelle18[Rλ,B in '[m²K/W']],Tabelle18[au],0,-1,1)</f>
        <v>0</v>
      </c>
      <c r="ET20" s="2" cm="1">
        <f t="array" ref="ET20">_xlfn.XLOOKUP(Heizflächen!S24&amp;Tabelle14[[#This Row],[Wärmedurchlasswiderstand Bodenbelag]],Tabelle19[T]&amp;Tabelle19[Rλ,B in '[m²K/W']],Tabelle19[aD],0,-1,1)</f>
        <v>0</v>
      </c>
      <c r="EU20" s="5">
        <f>_xlfn.XLOOKUP(Heizflächen!$U$64,Tabelle5[Auswählbare Vor-und Rücklauftemperaturen],Tabelle5[Vorlauf],0,0,1)</f>
        <v>35</v>
      </c>
      <c r="EV20" s="5">
        <f>_xlfn.XLOOKUP(Heizflächen!$U$64,Tabelle5[Auswählbare Vor-und Rücklauftemperaturen],Tabelle5[Rücklauf],0,0,1)</f>
        <v>30</v>
      </c>
      <c r="EW20" s="77">
        <f>((Tabelle14[[#This Row],[gewünschte Vorlauftemperatur]]-Tabelle14[[#This Row],[gewünschte Rücklauftemperatur]])/LN((Tabelle14[[#This Row],[gewünschte Vorlauftemperatur]]-Heizflächen!G24)/(Tabelle14[[#This Row],[gewünschte Rücklauftemperatur]]-Heizflächen!G24)))</f>
        <v>32.435795973154399</v>
      </c>
      <c r="EX20" s="2">
        <f>_xlfn.XLOOKUP(Heizflächen!V24,Tabelle13[Bodenbelagsmaterial],Tabelle13[Wärmedurchlasswiderstand Rλ,B in '[m²K/W']],0,0,1)</f>
        <v>0</v>
      </c>
      <c r="EY20" s="163">
        <f>((1/10.8)+(0.045/1))/((1/10.8)+(0.045/1.4)+Tabelle14[[#This Row],[Wärmedurchlasswiderstand Bodenbelag]])</f>
        <v>1.1030752916224815</v>
      </c>
      <c r="EZ20" s="2">
        <v>6.7</v>
      </c>
      <c r="FA20" s="164" t="e">
        <f>Tabelle14[[#This Row],[B '[W/(m²K)']]]*Tabelle14[[#This Row],[aB]]*(Tabelle14[[#This Row],[aT]]^Tabelle14[[#This Row],[mT]])*(Tabelle14[[#This Row],[au]]^Tabelle14[[#This Row],[mu]])*(Tabelle14[[#This Row],[aD]]^Tabelle14[[#This Row],[mD]])*Tabelle14[[#This Row],[gewünschte Übertemperatur Δθm]]</f>
        <v>#DIV/0!</v>
      </c>
      <c r="FB20" s="2">
        <f>IFERROR(Tabelle14[[#This Row],[q '[W/m²']]]*(Heizflächen!E24-Heizflächen!F24),0)</f>
        <v>0</v>
      </c>
      <c r="FC20" s="2">
        <f>Heizflächen!H24</f>
        <v>13</v>
      </c>
      <c r="FI20" s="2">
        <v>14</v>
      </c>
    </row>
    <row r="21" spans="2:165">
      <c r="BH21" s="2" t="s">
        <v>434</v>
      </c>
      <c r="BI21" s="2">
        <v>3000</v>
      </c>
      <c r="BJ21" s="2">
        <v>300</v>
      </c>
      <c r="BN21" s="2">
        <v>2208</v>
      </c>
      <c r="BR21" s="2">
        <v>40</v>
      </c>
      <c r="BS21" s="2">
        <v>0.89549999999999996</v>
      </c>
      <c r="CC21" s="2" t="s">
        <v>534</v>
      </c>
      <c r="CD21" s="2">
        <v>35</v>
      </c>
      <c r="CE21" s="2">
        <v>28</v>
      </c>
      <c r="CS21" s="2">
        <v>2.4E-2</v>
      </c>
      <c r="CU21" s="2">
        <v>0.05</v>
      </c>
      <c r="CX21" s="2" t="s">
        <v>535</v>
      </c>
      <c r="CY21" s="2">
        <v>2</v>
      </c>
      <c r="CZ21" s="2">
        <v>0.01</v>
      </c>
      <c r="DQ21" s="2">
        <f>Heizflächen!C25</f>
        <v>0</v>
      </c>
      <c r="DR21" s="5">
        <f>Heizflächen!D25</f>
        <v>0</v>
      </c>
      <c r="DS21" s="5">
        <f>Heizflächen!H25</f>
        <v>14</v>
      </c>
      <c r="DT21" s="5">
        <f>Heizflächen!G25</f>
        <v>0</v>
      </c>
      <c r="DU21" s="5">
        <f>_xlfn.XLOOKUP(Heizflächen!$U$64,Tabelle5[Auswählbare Vor-und Rücklauftemperaturen],Tabelle5[Vorlauf],0,0,1)</f>
        <v>35</v>
      </c>
      <c r="DV21" s="5">
        <f>_xlfn.XLOOKUP(Heizflächen!$U$64,Tabelle5[Auswählbare Vor-und Rücklauftemperaturen],Tabelle5[Rücklauf],0,0,1)</f>
        <v>30</v>
      </c>
      <c r="DW21"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21" s="5">
        <f>_xlfn.XLOOKUP($DZ$3,Tabelle6[Systemtemperatur bei Norm-Wärmeleistungsbestimmung],Tabelle6[Vorlauf],0,0,1)</f>
        <v>55</v>
      </c>
      <c r="DY21" s="5">
        <f>_xlfn.XLOOKUP($DZ$3,Tabelle6[Systemtemperatur bei Norm-Wärmeleistungsbestimmung],Tabelle6[Rücklauf],0,0,1)</f>
        <v>45</v>
      </c>
      <c r="DZ21" s="5">
        <f>_xlfn.XLOOKUP($DZ$3,Tabelle6[Systemtemperatur bei Norm-Wärmeleistungsbestimmung],Tabelle6[Norm Innentemperatur],0,0,1)</f>
        <v>20</v>
      </c>
      <c r="EA21" s="147">
        <f>((Tabelle3[[#This Row],[Norm Vorlauftemperatur]]-Tabelle3[[#This Row],[Norm Rücklauftemperatur]])/LN((Tabelle3[[#This Row],[Norm Vorlauftemperatur]]-Tabelle3[[#This Row],[Norm Innentemperatur]])/(Tabelle3[[#This Row],[Norm Rücklauftemperatur]]-Tabelle3[[#This Row],[Norm Innentemperatur]])))</f>
        <v>29.720134119884619</v>
      </c>
      <c r="EB21" s="5">
        <f>_xlfn.XLOOKUP(Heizflächen!I25,Tabelle2[Typ],Tabelle2[Heizkörperexponent],0,1,1)</f>
        <v>0</v>
      </c>
      <c r="EC21" s="148">
        <f>Heizflächen!K25</f>
        <v>0</v>
      </c>
      <c r="ED21" s="5">
        <f>IF(Tabelle3[[#This Row],[Heizkörper in Nische?]]="Nein",1,_xlfn.XLOOKUP(Heizflächen!L25, Tabelle8[Höhe über HK],Tabelle8[Abminderungsfaktor],1,0,1))</f>
        <v>1</v>
      </c>
      <c r="EE21" s="5">
        <f>(DW21/EA21)^Tabelle3[[#This Row],[Heizkörperexponent n]]</f>
        <v>1</v>
      </c>
      <c r="EF21" s="5" cm="1">
        <f t="array" ref="EF21">_xlfn.XLOOKUP(Heizflächen!J25&amp;Heizflächen!M25&amp;Heizflächen!N25&amp;Heizflächen!O25&amp;Heizflächen!P25&amp;Heizflächen!Q25,Tabelle4[Typ]&amp;Tabelle4[Breite '[mm']]&amp;Tabelle4[Höhe '[mm']]&amp;Tabelle4[Bauhöhe Radiator '[mm']]&amp;Tabelle4[Nabenabstand Radiator '[mm']]&amp;Tabelle4[Bautiefe Radiator '[mm']],Tabelle4[Wärmeleistung (Radiatoren je Glied) '[W']],,-1,1)</f>
        <v>0</v>
      </c>
      <c r="EG21" s="5">
        <f>Heizflächen!R25</f>
        <v>0</v>
      </c>
      <c r="EH21" s="150">
        <f>IF(AND(Tabelle3[[#This Row],[Gliederanzahl]]&gt;0,Heizflächen!J25="Radiator"),Tabelle3[[#This Row],[Norm Heizleistung QNorm]]*Tabelle3[[#This Row],[f = (Δθm1/Δθm2)^n]]*Tabelle3[[#This Row],[Abminderungsfaktor]]*Tabelle3[[#This Row],[Gliederanzahl]],Tabelle3[[#This Row],[Abminderungsfaktor]]*Tabelle3[[#This Row],[f = (Δθm1/Δθm2)^n]]*Tabelle3[[#This Row],[Norm Heizleistung QNorm]])</f>
        <v>0</v>
      </c>
      <c r="EM21" s="2">
        <f>Heizflächen!C25</f>
        <v>0</v>
      </c>
      <c r="EN21" s="2">
        <f>Heizflächen!D25</f>
        <v>0</v>
      </c>
      <c r="EO21" s="2">
        <f>1-(Heizflächen!S25/0.075)</f>
        <v>1</v>
      </c>
      <c r="EP21" s="2">
        <f>100*(0.045-Heizflächen!T25)</f>
        <v>4.5</v>
      </c>
      <c r="EQ21" s="2">
        <f>250*(Heizflächen!U25-0.02)</f>
        <v>-5</v>
      </c>
      <c r="ER21" s="2">
        <f>_xlfn.XLOOKUP(Tabelle14[[#This Row],[Wärmedurchlasswiderstand Bodenbelag]],Tabelle17[Wärmedurchlasswiderstand Rλ,B in '[m²K/W']],Tabelle17[aT],0,-1,1)</f>
        <v>1.23</v>
      </c>
      <c r="ES21" s="2" cm="1">
        <f t="array" ref="ES21">_xlfn.XLOOKUP(Heizflächen!S25&amp;Tabelle14[[#This Row],[Wärmedurchlasswiderstand Bodenbelag]],Tabelle18[T]&amp;Tabelle18[Rλ,B in '[m²K/W']],Tabelle18[au],0,-1,1)</f>
        <v>0</v>
      </c>
      <c r="ET21" s="2" cm="1">
        <f t="array" ref="ET21">_xlfn.XLOOKUP(Heizflächen!S25&amp;Tabelle14[[#This Row],[Wärmedurchlasswiderstand Bodenbelag]],Tabelle19[T]&amp;Tabelle19[Rλ,B in '[m²K/W']],Tabelle19[aD],0,-1,1)</f>
        <v>0</v>
      </c>
      <c r="EU21" s="5">
        <f>_xlfn.XLOOKUP(Heizflächen!$U$64,Tabelle5[Auswählbare Vor-und Rücklauftemperaturen],Tabelle5[Vorlauf],0,0,1)</f>
        <v>35</v>
      </c>
      <c r="EV21" s="5">
        <f>_xlfn.XLOOKUP(Heizflächen!$U$64,Tabelle5[Auswählbare Vor-und Rücklauftemperaturen],Tabelle5[Rücklauf],0,0,1)</f>
        <v>30</v>
      </c>
      <c r="EW21" s="77">
        <f>((Tabelle14[[#This Row],[gewünschte Vorlauftemperatur]]-Tabelle14[[#This Row],[gewünschte Rücklauftemperatur]])/LN((Tabelle14[[#This Row],[gewünschte Vorlauftemperatur]]-Heizflächen!G25)/(Tabelle14[[#This Row],[gewünschte Rücklauftemperatur]]-Heizflächen!G25)))</f>
        <v>32.435795973154399</v>
      </c>
      <c r="EX21" s="2">
        <f>_xlfn.XLOOKUP(Heizflächen!V25,Tabelle13[Bodenbelagsmaterial],Tabelle13[Wärmedurchlasswiderstand Rλ,B in '[m²K/W']],0,0,1)</f>
        <v>0</v>
      </c>
      <c r="EY21" s="163">
        <f>((1/10.8)+(0.045/1))/((1/10.8)+(0.045/1.4)+Tabelle14[[#This Row],[Wärmedurchlasswiderstand Bodenbelag]])</f>
        <v>1.1030752916224815</v>
      </c>
      <c r="EZ21" s="2">
        <v>6.7</v>
      </c>
      <c r="FA21" s="164" t="e">
        <f>Tabelle14[[#This Row],[B '[W/(m²K)']]]*Tabelle14[[#This Row],[aB]]*(Tabelle14[[#This Row],[aT]]^Tabelle14[[#This Row],[mT]])*(Tabelle14[[#This Row],[au]]^Tabelle14[[#This Row],[mu]])*(Tabelle14[[#This Row],[aD]]^Tabelle14[[#This Row],[mD]])*Tabelle14[[#This Row],[gewünschte Übertemperatur Δθm]]</f>
        <v>#DIV/0!</v>
      </c>
      <c r="FB21" s="2">
        <f>IFERROR(Tabelle14[[#This Row],[q '[W/m²']]]*(Heizflächen!E25-Heizflächen!F25),0)</f>
        <v>0</v>
      </c>
      <c r="FC21" s="2">
        <f>Heizflächen!H25</f>
        <v>14</v>
      </c>
      <c r="FI21" s="2">
        <v>15</v>
      </c>
    </row>
    <row r="22" spans="2:165" ht="70.8" thickBot="1">
      <c r="B22" s="515" t="s">
        <v>159</v>
      </c>
      <c r="M22" s="27" t="s">
        <v>536</v>
      </c>
      <c r="N22" s="113" t="s">
        <v>537</v>
      </c>
      <c r="O22" s="114"/>
      <c r="P22" s="28"/>
      <c r="BH22" s="2" t="s">
        <v>434</v>
      </c>
      <c r="BI22" s="2">
        <v>400</v>
      </c>
      <c r="BJ22" s="2">
        <v>400</v>
      </c>
      <c r="BN22" s="2">
        <v>369</v>
      </c>
      <c r="BR22" s="2">
        <v>45</v>
      </c>
      <c r="BS22" s="2">
        <v>0.90369999999999995</v>
      </c>
      <c r="CC22" s="2" t="s">
        <v>538</v>
      </c>
      <c r="CD22" s="2">
        <v>32</v>
      </c>
      <c r="CE22" s="2">
        <v>27</v>
      </c>
      <c r="CS22" s="2">
        <v>2.5999999999999999E-2</v>
      </c>
      <c r="CU22" s="2">
        <v>5.5E-2</v>
      </c>
      <c r="CX22" s="2" t="s">
        <v>539</v>
      </c>
      <c r="CY22" s="2">
        <v>8</v>
      </c>
      <c r="CZ22" s="2">
        <v>3.7999999999999999E-2</v>
      </c>
      <c r="DF22" s="2" t="s">
        <v>540</v>
      </c>
      <c r="DG22" s="154" t="s">
        <v>541</v>
      </c>
      <c r="DH22" s="2" t="s">
        <v>464</v>
      </c>
      <c r="DQ22" s="2">
        <f>Heizflächen!C26</f>
        <v>0</v>
      </c>
      <c r="DR22" s="5">
        <f>Heizflächen!D26</f>
        <v>0</v>
      </c>
      <c r="DS22" s="5">
        <f>Heizflächen!H26</f>
        <v>15</v>
      </c>
      <c r="DT22" s="5">
        <f>Heizflächen!G26</f>
        <v>0</v>
      </c>
      <c r="DU22" s="5">
        <f>_xlfn.XLOOKUP(Heizflächen!$U$64,Tabelle5[Auswählbare Vor-und Rücklauftemperaturen],Tabelle5[Vorlauf],0,0,1)</f>
        <v>35</v>
      </c>
      <c r="DV22" s="5">
        <f>_xlfn.XLOOKUP(Heizflächen!$U$64,Tabelle5[Auswählbare Vor-und Rücklauftemperaturen],Tabelle5[Rücklauf],0,0,1)</f>
        <v>30</v>
      </c>
      <c r="DW22"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22" s="5">
        <f>_xlfn.XLOOKUP($DZ$3,Tabelle6[Systemtemperatur bei Norm-Wärmeleistungsbestimmung],Tabelle6[Vorlauf],0,0,1)</f>
        <v>55</v>
      </c>
      <c r="DY22" s="5">
        <f>_xlfn.XLOOKUP($DZ$3,Tabelle6[Systemtemperatur bei Norm-Wärmeleistungsbestimmung],Tabelle6[Rücklauf],0,0,1)</f>
        <v>45</v>
      </c>
      <c r="DZ22" s="5">
        <f>_xlfn.XLOOKUP($DZ$3,Tabelle6[Systemtemperatur bei Norm-Wärmeleistungsbestimmung],Tabelle6[Norm Innentemperatur],0,0,1)</f>
        <v>20</v>
      </c>
      <c r="EA22" s="147">
        <f>((Tabelle3[[#This Row],[Norm Vorlauftemperatur]]-Tabelle3[[#This Row],[Norm Rücklauftemperatur]])/LN((Tabelle3[[#This Row],[Norm Vorlauftemperatur]]-Tabelle3[[#This Row],[Norm Innentemperatur]])/(Tabelle3[[#This Row],[Norm Rücklauftemperatur]]-Tabelle3[[#This Row],[Norm Innentemperatur]])))</f>
        <v>29.720134119884619</v>
      </c>
      <c r="EB22" s="5">
        <f>_xlfn.XLOOKUP(Heizflächen!I26,Tabelle2[Typ],Tabelle2[Heizkörperexponent],0,1,1)</f>
        <v>0</v>
      </c>
      <c r="EC22" s="148">
        <f>Heizflächen!K26</f>
        <v>0</v>
      </c>
      <c r="ED22" s="5">
        <f>IF(Tabelle3[[#This Row],[Heizkörper in Nische?]]="Nein",1,_xlfn.XLOOKUP(Heizflächen!L26, Tabelle8[Höhe über HK],Tabelle8[Abminderungsfaktor],1,0,1))</f>
        <v>1</v>
      </c>
      <c r="EE22" s="5">
        <f>(DW22/EA22)^Tabelle3[[#This Row],[Heizkörperexponent n]]</f>
        <v>1</v>
      </c>
      <c r="EF22" s="5" cm="1">
        <f t="array" ref="EF22">_xlfn.XLOOKUP(Heizflächen!J26&amp;Heizflächen!M26&amp;Heizflächen!N26&amp;Heizflächen!O26&amp;Heizflächen!P26&amp;Heizflächen!Q26,Tabelle4[Typ]&amp;Tabelle4[Breite '[mm']]&amp;Tabelle4[Höhe '[mm']]&amp;Tabelle4[Bauhöhe Radiator '[mm']]&amp;Tabelle4[Nabenabstand Radiator '[mm']]&amp;Tabelle4[Bautiefe Radiator '[mm']],Tabelle4[Wärmeleistung (Radiatoren je Glied) '[W']],,-1,1)</f>
        <v>0</v>
      </c>
      <c r="EG22" s="5">
        <f>Heizflächen!R26</f>
        <v>0</v>
      </c>
      <c r="EH22" s="150">
        <f>IF(AND(Tabelle3[[#This Row],[Gliederanzahl]]&gt;0,Heizflächen!J26="Radiator"),Tabelle3[[#This Row],[Norm Heizleistung QNorm]]*Tabelle3[[#This Row],[f = (Δθm1/Δθm2)^n]]*Tabelle3[[#This Row],[Abminderungsfaktor]]*Tabelle3[[#This Row],[Gliederanzahl]],Tabelle3[[#This Row],[Abminderungsfaktor]]*Tabelle3[[#This Row],[f = (Δθm1/Δθm2)^n]]*Tabelle3[[#This Row],[Norm Heizleistung QNorm]])</f>
        <v>0</v>
      </c>
      <c r="EM22" s="2">
        <f>Heizflächen!C26</f>
        <v>0</v>
      </c>
      <c r="EN22" s="2">
        <f>Heizflächen!D26</f>
        <v>0</v>
      </c>
      <c r="EO22" s="2">
        <f>1-(Heizflächen!S26/0.075)</f>
        <v>1</v>
      </c>
      <c r="EP22" s="2">
        <f>100*(0.045-Heizflächen!T26)</f>
        <v>4.5</v>
      </c>
      <c r="EQ22" s="2">
        <f>250*(Heizflächen!U26-0.02)</f>
        <v>-5</v>
      </c>
      <c r="ER22" s="2">
        <f>_xlfn.XLOOKUP(Tabelle14[[#This Row],[Wärmedurchlasswiderstand Bodenbelag]],Tabelle17[Wärmedurchlasswiderstand Rλ,B in '[m²K/W']],Tabelle17[aT],0,-1,1)</f>
        <v>1.23</v>
      </c>
      <c r="ES22" s="2" cm="1">
        <f t="array" ref="ES22">_xlfn.XLOOKUP(Heizflächen!S26&amp;Tabelle14[[#This Row],[Wärmedurchlasswiderstand Bodenbelag]],Tabelle18[T]&amp;Tabelle18[Rλ,B in '[m²K/W']],Tabelle18[au],0,-1,1)</f>
        <v>0</v>
      </c>
      <c r="ET22" s="2" cm="1">
        <f t="array" ref="ET22">_xlfn.XLOOKUP(Heizflächen!S26&amp;Tabelle14[[#This Row],[Wärmedurchlasswiderstand Bodenbelag]],Tabelle19[T]&amp;Tabelle19[Rλ,B in '[m²K/W']],Tabelle19[aD],0,-1,1)</f>
        <v>0</v>
      </c>
      <c r="EU22" s="5">
        <f>_xlfn.XLOOKUP(Heizflächen!$U$64,Tabelle5[Auswählbare Vor-und Rücklauftemperaturen],Tabelle5[Vorlauf],0,0,1)</f>
        <v>35</v>
      </c>
      <c r="EV22" s="5">
        <f>_xlfn.XLOOKUP(Heizflächen!$U$64,Tabelle5[Auswählbare Vor-und Rücklauftemperaturen],Tabelle5[Rücklauf],0,0,1)</f>
        <v>30</v>
      </c>
      <c r="EW22" s="77">
        <f>((Tabelle14[[#This Row],[gewünschte Vorlauftemperatur]]-Tabelle14[[#This Row],[gewünschte Rücklauftemperatur]])/LN((Tabelle14[[#This Row],[gewünschte Vorlauftemperatur]]-Heizflächen!G26)/(Tabelle14[[#This Row],[gewünschte Rücklauftemperatur]]-Heizflächen!G26)))</f>
        <v>32.435795973154399</v>
      </c>
      <c r="EX22" s="2">
        <f>_xlfn.XLOOKUP(Heizflächen!V26,Tabelle13[Bodenbelagsmaterial],Tabelle13[Wärmedurchlasswiderstand Rλ,B in '[m²K/W']],0,0,1)</f>
        <v>0</v>
      </c>
      <c r="EY22" s="163">
        <f>((1/10.8)+(0.045/1))/((1/10.8)+(0.045/1.4)+Tabelle14[[#This Row],[Wärmedurchlasswiderstand Bodenbelag]])</f>
        <v>1.1030752916224815</v>
      </c>
      <c r="EZ22" s="2">
        <v>6.7</v>
      </c>
      <c r="FA22" s="164" t="e">
        <f>Tabelle14[[#This Row],[B '[W/(m²K)']]]*Tabelle14[[#This Row],[aB]]*(Tabelle14[[#This Row],[aT]]^Tabelle14[[#This Row],[mT]])*(Tabelle14[[#This Row],[au]]^Tabelle14[[#This Row],[mu]])*(Tabelle14[[#This Row],[aD]]^Tabelle14[[#This Row],[mD]])*Tabelle14[[#This Row],[gewünschte Übertemperatur Δθm]]</f>
        <v>#DIV/0!</v>
      </c>
      <c r="FB22" s="2">
        <f>IFERROR(Tabelle14[[#This Row],[q '[W/m²']]]*(Heizflächen!E26-Heizflächen!F26),0)</f>
        <v>0</v>
      </c>
      <c r="FC22" s="2">
        <f>Heizflächen!H26</f>
        <v>15</v>
      </c>
      <c r="FI22" s="2">
        <v>16</v>
      </c>
    </row>
    <row r="23" spans="2:165" ht="17.399999999999999" thickBot="1">
      <c r="BH23" s="2" t="s">
        <v>434</v>
      </c>
      <c r="BI23" s="2">
        <v>500</v>
      </c>
      <c r="BJ23" s="2">
        <v>400</v>
      </c>
      <c r="BN23" s="2">
        <v>462</v>
      </c>
      <c r="BR23" s="2">
        <v>50</v>
      </c>
      <c r="BS23" s="2">
        <v>0.90980000000000005</v>
      </c>
      <c r="CS23" s="2">
        <v>2.8000000000000001E-2</v>
      </c>
      <c r="CU23" s="2">
        <v>0.06</v>
      </c>
      <c r="CX23" s="2" t="s">
        <v>542</v>
      </c>
      <c r="CY23" s="2">
        <v>16</v>
      </c>
      <c r="CZ23" s="2">
        <v>0.08</v>
      </c>
      <c r="DF23" s="2">
        <v>0.05</v>
      </c>
      <c r="DG23" s="2">
        <v>0</v>
      </c>
      <c r="DH23" s="2">
        <v>1.069</v>
      </c>
      <c r="DQ23" s="2">
        <f>Heizflächen!C27</f>
        <v>0</v>
      </c>
      <c r="DR23" s="5">
        <f>Heizflächen!D27</f>
        <v>0</v>
      </c>
      <c r="DS23" s="5">
        <f>Heizflächen!H27</f>
        <v>16</v>
      </c>
      <c r="DT23" s="5">
        <f>Heizflächen!G27</f>
        <v>0</v>
      </c>
      <c r="DU23" s="5">
        <f>_xlfn.XLOOKUP(Heizflächen!$U$64,Tabelle5[Auswählbare Vor-und Rücklauftemperaturen],Tabelle5[Vorlauf],0,0,1)</f>
        <v>35</v>
      </c>
      <c r="DV23" s="5">
        <f>_xlfn.XLOOKUP(Heizflächen!$U$64,Tabelle5[Auswählbare Vor-und Rücklauftemperaturen],Tabelle5[Rücklauf],0,0,1)</f>
        <v>30</v>
      </c>
      <c r="DW23"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23" s="5">
        <f>_xlfn.XLOOKUP($DZ$3,Tabelle6[Systemtemperatur bei Norm-Wärmeleistungsbestimmung],Tabelle6[Vorlauf],0,0,1)</f>
        <v>55</v>
      </c>
      <c r="DY23" s="5">
        <f>_xlfn.XLOOKUP($DZ$3,Tabelle6[Systemtemperatur bei Norm-Wärmeleistungsbestimmung],Tabelle6[Rücklauf],0,0,1)</f>
        <v>45</v>
      </c>
      <c r="DZ23" s="5">
        <f>_xlfn.XLOOKUP($DZ$3,Tabelle6[Systemtemperatur bei Norm-Wärmeleistungsbestimmung],Tabelle6[Norm Innentemperatur],0,0,1)</f>
        <v>20</v>
      </c>
      <c r="EA23" s="147">
        <f>((Tabelle3[[#This Row],[Norm Vorlauftemperatur]]-Tabelle3[[#This Row],[Norm Rücklauftemperatur]])/LN((Tabelle3[[#This Row],[Norm Vorlauftemperatur]]-Tabelle3[[#This Row],[Norm Innentemperatur]])/(Tabelle3[[#This Row],[Norm Rücklauftemperatur]]-Tabelle3[[#This Row],[Norm Innentemperatur]])))</f>
        <v>29.720134119884619</v>
      </c>
      <c r="EB23" s="5">
        <f>_xlfn.XLOOKUP(Heizflächen!I27,Tabelle2[Typ],Tabelle2[Heizkörperexponent],0,1,1)</f>
        <v>0</v>
      </c>
      <c r="EC23" s="148">
        <f>Heizflächen!K27</f>
        <v>0</v>
      </c>
      <c r="ED23" s="5">
        <f>IF(Tabelle3[[#This Row],[Heizkörper in Nische?]]="Nein",1,_xlfn.XLOOKUP(Heizflächen!L27, Tabelle8[Höhe über HK],Tabelle8[Abminderungsfaktor],1,0,1))</f>
        <v>1</v>
      </c>
      <c r="EE23" s="5">
        <f>(DW23/EA23)^Tabelle3[[#This Row],[Heizkörperexponent n]]</f>
        <v>1</v>
      </c>
      <c r="EF23" s="5" cm="1">
        <f t="array" ref="EF23">_xlfn.XLOOKUP(Heizflächen!J27&amp;Heizflächen!M27&amp;Heizflächen!N27&amp;Heizflächen!O27&amp;Heizflächen!P27&amp;Heizflächen!Q27,Tabelle4[Typ]&amp;Tabelle4[Breite '[mm']]&amp;Tabelle4[Höhe '[mm']]&amp;Tabelle4[Bauhöhe Radiator '[mm']]&amp;Tabelle4[Nabenabstand Radiator '[mm']]&amp;Tabelle4[Bautiefe Radiator '[mm']],Tabelle4[Wärmeleistung (Radiatoren je Glied) '[W']],,-1,1)</f>
        <v>0</v>
      </c>
      <c r="EG23" s="5">
        <f>Heizflächen!R27</f>
        <v>0</v>
      </c>
      <c r="EH23" s="150">
        <f>IF(AND(Tabelle3[[#This Row],[Gliederanzahl]]&gt;0,Heizflächen!J27="Radiator"),Tabelle3[[#This Row],[Norm Heizleistung QNorm]]*Tabelle3[[#This Row],[f = (Δθm1/Δθm2)^n]]*Tabelle3[[#This Row],[Abminderungsfaktor]]*Tabelle3[[#This Row],[Gliederanzahl]],Tabelle3[[#This Row],[Abminderungsfaktor]]*Tabelle3[[#This Row],[f = (Δθm1/Δθm2)^n]]*Tabelle3[[#This Row],[Norm Heizleistung QNorm]])</f>
        <v>0</v>
      </c>
      <c r="EM23" s="2">
        <f>Heizflächen!C27</f>
        <v>0</v>
      </c>
      <c r="EN23" s="2">
        <f>Heizflächen!D27</f>
        <v>0</v>
      </c>
      <c r="EO23" s="2">
        <f>1-(Heizflächen!S27/0.075)</f>
        <v>1</v>
      </c>
      <c r="EP23" s="2">
        <f>100*(0.045-Heizflächen!T27)</f>
        <v>4.5</v>
      </c>
      <c r="EQ23" s="2">
        <f>250*(Heizflächen!U27-0.02)</f>
        <v>-5</v>
      </c>
      <c r="ER23" s="2">
        <f>_xlfn.XLOOKUP(Tabelle14[[#This Row],[Wärmedurchlasswiderstand Bodenbelag]],Tabelle17[Wärmedurchlasswiderstand Rλ,B in '[m²K/W']],Tabelle17[aT],0,-1,1)</f>
        <v>1.23</v>
      </c>
      <c r="ES23" s="2" cm="1">
        <f t="array" ref="ES23">_xlfn.XLOOKUP(Heizflächen!S27&amp;Tabelle14[[#This Row],[Wärmedurchlasswiderstand Bodenbelag]],Tabelle18[T]&amp;Tabelle18[Rλ,B in '[m²K/W']],Tabelle18[au],0,-1,1)</f>
        <v>0</v>
      </c>
      <c r="ET23" s="2" cm="1">
        <f t="array" ref="ET23">_xlfn.XLOOKUP(Heizflächen!S27&amp;Tabelle14[[#This Row],[Wärmedurchlasswiderstand Bodenbelag]],Tabelle19[T]&amp;Tabelle19[Rλ,B in '[m²K/W']],Tabelle19[aD],0,-1,1)</f>
        <v>0</v>
      </c>
      <c r="EU23" s="5">
        <f>_xlfn.XLOOKUP(Heizflächen!$U$64,Tabelle5[Auswählbare Vor-und Rücklauftemperaturen],Tabelle5[Vorlauf],0,0,1)</f>
        <v>35</v>
      </c>
      <c r="EV23" s="5">
        <f>_xlfn.XLOOKUP(Heizflächen!$U$64,Tabelle5[Auswählbare Vor-und Rücklauftemperaturen],Tabelle5[Rücklauf],0,0,1)</f>
        <v>30</v>
      </c>
      <c r="EW23" s="77">
        <f>((Tabelle14[[#This Row],[gewünschte Vorlauftemperatur]]-Tabelle14[[#This Row],[gewünschte Rücklauftemperatur]])/LN((Tabelle14[[#This Row],[gewünschte Vorlauftemperatur]]-Heizflächen!G27)/(Tabelle14[[#This Row],[gewünschte Rücklauftemperatur]]-Heizflächen!G27)))</f>
        <v>32.435795973154399</v>
      </c>
      <c r="EX23" s="2">
        <f>_xlfn.XLOOKUP(Heizflächen!V27,Tabelle13[Bodenbelagsmaterial],Tabelle13[Wärmedurchlasswiderstand Rλ,B in '[m²K/W']],0,0,1)</f>
        <v>0</v>
      </c>
      <c r="EY23" s="163">
        <f>((1/10.8)+(0.045/1))/((1/10.8)+(0.045/1.4)+Tabelle14[[#This Row],[Wärmedurchlasswiderstand Bodenbelag]])</f>
        <v>1.1030752916224815</v>
      </c>
      <c r="EZ23" s="2">
        <v>6.7</v>
      </c>
      <c r="FA23" s="164" t="e">
        <f>Tabelle14[[#This Row],[B '[W/(m²K)']]]*Tabelle14[[#This Row],[aB]]*(Tabelle14[[#This Row],[aT]]^Tabelle14[[#This Row],[mT]])*(Tabelle14[[#This Row],[au]]^Tabelle14[[#This Row],[mu]])*(Tabelle14[[#This Row],[aD]]^Tabelle14[[#This Row],[mD]])*Tabelle14[[#This Row],[gewünschte Übertemperatur Δθm]]</f>
        <v>#DIV/0!</v>
      </c>
      <c r="FB23" s="2">
        <f>IFERROR(Tabelle14[[#This Row],[q '[W/m²']]]*(Heizflächen!E27-Heizflächen!F27),0)</f>
        <v>0</v>
      </c>
      <c r="FC23" s="2">
        <f>Heizflächen!H27</f>
        <v>16</v>
      </c>
      <c r="FI23" s="2">
        <v>17</v>
      </c>
    </row>
    <row r="24" spans="2:165" ht="19.2" thickBot="1">
      <c r="B24" s="61" t="str">
        <f>Allgemein!L43</f>
        <v>BEG WG</v>
      </c>
      <c r="C24" s="29"/>
      <c r="D24" s="30"/>
      <c r="E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L24" s="30"/>
      <c r="AM24" s="30"/>
      <c r="AN24" s="30"/>
      <c r="AO24" s="30"/>
      <c r="AP24" s="30"/>
      <c r="AQ24" s="30"/>
      <c r="AR24" s="30"/>
      <c r="AS24" s="30"/>
      <c r="AT24" s="30"/>
      <c r="AU24" s="30"/>
      <c r="AV24" s="30"/>
      <c r="AW24" s="30"/>
      <c r="AX24" s="30"/>
      <c r="AY24" s="30"/>
      <c r="AZ24" s="30"/>
      <c r="BA24" s="30"/>
      <c r="BH24" s="2" t="s">
        <v>434</v>
      </c>
      <c r="BI24" s="2">
        <v>600</v>
      </c>
      <c r="BJ24" s="2">
        <v>400</v>
      </c>
      <c r="BN24" s="2">
        <v>554</v>
      </c>
      <c r="BR24" s="2">
        <v>55</v>
      </c>
      <c r="BS24" s="2">
        <v>0.91600000000000004</v>
      </c>
      <c r="CS24" s="2">
        <v>0.03</v>
      </c>
      <c r="CU24" s="2">
        <v>6.5000000000000002E-2</v>
      </c>
      <c r="CX24" s="2" t="s">
        <v>543</v>
      </c>
      <c r="CY24" s="2">
        <v>12.5</v>
      </c>
      <c r="CZ24" s="2">
        <v>0.12</v>
      </c>
      <c r="DF24" s="2">
        <v>7.4999999999999997E-2</v>
      </c>
      <c r="DG24" s="2">
        <v>0</v>
      </c>
      <c r="DH24" s="2">
        <v>1.0660000000000001</v>
      </c>
      <c r="DQ24" s="2">
        <f>Heizflächen!C28</f>
        <v>0</v>
      </c>
      <c r="DR24" s="5">
        <f>Heizflächen!D28</f>
        <v>0</v>
      </c>
      <c r="DS24" s="5">
        <f>Heizflächen!H28</f>
        <v>17</v>
      </c>
      <c r="DT24" s="5">
        <f>Heizflächen!G28</f>
        <v>0</v>
      </c>
      <c r="DU24" s="5">
        <f>_xlfn.XLOOKUP(Heizflächen!$U$64,Tabelle5[Auswählbare Vor-und Rücklauftemperaturen],Tabelle5[Vorlauf],0,0,1)</f>
        <v>35</v>
      </c>
      <c r="DV24" s="5">
        <f>_xlfn.XLOOKUP(Heizflächen!$U$64,Tabelle5[Auswählbare Vor-und Rücklauftemperaturen],Tabelle5[Rücklauf],0,0,1)</f>
        <v>30</v>
      </c>
      <c r="DW24"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24" s="5">
        <f>_xlfn.XLOOKUP($DZ$3,Tabelle6[Systemtemperatur bei Norm-Wärmeleistungsbestimmung],Tabelle6[Vorlauf],0,0,1)</f>
        <v>55</v>
      </c>
      <c r="DY24" s="5">
        <f>_xlfn.XLOOKUP($DZ$3,Tabelle6[Systemtemperatur bei Norm-Wärmeleistungsbestimmung],Tabelle6[Rücklauf],0,0,1)</f>
        <v>45</v>
      </c>
      <c r="DZ24" s="5">
        <f>_xlfn.XLOOKUP($DZ$3,Tabelle6[Systemtemperatur bei Norm-Wärmeleistungsbestimmung],Tabelle6[Norm Innentemperatur],0,0,1)</f>
        <v>20</v>
      </c>
      <c r="EA24" s="147">
        <f>((Tabelle3[[#This Row],[Norm Vorlauftemperatur]]-Tabelle3[[#This Row],[Norm Rücklauftemperatur]])/LN((Tabelle3[[#This Row],[Norm Vorlauftemperatur]]-Tabelle3[[#This Row],[Norm Innentemperatur]])/(Tabelle3[[#This Row],[Norm Rücklauftemperatur]]-Tabelle3[[#This Row],[Norm Innentemperatur]])))</f>
        <v>29.720134119884619</v>
      </c>
      <c r="EB24" s="5">
        <f>_xlfn.XLOOKUP(Heizflächen!I28,Tabelle2[Typ],Tabelle2[Heizkörperexponent],0,1,1)</f>
        <v>0</v>
      </c>
      <c r="EC24" s="148">
        <f>Heizflächen!K28</f>
        <v>0</v>
      </c>
      <c r="ED24" s="5">
        <f>IF(Tabelle3[[#This Row],[Heizkörper in Nische?]]="Nein",1,_xlfn.XLOOKUP(Heizflächen!L28, Tabelle8[Höhe über HK],Tabelle8[Abminderungsfaktor],1,0,1))</f>
        <v>1</v>
      </c>
      <c r="EE24" s="5">
        <f>(DW24/EA24)^Tabelle3[[#This Row],[Heizkörperexponent n]]</f>
        <v>1</v>
      </c>
      <c r="EF24" s="5" cm="1">
        <f t="array" ref="EF24">_xlfn.XLOOKUP(Heizflächen!J28&amp;Heizflächen!M28&amp;Heizflächen!N28&amp;Heizflächen!O28&amp;Heizflächen!P28&amp;Heizflächen!Q28,Tabelle4[Typ]&amp;Tabelle4[Breite '[mm']]&amp;Tabelle4[Höhe '[mm']]&amp;Tabelle4[Bauhöhe Radiator '[mm']]&amp;Tabelle4[Nabenabstand Radiator '[mm']]&amp;Tabelle4[Bautiefe Radiator '[mm']],Tabelle4[Wärmeleistung (Radiatoren je Glied) '[W']],,-1,1)</f>
        <v>0</v>
      </c>
      <c r="EG24" s="5">
        <f>Heizflächen!R28</f>
        <v>0</v>
      </c>
      <c r="EH24" s="150">
        <f>IF(AND(Tabelle3[[#This Row],[Gliederanzahl]]&gt;0,Heizflächen!J28="Radiator"),Tabelle3[[#This Row],[Norm Heizleistung QNorm]]*Tabelle3[[#This Row],[f = (Δθm1/Δθm2)^n]]*Tabelle3[[#This Row],[Abminderungsfaktor]]*Tabelle3[[#This Row],[Gliederanzahl]],Tabelle3[[#This Row],[Abminderungsfaktor]]*Tabelle3[[#This Row],[f = (Δθm1/Δθm2)^n]]*Tabelle3[[#This Row],[Norm Heizleistung QNorm]])</f>
        <v>0</v>
      </c>
      <c r="EM24" s="2">
        <f>Heizflächen!C28</f>
        <v>0</v>
      </c>
      <c r="EN24" s="2">
        <f>Heizflächen!D28</f>
        <v>0</v>
      </c>
      <c r="EO24" s="2">
        <f>1-(Heizflächen!S28/0.075)</f>
        <v>1</v>
      </c>
      <c r="EP24" s="2">
        <f>100*(0.045-Heizflächen!T28)</f>
        <v>4.5</v>
      </c>
      <c r="EQ24" s="2">
        <f>250*(Heizflächen!U28-0.02)</f>
        <v>-5</v>
      </c>
      <c r="ER24" s="2">
        <f>_xlfn.XLOOKUP(Tabelle14[[#This Row],[Wärmedurchlasswiderstand Bodenbelag]],Tabelle17[Wärmedurchlasswiderstand Rλ,B in '[m²K/W']],Tabelle17[aT],0,-1,1)</f>
        <v>1.23</v>
      </c>
      <c r="ES24" s="2" cm="1">
        <f t="array" ref="ES24">_xlfn.XLOOKUP(Heizflächen!S28&amp;Tabelle14[[#This Row],[Wärmedurchlasswiderstand Bodenbelag]],Tabelle18[T]&amp;Tabelle18[Rλ,B in '[m²K/W']],Tabelle18[au],0,-1,1)</f>
        <v>0</v>
      </c>
      <c r="ET24" s="2" cm="1">
        <f t="array" ref="ET24">_xlfn.XLOOKUP(Heizflächen!S28&amp;Tabelle14[[#This Row],[Wärmedurchlasswiderstand Bodenbelag]],Tabelle19[T]&amp;Tabelle19[Rλ,B in '[m²K/W']],Tabelle19[aD],0,-1,1)</f>
        <v>0</v>
      </c>
      <c r="EU24" s="5">
        <f>_xlfn.XLOOKUP(Heizflächen!$U$64,Tabelle5[Auswählbare Vor-und Rücklauftemperaturen],Tabelle5[Vorlauf],0,0,1)</f>
        <v>35</v>
      </c>
      <c r="EV24" s="5">
        <f>_xlfn.XLOOKUP(Heizflächen!$U$64,Tabelle5[Auswählbare Vor-und Rücklauftemperaturen],Tabelle5[Rücklauf],0,0,1)</f>
        <v>30</v>
      </c>
      <c r="EW24" s="77">
        <f>((Tabelle14[[#This Row],[gewünschte Vorlauftemperatur]]-Tabelle14[[#This Row],[gewünschte Rücklauftemperatur]])/LN((Tabelle14[[#This Row],[gewünschte Vorlauftemperatur]]-Heizflächen!G28)/(Tabelle14[[#This Row],[gewünschte Rücklauftemperatur]]-Heizflächen!G28)))</f>
        <v>32.435795973154399</v>
      </c>
      <c r="EX24" s="2">
        <f>_xlfn.XLOOKUP(Heizflächen!V28,Tabelle13[Bodenbelagsmaterial],Tabelle13[Wärmedurchlasswiderstand Rλ,B in '[m²K/W']],0,0,1)</f>
        <v>0</v>
      </c>
      <c r="EY24" s="163">
        <f>((1/10.8)+(0.045/1))/((1/10.8)+(0.045/1.4)+Tabelle14[[#This Row],[Wärmedurchlasswiderstand Bodenbelag]])</f>
        <v>1.1030752916224815</v>
      </c>
      <c r="EZ24" s="2">
        <v>6.7</v>
      </c>
      <c r="FA24" s="164" t="e">
        <f>Tabelle14[[#This Row],[B '[W/(m²K)']]]*Tabelle14[[#This Row],[aB]]*(Tabelle14[[#This Row],[aT]]^Tabelle14[[#This Row],[mT]])*(Tabelle14[[#This Row],[au]]^Tabelle14[[#This Row],[mu]])*(Tabelle14[[#This Row],[aD]]^Tabelle14[[#This Row],[mD]])*Tabelle14[[#This Row],[gewünschte Übertemperatur Δθm]]</f>
        <v>#DIV/0!</v>
      </c>
      <c r="FB24" s="2">
        <f>IFERROR(Tabelle14[[#This Row],[q '[W/m²']]]*(Heizflächen!E28-Heizflächen!F28),0)</f>
        <v>0</v>
      </c>
      <c r="FC24" s="2">
        <f>Heizflächen!H28</f>
        <v>17</v>
      </c>
      <c r="FI24" s="2">
        <v>18</v>
      </c>
    </row>
    <row r="25" spans="2:165" ht="17.399999999999999" thickBot="1">
      <c r="B25" s="56" t="s">
        <v>339</v>
      </c>
      <c r="C25" s="57"/>
      <c r="D25" s="58">
        <v>1</v>
      </c>
      <c r="E25" s="59">
        <v>2</v>
      </c>
      <c r="F25" s="58">
        <v>3</v>
      </c>
      <c r="G25" s="59">
        <v>4</v>
      </c>
      <c r="H25" s="58">
        <v>5</v>
      </c>
      <c r="I25" s="59">
        <v>6</v>
      </c>
      <c r="J25" s="59">
        <v>7</v>
      </c>
      <c r="K25" s="58">
        <v>8</v>
      </c>
      <c r="L25" s="58">
        <v>9</v>
      </c>
      <c r="M25" s="59">
        <v>10</v>
      </c>
      <c r="N25" s="59">
        <v>11</v>
      </c>
      <c r="O25" s="58">
        <v>12</v>
      </c>
      <c r="P25" s="58">
        <v>13</v>
      </c>
      <c r="Q25" s="59">
        <v>14</v>
      </c>
      <c r="R25" s="59">
        <v>15</v>
      </c>
      <c r="S25" s="58">
        <v>16</v>
      </c>
      <c r="T25" s="58">
        <v>17</v>
      </c>
      <c r="U25" s="59">
        <v>18</v>
      </c>
      <c r="V25" s="59">
        <v>19</v>
      </c>
      <c r="W25" s="58">
        <v>20</v>
      </c>
      <c r="X25" s="58">
        <v>21</v>
      </c>
      <c r="Y25" s="59">
        <v>22</v>
      </c>
      <c r="Z25" s="59">
        <v>23</v>
      </c>
      <c r="AA25" s="58">
        <v>24</v>
      </c>
      <c r="AB25" s="58">
        <v>25</v>
      </c>
      <c r="AC25" s="59">
        <v>26</v>
      </c>
      <c r="AD25" s="59">
        <v>27</v>
      </c>
      <c r="AE25" s="58">
        <v>28</v>
      </c>
      <c r="AF25" s="58">
        <v>29</v>
      </c>
      <c r="AG25" s="59">
        <v>30</v>
      </c>
      <c r="AH25" s="74">
        <v>31</v>
      </c>
      <c r="AJ25" s="30"/>
      <c r="BH25" s="2" t="s">
        <v>434</v>
      </c>
      <c r="BI25" s="2">
        <v>700</v>
      </c>
      <c r="BJ25" s="2">
        <v>400</v>
      </c>
      <c r="BN25" s="2">
        <v>647</v>
      </c>
      <c r="BR25" s="2">
        <v>60</v>
      </c>
      <c r="BS25" s="2">
        <v>0.92210000000000003</v>
      </c>
      <c r="CU25" s="2">
        <v>7.0000000000000007E-2</v>
      </c>
      <c r="CX25" s="2" t="s">
        <v>544</v>
      </c>
      <c r="CY25" s="2">
        <v>9</v>
      </c>
      <c r="CZ25" s="2">
        <v>0.05</v>
      </c>
      <c r="DF25" s="2">
        <v>0.1</v>
      </c>
      <c r="DG25" s="2">
        <v>0</v>
      </c>
      <c r="DH25" s="2">
        <v>1.0629999999999999</v>
      </c>
      <c r="DQ25" s="2">
        <f>Heizflächen!C29</f>
        <v>0</v>
      </c>
      <c r="DR25" s="5">
        <f>Heizflächen!D29</f>
        <v>0</v>
      </c>
      <c r="DS25" s="5">
        <f>Heizflächen!H29</f>
        <v>18</v>
      </c>
      <c r="DT25" s="5">
        <f>Heizflächen!G29</f>
        <v>0</v>
      </c>
      <c r="DU25" s="5">
        <f>_xlfn.XLOOKUP(Heizflächen!$U$64,Tabelle5[Auswählbare Vor-und Rücklauftemperaturen],Tabelle5[Vorlauf],0,0,1)</f>
        <v>35</v>
      </c>
      <c r="DV25" s="5">
        <f>_xlfn.XLOOKUP(Heizflächen!$U$64,Tabelle5[Auswählbare Vor-und Rücklauftemperaturen],Tabelle5[Rücklauf],0,0,1)</f>
        <v>30</v>
      </c>
      <c r="DW25"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25" s="5">
        <f>_xlfn.XLOOKUP($DZ$3,Tabelle6[Systemtemperatur bei Norm-Wärmeleistungsbestimmung],Tabelle6[Vorlauf],0,0,1)</f>
        <v>55</v>
      </c>
      <c r="DY25" s="5">
        <f>_xlfn.XLOOKUP($DZ$3,Tabelle6[Systemtemperatur bei Norm-Wärmeleistungsbestimmung],Tabelle6[Rücklauf],0,0,1)</f>
        <v>45</v>
      </c>
      <c r="DZ25" s="5">
        <f>_xlfn.XLOOKUP($DZ$3,Tabelle6[Systemtemperatur bei Norm-Wärmeleistungsbestimmung],Tabelle6[Norm Innentemperatur],0,0,1)</f>
        <v>20</v>
      </c>
      <c r="EA25" s="147">
        <f>((Tabelle3[[#This Row],[Norm Vorlauftemperatur]]-Tabelle3[[#This Row],[Norm Rücklauftemperatur]])/LN((Tabelle3[[#This Row],[Norm Vorlauftemperatur]]-Tabelle3[[#This Row],[Norm Innentemperatur]])/(Tabelle3[[#This Row],[Norm Rücklauftemperatur]]-Tabelle3[[#This Row],[Norm Innentemperatur]])))</f>
        <v>29.720134119884619</v>
      </c>
      <c r="EB25" s="5">
        <f>_xlfn.XLOOKUP(Heizflächen!I29,Tabelle2[Typ],Tabelle2[Heizkörperexponent],0,1,1)</f>
        <v>0</v>
      </c>
      <c r="EC25" s="148">
        <f>Heizflächen!K29</f>
        <v>0</v>
      </c>
      <c r="ED25" s="5">
        <f>IF(Tabelle3[[#This Row],[Heizkörper in Nische?]]="Nein",1,_xlfn.XLOOKUP(Heizflächen!L29, Tabelle8[Höhe über HK],Tabelle8[Abminderungsfaktor],1,0,1))</f>
        <v>1</v>
      </c>
      <c r="EE25" s="5">
        <f>(DW25/EA25)^Tabelle3[[#This Row],[Heizkörperexponent n]]</f>
        <v>1</v>
      </c>
      <c r="EF25" s="5" cm="1">
        <f t="array" ref="EF25">_xlfn.XLOOKUP(Heizflächen!J29&amp;Heizflächen!M29&amp;Heizflächen!N29&amp;Heizflächen!O29&amp;Heizflächen!P29&amp;Heizflächen!Q29,Tabelle4[Typ]&amp;Tabelle4[Breite '[mm']]&amp;Tabelle4[Höhe '[mm']]&amp;Tabelle4[Bauhöhe Radiator '[mm']]&amp;Tabelle4[Nabenabstand Radiator '[mm']]&amp;Tabelle4[Bautiefe Radiator '[mm']],Tabelle4[Wärmeleistung (Radiatoren je Glied) '[W']],,-1,1)</f>
        <v>0</v>
      </c>
      <c r="EG25" s="5">
        <f>Heizflächen!R29</f>
        <v>0</v>
      </c>
      <c r="EH25" s="150">
        <f>IF(AND(Tabelle3[[#This Row],[Gliederanzahl]]&gt;0,Heizflächen!J29="Radiator"),Tabelle3[[#This Row],[Norm Heizleistung QNorm]]*Tabelle3[[#This Row],[f = (Δθm1/Δθm2)^n]]*Tabelle3[[#This Row],[Abminderungsfaktor]]*Tabelle3[[#This Row],[Gliederanzahl]],Tabelle3[[#This Row],[Abminderungsfaktor]]*Tabelle3[[#This Row],[f = (Δθm1/Δθm2)^n]]*Tabelle3[[#This Row],[Norm Heizleistung QNorm]])</f>
        <v>0</v>
      </c>
      <c r="EM25" s="2">
        <f>Heizflächen!C29</f>
        <v>0</v>
      </c>
      <c r="EN25" s="2">
        <f>Heizflächen!D29</f>
        <v>0</v>
      </c>
      <c r="EO25" s="2">
        <f>1-(Heizflächen!S29/0.075)</f>
        <v>1</v>
      </c>
      <c r="EP25" s="2">
        <f>100*(0.045-Heizflächen!T29)</f>
        <v>4.5</v>
      </c>
      <c r="EQ25" s="2">
        <f>250*(Heizflächen!U29-0.02)</f>
        <v>-5</v>
      </c>
      <c r="ER25" s="2">
        <f>_xlfn.XLOOKUP(Tabelle14[[#This Row],[Wärmedurchlasswiderstand Bodenbelag]],Tabelle17[Wärmedurchlasswiderstand Rλ,B in '[m²K/W']],Tabelle17[aT],0,-1,1)</f>
        <v>1.23</v>
      </c>
      <c r="ES25" s="2" cm="1">
        <f t="array" ref="ES25">_xlfn.XLOOKUP(Heizflächen!S29&amp;Tabelle14[[#This Row],[Wärmedurchlasswiderstand Bodenbelag]],Tabelle18[T]&amp;Tabelle18[Rλ,B in '[m²K/W']],Tabelle18[au],0,-1,1)</f>
        <v>0</v>
      </c>
      <c r="ET25" s="2" cm="1">
        <f t="array" ref="ET25">_xlfn.XLOOKUP(Heizflächen!S29&amp;Tabelle14[[#This Row],[Wärmedurchlasswiderstand Bodenbelag]],Tabelle19[T]&amp;Tabelle19[Rλ,B in '[m²K/W']],Tabelle19[aD],0,-1,1)</f>
        <v>0</v>
      </c>
      <c r="EU25" s="5">
        <f>_xlfn.XLOOKUP(Heizflächen!$U$64,Tabelle5[Auswählbare Vor-und Rücklauftemperaturen],Tabelle5[Vorlauf],0,0,1)</f>
        <v>35</v>
      </c>
      <c r="EV25" s="5">
        <f>_xlfn.XLOOKUP(Heizflächen!$U$64,Tabelle5[Auswählbare Vor-und Rücklauftemperaturen],Tabelle5[Rücklauf],0,0,1)</f>
        <v>30</v>
      </c>
      <c r="EW25" s="77">
        <f>((Tabelle14[[#This Row],[gewünschte Vorlauftemperatur]]-Tabelle14[[#This Row],[gewünschte Rücklauftemperatur]])/LN((Tabelle14[[#This Row],[gewünschte Vorlauftemperatur]]-Heizflächen!G29)/(Tabelle14[[#This Row],[gewünschte Rücklauftemperatur]]-Heizflächen!G29)))</f>
        <v>32.435795973154399</v>
      </c>
      <c r="EX25" s="2">
        <f>_xlfn.XLOOKUP(Heizflächen!V29,Tabelle13[Bodenbelagsmaterial],Tabelle13[Wärmedurchlasswiderstand Rλ,B in '[m²K/W']],0,0,1)</f>
        <v>0</v>
      </c>
      <c r="EY25" s="163">
        <f>((1/10.8)+(0.045/1))/((1/10.8)+(0.045/1.4)+Tabelle14[[#This Row],[Wärmedurchlasswiderstand Bodenbelag]])</f>
        <v>1.1030752916224815</v>
      </c>
      <c r="EZ25" s="2">
        <v>6.7</v>
      </c>
      <c r="FA25" s="164" t="e">
        <f>Tabelle14[[#This Row],[B '[W/(m²K)']]]*Tabelle14[[#This Row],[aB]]*(Tabelle14[[#This Row],[aT]]^Tabelle14[[#This Row],[mT]])*(Tabelle14[[#This Row],[au]]^Tabelle14[[#This Row],[mu]])*(Tabelle14[[#This Row],[aD]]^Tabelle14[[#This Row],[mD]])*Tabelle14[[#This Row],[gewünschte Übertemperatur Δθm]]</f>
        <v>#DIV/0!</v>
      </c>
      <c r="FB25" s="2">
        <f>IFERROR(Tabelle14[[#This Row],[q '[W/m²']]]*(Heizflächen!E29-Heizflächen!F29),0)</f>
        <v>0</v>
      </c>
      <c r="FC25" s="2">
        <f>Heizflächen!H29</f>
        <v>18</v>
      </c>
      <c r="FI25" s="2">
        <v>19</v>
      </c>
    </row>
    <row r="26" spans="2:165">
      <c r="B26" s="1778" t="s">
        <v>545</v>
      </c>
      <c r="C26" s="1779"/>
      <c r="D26" s="71"/>
      <c r="E26" s="72"/>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BH26" s="2" t="s">
        <v>434</v>
      </c>
      <c r="BI26" s="2">
        <v>800</v>
      </c>
      <c r="BJ26" s="2">
        <v>400</v>
      </c>
      <c r="BN26" s="2">
        <v>739</v>
      </c>
      <c r="BR26" s="2">
        <v>65</v>
      </c>
      <c r="BS26" s="2">
        <v>0.92620000000000002</v>
      </c>
      <c r="CU26" s="2">
        <v>7.4999999999999997E-2</v>
      </c>
      <c r="DF26" s="2">
        <v>0.15</v>
      </c>
      <c r="DG26" s="2">
        <v>0</v>
      </c>
      <c r="DH26" s="2">
        <v>1.0569999999999999</v>
      </c>
      <c r="DQ26" s="2">
        <f>Heizflächen!C30</f>
        <v>0</v>
      </c>
      <c r="DR26" s="5">
        <f>Heizflächen!D30</f>
        <v>0</v>
      </c>
      <c r="DS26" s="5">
        <f>Heizflächen!H30</f>
        <v>19</v>
      </c>
      <c r="DT26" s="5">
        <f>Heizflächen!G30</f>
        <v>0</v>
      </c>
      <c r="DU26" s="5">
        <f>_xlfn.XLOOKUP(Heizflächen!$U$64,Tabelle5[Auswählbare Vor-und Rücklauftemperaturen],Tabelle5[Vorlauf],0,0,1)</f>
        <v>35</v>
      </c>
      <c r="DV26" s="5">
        <f>_xlfn.XLOOKUP(Heizflächen!$U$64,Tabelle5[Auswählbare Vor-und Rücklauftemperaturen],Tabelle5[Rücklauf],0,0,1)</f>
        <v>30</v>
      </c>
      <c r="DW26"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26" s="5">
        <f>_xlfn.XLOOKUP($DZ$3,Tabelle6[Systemtemperatur bei Norm-Wärmeleistungsbestimmung],Tabelle6[Vorlauf],0,0,1)</f>
        <v>55</v>
      </c>
      <c r="DY26" s="5">
        <f>_xlfn.XLOOKUP($DZ$3,Tabelle6[Systemtemperatur bei Norm-Wärmeleistungsbestimmung],Tabelle6[Rücklauf],0,0,1)</f>
        <v>45</v>
      </c>
      <c r="DZ26" s="5">
        <f>_xlfn.XLOOKUP($DZ$3,Tabelle6[Systemtemperatur bei Norm-Wärmeleistungsbestimmung],Tabelle6[Norm Innentemperatur],0,0,1)</f>
        <v>20</v>
      </c>
      <c r="EA26" s="147">
        <f>((Tabelle3[[#This Row],[Norm Vorlauftemperatur]]-Tabelle3[[#This Row],[Norm Rücklauftemperatur]])/LN((Tabelle3[[#This Row],[Norm Vorlauftemperatur]]-Tabelle3[[#This Row],[Norm Innentemperatur]])/(Tabelle3[[#This Row],[Norm Rücklauftemperatur]]-Tabelle3[[#This Row],[Norm Innentemperatur]])))</f>
        <v>29.720134119884619</v>
      </c>
      <c r="EB26" s="5">
        <f>_xlfn.XLOOKUP(Heizflächen!I30,Tabelle2[Typ],Tabelle2[Heizkörperexponent],0,1,1)</f>
        <v>0</v>
      </c>
      <c r="EC26" s="148">
        <f>Heizflächen!K30</f>
        <v>0</v>
      </c>
      <c r="ED26" s="5">
        <f>IF(Tabelle3[[#This Row],[Heizkörper in Nische?]]="Nein",1,_xlfn.XLOOKUP(Heizflächen!L30, Tabelle8[Höhe über HK],Tabelle8[Abminderungsfaktor],1,0,1))</f>
        <v>1</v>
      </c>
      <c r="EE26" s="5">
        <f>(DW26/EA26)^Tabelle3[[#This Row],[Heizkörperexponent n]]</f>
        <v>1</v>
      </c>
      <c r="EF26" s="5" cm="1">
        <f t="array" ref="EF26">_xlfn.XLOOKUP(Heizflächen!J30&amp;Heizflächen!M30&amp;Heizflächen!N30&amp;Heizflächen!O30&amp;Heizflächen!P30&amp;Heizflächen!Q30,Tabelle4[Typ]&amp;Tabelle4[Breite '[mm']]&amp;Tabelle4[Höhe '[mm']]&amp;Tabelle4[Bauhöhe Radiator '[mm']]&amp;Tabelle4[Nabenabstand Radiator '[mm']]&amp;Tabelle4[Bautiefe Radiator '[mm']],Tabelle4[Wärmeleistung (Radiatoren je Glied) '[W']],,-1,1)</f>
        <v>0</v>
      </c>
      <c r="EG26" s="5">
        <f>Heizflächen!R30</f>
        <v>0</v>
      </c>
      <c r="EH26" s="150">
        <f>IF(AND(Tabelle3[[#This Row],[Gliederanzahl]]&gt;0,Heizflächen!J30="Radiator"),Tabelle3[[#This Row],[Norm Heizleistung QNorm]]*Tabelle3[[#This Row],[f = (Δθm1/Δθm2)^n]]*Tabelle3[[#This Row],[Abminderungsfaktor]]*Tabelle3[[#This Row],[Gliederanzahl]],Tabelle3[[#This Row],[Abminderungsfaktor]]*Tabelle3[[#This Row],[f = (Δθm1/Δθm2)^n]]*Tabelle3[[#This Row],[Norm Heizleistung QNorm]])</f>
        <v>0</v>
      </c>
      <c r="EM26" s="2">
        <f>Heizflächen!C30</f>
        <v>0</v>
      </c>
      <c r="EN26" s="2">
        <f>Heizflächen!D30</f>
        <v>0</v>
      </c>
      <c r="EO26" s="2">
        <f>1-(Heizflächen!S30/0.075)</f>
        <v>1</v>
      </c>
      <c r="EP26" s="2">
        <f>100*(0.045-Heizflächen!T30)</f>
        <v>4.5</v>
      </c>
      <c r="EQ26" s="2">
        <f>250*(Heizflächen!U30-0.02)</f>
        <v>-5</v>
      </c>
      <c r="ER26" s="2">
        <f>_xlfn.XLOOKUP(Tabelle14[[#This Row],[Wärmedurchlasswiderstand Bodenbelag]],Tabelle17[Wärmedurchlasswiderstand Rλ,B in '[m²K/W']],Tabelle17[aT],0,-1,1)</f>
        <v>1.23</v>
      </c>
      <c r="ES26" s="2" cm="1">
        <f t="array" ref="ES26">_xlfn.XLOOKUP(Heizflächen!S30&amp;Tabelle14[[#This Row],[Wärmedurchlasswiderstand Bodenbelag]],Tabelle18[T]&amp;Tabelle18[Rλ,B in '[m²K/W']],Tabelle18[au],0,-1,1)</f>
        <v>0</v>
      </c>
      <c r="ET26" s="2" cm="1">
        <f t="array" ref="ET26">_xlfn.XLOOKUP(Heizflächen!S30&amp;Tabelle14[[#This Row],[Wärmedurchlasswiderstand Bodenbelag]],Tabelle19[T]&amp;Tabelle19[Rλ,B in '[m²K/W']],Tabelle19[aD],0,-1,1)</f>
        <v>0</v>
      </c>
      <c r="EU26" s="5">
        <f>_xlfn.XLOOKUP(Heizflächen!$U$64,Tabelle5[Auswählbare Vor-und Rücklauftemperaturen],Tabelle5[Vorlauf],0,0,1)</f>
        <v>35</v>
      </c>
      <c r="EV26" s="5">
        <f>_xlfn.XLOOKUP(Heizflächen!$U$64,Tabelle5[Auswählbare Vor-und Rücklauftemperaturen],Tabelle5[Rücklauf],0,0,1)</f>
        <v>30</v>
      </c>
      <c r="EW26" s="77">
        <f>((Tabelle14[[#This Row],[gewünschte Vorlauftemperatur]]-Tabelle14[[#This Row],[gewünschte Rücklauftemperatur]])/LN((Tabelle14[[#This Row],[gewünschte Vorlauftemperatur]]-Heizflächen!G30)/(Tabelle14[[#This Row],[gewünschte Rücklauftemperatur]]-Heizflächen!G30)))</f>
        <v>32.435795973154399</v>
      </c>
      <c r="EX26" s="2">
        <f>_xlfn.XLOOKUP(Heizflächen!V30,Tabelle13[Bodenbelagsmaterial],Tabelle13[Wärmedurchlasswiderstand Rλ,B in '[m²K/W']],0,0,1)</f>
        <v>0</v>
      </c>
      <c r="EY26" s="163">
        <f>((1/10.8)+(0.045/1))/((1/10.8)+(0.045/1.4)+Tabelle14[[#This Row],[Wärmedurchlasswiderstand Bodenbelag]])</f>
        <v>1.1030752916224815</v>
      </c>
      <c r="EZ26" s="2">
        <v>6.7</v>
      </c>
      <c r="FA26" s="164" t="e">
        <f>Tabelle14[[#This Row],[B '[W/(m²K)']]]*Tabelle14[[#This Row],[aB]]*(Tabelle14[[#This Row],[aT]]^Tabelle14[[#This Row],[mT]])*(Tabelle14[[#This Row],[au]]^Tabelle14[[#This Row],[mu]])*(Tabelle14[[#This Row],[aD]]^Tabelle14[[#This Row],[mD]])*Tabelle14[[#This Row],[gewünschte Übertemperatur Δθm]]</f>
        <v>#DIV/0!</v>
      </c>
      <c r="FB26" s="2">
        <f>IFERROR(Tabelle14[[#This Row],[q '[W/m²']]]*(Heizflächen!E30-Heizflächen!F30),0)</f>
        <v>0</v>
      </c>
      <c r="FC26" s="2">
        <f>Heizflächen!H30</f>
        <v>19</v>
      </c>
      <c r="FI26" s="2">
        <v>20</v>
      </c>
    </row>
    <row r="27" spans="2:165">
      <c r="B27" s="1774" t="s">
        <v>546</v>
      </c>
      <c r="C27" s="1775"/>
      <c r="D27" s="33">
        <f>Allgemein!$L$48</f>
        <v>0</v>
      </c>
      <c r="E27" s="33">
        <f t="shared" ref="E27:N27" si="0">IF(E26=0,D27,E26)</f>
        <v>0</v>
      </c>
      <c r="F27" s="33">
        <f t="shared" si="0"/>
        <v>0</v>
      </c>
      <c r="G27" s="33">
        <f t="shared" si="0"/>
        <v>0</v>
      </c>
      <c r="H27" s="33">
        <f t="shared" si="0"/>
        <v>0</v>
      </c>
      <c r="I27" s="33">
        <f t="shared" si="0"/>
        <v>0</v>
      </c>
      <c r="J27" s="33">
        <f t="shared" si="0"/>
        <v>0</v>
      </c>
      <c r="K27" s="33">
        <f t="shared" si="0"/>
        <v>0</v>
      </c>
      <c r="L27" s="33">
        <f t="shared" si="0"/>
        <v>0</v>
      </c>
      <c r="M27" s="33">
        <f t="shared" si="0"/>
        <v>0</v>
      </c>
      <c r="N27" s="33">
        <f t="shared" si="0"/>
        <v>0</v>
      </c>
      <c r="O27" s="33">
        <f t="shared" ref="O27:AH27" si="1">IF(O26=0,N27,O26)</f>
        <v>0</v>
      </c>
      <c r="P27" s="33">
        <f t="shared" si="1"/>
        <v>0</v>
      </c>
      <c r="Q27" s="33">
        <f t="shared" si="1"/>
        <v>0</v>
      </c>
      <c r="R27" s="33">
        <f t="shared" si="1"/>
        <v>0</v>
      </c>
      <c r="S27" s="33">
        <f t="shared" si="1"/>
        <v>0</v>
      </c>
      <c r="T27" s="33">
        <f t="shared" si="1"/>
        <v>0</v>
      </c>
      <c r="U27" s="33">
        <f t="shared" si="1"/>
        <v>0</v>
      </c>
      <c r="V27" s="33">
        <f t="shared" si="1"/>
        <v>0</v>
      </c>
      <c r="W27" s="33">
        <f t="shared" si="1"/>
        <v>0</v>
      </c>
      <c r="X27" s="33">
        <f t="shared" si="1"/>
        <v>0</v>
      </c>
      <c r="Y27" s="33">
        <f t="shared" si="1"/>
        <v>0</v>
      </c>
      <c r="Z27" s="33">
        <f t="shared" si="1"/>
        <v>0</v>
      </c>
      <c r="AA27" s="33">
        <f t="shared" si="1"/>
        <v>0</v>
      </c>
      <c r="AB27" s="33">
        <f t="shared" si="1"/>
        <v>0</v>
      </c>
      <c r="AC27" s="33">
        <f t="shared" si="1"/>
        <v>0</v>
      </c>
      <c r="AD27" s="33">
        <f t="shared" si="1"/>
        <v>0</v>
      </c>
      <c r="AE27" s="33">
        <f t="shared" si="1"/>
        <v>0</v>
      </c>
      <c r="AF27" s="33">
        <f t="shared" si="1"/>
        <v>0</v>
      </c>
      <c r="AG27" s="33">
        <f t="shared" si="1"/>
        <v>0</v>
      </c>
      <c r="AH27" s="33">
        <f t="shared" si="1"/>
        <v>0</v>
      </c>
      <c r="BH27" s="2" t="s">
        <v>434</v>
      </c>
      <c r="BI27" s="2">
        <v>900</v>
      </c>
      <c r="BJ27" s="2">
        <v>400</v>
      </c>
      <c r="BN27" s="2">
        <v>831</v>
      </c>
      <c r="BR27" s="2">
        <v>70</v>
      </c>
      <c r="BS27" s="2">
        <v>0.93030000000000002</v>
      </c>
      <c r="CP27" s="2" t="s">
        <v>547</v>
      </c>
      <c r="CU27" s="2">
        <v>0.08</v>
      </c>
      <c r="DF27" s="2">
        <v>0.2</v>
      </c>
      <c r="DG27" s="2">
        <v>0</v>
      </c>
      <c r="DH27" s="2">
        <v>1.0509999999999999</v>
      </c>
      <c r="DQ27" s="2">
        <f>Heizflächen!C31</f>
        <v>0</v>
      </c>
      <c r="DR27" s="5">
        <f>Heizflächen!D31</f>
        <v>0</v>
      </c>
      <c r="DS27" s="5">
        <f>Heizflächen!H31</f>
        <v>20</v>
      </c>
      <c r="DT27" s="5">
        <f>Heizflächen!G31</f>
        <v>0</v>
      </c>
      <c r="DU27" s="5">
        <f>_xlfn.XLOOKUP(Heizflächen!$U$64,Tabelle5[Auswählbare Vor-und Rücklauftemperaturen],Tabelle5[Vorlauf],0,0,1)</f>
        <v>35</v>
      </c>
      <c r="DV27" s="5">
        <f>_xlfn.XLOOKUP(Heizflächen!$U$64,Tabelle5[Auswählbare Vor-und Rücklauftemperaturen],Tabelle5[Rücklauf],0,0,1)</f>
        <v>30</v>
      </c>
      <c r="DW27"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27" s="5">
        <f>_xlfn.XLOOKUP($DZ$3,Tabelle6[Systemtemperatur bei Norm-Wärmeleistungsbestimmung],Tabelle6[Vorlauf],0,0,1)</f>
        <v>55</v>
      </c>
      <c r="DY27" s="5">
        <f>_xlfn.XLOOKUP($DZ$3,Tabelle6[Systemtemperatur bei Norm-Wärmeleistungsbestimmung],Tabelle6[Rücklauf],0,0,1)</f>
        <v>45</v>
      </c>
      <c r="DZ27" s="5">
        <f>_xlfn.XLOOKUP($DZ$3,Tabelle6[Systemtemperatur bei Norm-Wärmeleistungsbestimmung],Tabelle6[Norm Innentemperatur],0,0,1)</f>
        <v>20</v>
      </c>
      <c r="EA27" s="147">
        <f>((Tabelle3[[#This Row],[Norm Vorlauftemperatur]]-Tabelle3[[#This Row],[Norm Rücklauftemperatur]])/LN((Tabelle3[[#This Row],[Norm Vorlauftemperatur]]-Tabelle3[[#This Row],[Norm Innentemperatur]])/(Tabelle3[[#This Row],[Norm Rücklauftemperatur]]-Tabelle3[[#This Row],[Norm Innentemperatur]])))</f>
        <v>29.720134119884619</v>
      </c>
      <c r="EB27" s="5">
        <f>_xlfn.XLOOKUP(Heizflächen!I31,Tabelle2[Typ],Tabelle2[Heizkörperexponent],0,1,1)</f>
        <v>0</v>
      </c>
      <c r="EC27" s="148">
        <f>Heizflächen!K31</f>
        <v>0</v>
      </c>
      <c r="ED27" s="5">
        <f>IF(Tabelle3[[#This Row],[Heizkörper in Nische?]]="Nein",1,_xlfn.XLOOKUP(Heizflächen!L31, Tabelle8[Höhe über HK],Tabelle8[Abminderungsfaktor],1,0,1))</f>
        <v>1</v>
      </c>
      <c r="EE27" s="5">
        <f>(DW27/EA27)^Tabelle3[[#This Row],[Heizkörperexponent n]]</f>
        <v>1</v>
      </c>
      <c r="EF27" s="5" cm="1">
        <f t="array" ref="EF27">_xlfn.XLOOKUP(Heizflächen!J31&amp;Heizflächen!M31&amp;Heizflächen!N31&amp;Heizflächen!O31&amp;Heizflächen!P31&amp;Heizflächen!Q31,Tabelle4[Typ]&amp;Tabelle4[Breite '[mm']]&amp;Tabelle4[Höhe '[mm']]&amp;Tabelle4[Bauhöhe Radiator '[mm']]&amp;Tabelle4[Nabenabstand Radiator '[mm']]&amp;Tabelle4[Bautiefe Radiator '[mm']],Tabelle4[Wärmeleistung (Radiatoren je Glied) '[W']],,-1,1)</f>
        <v>0</v>
      </c>
      <c r="EG27" s="5">
        <f>Heizflächen!R31</f>
        <v>0</v>
      </c>
      <c r="EH27" s="150">
        <f>IF(AND(Tabelle3[[#This Row],[Gliederanzahl]]&gt;0,Heizflächen!J31="Radiator"),Tabelle3[[#This Row],[Norm Heizleistung QNorm]]*Tabelle3[[#This Row],[f = (Δθm1/Δθm2)^n]]*Tabelle3[[#This Row],[Abminderungsfaktor]]*Tabelle3[[#This Row],[Gliederanzahl]],Tabelle3[[#This Row],[Abminderungsfaktor]]*Tabelle3[[#This Row],[f = (Δθm1/Δθm2)^n]]*Tabelle3[[#This Row],[Norm Heizleistung QNorm]])</f>
        <v>0</v>
      </c>
      <c r="EM27" s="2">
        <f>Heizflächen!C31</f>
        <v>0</v>
      </c>
      <c r="EN27" s="2">
        <f>Heizflächen!D31</f>
        <v>0</v>
      </c>
      <c r="EO27" s="2">
        <f>1-(Heizflächen!S31/0.075)</f>
        <v>1</v>
      </c>
      <c r="EP27" s="2">
        <f>100*(0.045-Heizflächen!T31)</f>
        <v>4.5</v>
      </c>
      <c r="EQ27" s="2">
        <f>250*(Heizflächen!U31-0.02)</f>
        <v>-5</v>
      </c>
      <c r="ER27" s="2">
        <f>_xlfn.XLOOKUP(Tabelle14[[#This Row],[Wärmedurchlasswiderstand Bodenbelag]],Tabelle17[Wärmedurchlasswiderstand Rλ,B in '[m²K/W']],Tabelle17[aT],0,-1,1)</f>
        <v>1.23</v>
      </c>
      <c r="ES27" s="2" cm="1">
        <f t="array" ref="ES27">_xlfn.XLOOKUP(Heizflächen!S31&amp;Tabelle14[[#This Row],[Wärmedurchlasswiderstand Bodenbelag]],Tabelle18[T]&amp;Tabelle18[Rλ,B in '[m²K/W']],Tabelle18[au],0,-1,1)</f>
        <v>0</v>
      </c>
      <c r="ET27" s="2" cm="1">
        <f t="array" ref="ET27">_xlfn.XLOOKUP(Heizflächen!S31&amp;Tabelle14[[#This Row],[Wärmedurchlasswiderstand Bodenbelag]],Tabelle19[T]&amp;Tabelle19[Rλ,B in '[m²K/W']],Tabelle19[aD],0,-1,1)</f>
        <v>0</v>
      </c>
      <c r="EU27" s="5">
        <f>_xlfn.XLOOKUP(Heizflächen!$U$64,Tabelle5[Auswählbare Vor-und Rücklauftemperaturen],Tabelle5[Vorlauf],0,0,1)</f>
        <v>35</v>
      </c>
      <c r="EV27" s="5">
        <f>_xlfn.XLOOKUP(Heizflächen!$U$64,Tabelle5[Auswählbare Vor-und Rücklauftemperaturen],Tabelle5[Rücklauf],0,0,1)</f>
        <v>30</v>
      </c>
      <c r="EW27" s="77">
        <f>((Tabelle14[[#This Row],[gewünschte Vorlauftemperatur]]-Tabelle14[[#This Row],[gewünschte Rücklauftemperatur]])/LN((Tabelle14[[#This Row],[gewünschte Vorlauftemperatur]]-Heizflächen!G31)/(Tabelle14[[#This Row],[gewünschte Rücklauftemperatur]]-Heizflächen!G31)))</f>
        <v>32.435795973154399</v>
      </c>
      <c r="EX27" s="2">
        <f>_xlfn.XLOOKUP(Heizflächen!V31,Tabelle13[Bodenbelagsmaterial],Tabelle13[Wärmedurchlasswiderstand Rλ,B in '[m²K/W']],0,0,1)</f>
        <v>0</v>
      </c>
      <c r="EY27" s="163">
        <f>((1/10.8)+(0.045/1))/((1/10.8)+(0.045/1.4)+Tabelle14[[#This Row],[Wärmedurchlasswiderstand Bodenbelag]])</f>
        <v>1.1030752916224815</v>
      </c>
      <c r="EZ27" s="2">
        <v>6.7</v>
      </c>
      <c r="FA27" s="164" t="e">
        <f>Tabelle14[[#This Row],[B '[W/(m²K)']]]*Tabelle14[[#This Row],[aB]]*(Tabelle14[[#This Row],[aT]]^Tabelle14[[#This Row],[mT]])*(Tabelle14[[#This Row],[au]]^Tabelle14[[#This Row],[mu]])*(Tabelle14[[#This Row],[aD]]^Tabelle14[[#This Row],[mD]])*Tabelle14[[#This Row],[gewünschte Übertemperatur Δθm]]</f>
        <v>#DIV/0!</v>
      </c>
      <c r="FB27" s="2">
        <f>IFERROR(Tabelle14[[#This Row],[q '[W/m²']]]*(Heizflächen!E31-Heizflächen!F31),0)</f>
        <v>0</v>
      </c>
      <c r="FC27" s="2">
        <f>Heizflächen!H31</f>
        <v>20</v>
      </c>
      <c r="FI27" s="2">
        <v>21</v>
      </c>
    </row>
    <row r="28" spans="2:165">
      <c r="B28" s="1780"/>
      <c r="C28" s="1781"/>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BH28" s="2" t="s">
        <v>434</v>
      </c>
      <c r="BI28" s="2">
        <v>1000</v>
      </c>
      <c r="BJ28" s="2">
        <v>400</v>
      </c>
      <c r="BN28" s="2">
        <v>924</v>
      </c>
      <c r="BR28" s="2">
        <v>75</v>
      </c>
      <c r="BS28" s="2">
        <v>0.93240000000000001</v>
      </c>
      <c r="CU28" s="2">
        <v>8.5000000000000006E-2</v>
      </c>
      <c r="DF28" s="2">
        <v>0.22500000000000001</v>
      </c>
      <c r="DG28" s="2">
        <v>0</v>
      </c>
      <c r="DH28" s="2">
        <v>1.048</v>
      </c>
      <c r="DQ28" s="2">
        <f>Heizflächen!C32</f>
        <v>0</v>
      </c>
      <c r="DR28" s="5">
        <f>Heizflächen!D32</f>
        <v>0</v>
      </c>
      <c r="DS28" s="5">
        <f>Heizflächen!H32</f>
        <v>21</v>
      </c>
      <c r="DT28" s="5">
        <f>Heizflächen!G32</f>
        <v>0</v>
      </c>
      <c r="DU28" s="5">
        <f>_xlfn.XLOOKUP(Heizflächen!$U$64,Tabelle5[Auswählbare Vor-und Rücklauftemperaturen],Tabelle5[Vorlauf],0,0,1)</f>
        <v>35</v>
      </c>
      <c r="DV28" s="5">
        <f>_xlfn.XLOOKUP(Heizflächen!$U$64,Tabelle5[Auswählbare Vor-und Rücklauftemperaturen],Tabelle5[Rücklauf],0,0,1)</f>
        <v>30</v>
      </c>
      <c r="DW28"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28" s="5">
        <f>_xlfn.XLOOKUP($DZ$3,Tabelle6[Systemtemperatur bei Norm-Wärmeleistungsbestimmung],Tabelle6[Vorlauf],0,0,1)</f>
        <v>55</v>
      </c>
      <c r="DY28" s="5">
        <f>_xlfn.XLOOKUP($DZ$3,Tabelle6[Systemtemperatur bei Norm-Wärmeleistungsbestimmung],Tabelle6[Rücklauf],0,0,1)</f>
        <v>45</v>
      </c>
      <c r="DZ28" s="5">
        <f>_xlfn.XLOOKUP($DZ$3,Tabelle6[Systemtemperatur bei Norm-Wärmeleistungsbestimmung],Tabelle6[Norm Innentemperatur],0,0,1)</f>
        <v>20</v>
      </c>
      <c r="EA28" s="147">
        <f>((Tabelle3[[#This Row],[Norm Vorlauftemperatur]]-Tabelle3[[#This Row],[Norm Rücklauftemperatur]])/LN((Tabelle3[[#This Row],[Norm Vorlauftemperatur]]-Tabelle3[[#This Row],[Norm Innentemperatur]])/(Tabelle3[[#This Row],[Norm Rücklauftemperatur]]-Tabelle3[[#This Row],[Norm Innentemperatur]])))</f>
        <v>29.720134119884619</v>
      </c>
      <c r="EB28" s="5">
        <f>_xlfn.XLOOKUP(Heizflächen!I32,Tabelle2[Typ],Tabelle2[Heizkörperexponent],0,1,1)</f>
        <v>0</v>
      </c>
      <c r="EC28" s="148">
        <f>Heizflächen!K32</f>
        <v>0</v>
      </c>
      <c r="ED28" s="5">
        <f>IF(Tabelle3[[#This Row],[Heizkörper in Nische?]]="Nein",1,_xlfn.XLOOKUP(Heizflächen!L32, Tabelle8[Höhe über HK],Tabelle8[Abminderungsfaktor],1,0,1))</f>
        <v>1</v>
      </c>
      <c r="EE28" s="5">
        <f>(DW28/EA28)^Tabelle3[[#This Row],[Heizkörperexponent n]]</f>
        <v>1</v>
      </c>
      <c r="EF28" s="5" cm="1">
        <f t="array" ref="EF28">_xlfn.XLOOKUP(Heizflächen!J32&amp;Heizflächen!M32&amp;Heizflächen!N32&amp;Heizflächen!O32&amp;Heizflächen!P32&amp;Heizflächen!Q32,Tabelle4[Typ]&amp;Tabelle4[Breite '[mm']]&amp;Tabelle4[Höhe '[mm']]&amp;Tabelle4[Bauhöhe Radiator '[mm']]&amp;Tabelle4[Nabenabstand Radiator '[mm']]&amp;Tabelle4[Bautiefe Radiator '[mm']],Tabelle4[Wärmeleistung (Radiatoren je Glied) '[W']],,-1,1)</f>
        <v>0</v>
      </c>
      <c r="EG28" s="5">
        <f>Heizflächen!R32</f>
        <v>0</v>
      </c>
      <c r="EH28" s="150">
        <f>IF(AND(Tabelle3[[#This Row],[Gliederanzahl]]&gt;0,Heizflächen!J32="Radiator"),Tabelle3[[#This Row],[Norm Heizleistung QNorm]]*Tabelle3[[#This Row],[f = (Δθm1/Δθm2)^n]]*Tabelle3[[#This Row],[Abminderungsfaktor]]*Tabelle3[[#This Row],[Gliederanzahl]],Tabelle3[[#This Row],[Abminderungsfaktor]]*Tabelle3[[#This Row],[f = (Δθm1/Δθm2)^n]]*Tabelle3[[#This Row],[Norm Heizleistung QNorm]])</f>
        <v>0</v>
      </c>
      <c r="EM28" s="2">
        <f>Heizflächen!C32</f>
        <v>0</v>
      </c>
      <c r="EN28" s="2">
        <f>Heizflächen!D32</f>
        <v>0</v>
      </c>
      <c r="EO28" s="2">
        <f>1-(Heizflächen!S32/0.075)</f>
        <v>1</v>
      </c>
      <c r="EP28" s="2">
        <f>100*(0.045-Heizflächen!T32)</f>
        <v>4.5</v>
      </c>
      <c r="EQ28" s="2">
        <f>250*(Heizflächen!U32-0.02)</f>
        <v>-5</v>
      </c>
      <c r="ER28" s="2">
        <f>_xlfn.XLOOKUP(Tabelle14[[#This Row],[Wärmedurchlasswiderstand Bodenbelag]],Tabelle17[Wärmedurchlasswiderstand Rλ,B in '[m²K/W']],Tabelle17[aT],0,-1,1)</f>
        <v>1.23</v>
      </c>
      <c r="ES28" s="2" cm="1">
        <f t="array" ref="ES28">_xlfn.XLOOKUP(Heizflächen!S32&amp;Tabelle14[[#This Row],[Wärmedurchlasswiderstand Bodenbelag]],Tabelle18[T]&amp;Tabelle18[Rλ,B in '[m²K/W']],Tabelle18[au],0,-1,1)</f>
        <v>0</v>
      </c>
      <c r="ET28" s="2" cm="1">
        <f t="array" ref="ET28">_xlfn.XLOOKUP(Heizflächen!S32&amp;Tabelle14[[#This Row],[Wärmedurchlasswiderstand Bodenbelag]],Tabelle19[T]&amp;Tabelle19[Rλ,B in '[m²K/W']],Tabelle19[aD],0,-1,1)</f>
        <v>0</v>
      </c>
      <c r="EU28" s="5">
        <f>_xlfn.XLOOKUP(Heizflächen!$U$64,Tabelle5[Auswählbare Vor-und Rücklauftemperaturen],Tabelle5[Vorlauf],0,0,1)</f>
        <v>35</v>
      </c>
      <c r="EV28" s="5">
        <f>_xlfn.XLOOKUP(Heizflächen!$U$64,Tabelle5[Auswählbare Vor-und Rücklauftemperaturen],Tabelle5[Rücklauf],0,0,1)</f>
        <v>30</v>
      </c>
      <c r="EW28" s="77">
        <f>((Tabelle14[[#This Row],[gewünschte Vorlauftemperatur]]-Tabelle14[[#This Row],[gewünschte Rücklauftemperatur]])/LN((Tabelle14[[#This Row],[gewünschte Vorlauftemperatur]]-Heizflächen!G32)/(Tabelle14[[#This Row],[gewünschte Rücklauftemperatur]]-Heizflächen!G32)))</f>
        <v>32.435795973154399</v>
      </c>
      <c r="EX28" s="2">
        <f>_xlfn.XLOOKUP(Heizflächen!V32,Tabelle13[Bodenbelagsmaterial],Tabelle13[Wärmedurchlasswiderstand Rλ,B in '[m²K/W']],0,0,1)</f>
        <v>0</v>
      </c>
      <c r="EY28" s="163">
        <f>((1/10.8)+(0.045/1))/((1/10.8)+(0.045/1.4)+Tabelle14[[#This Row],[Wärmedurchlasswiderstand Bodenbelag]])</f>
        <v>1.1030752916224815</v>
      </c>
      <c r="EZ28" s="2">
        <v>6.7</v>
      </c>
      <c r="FA28" s="164" t="e">
        <f>Tabelle14[[#This Row],[B '[W/(m²K)']]]*Tabelle14[[#This Row],[aB]]*(Tabelle14[[#This Row],[aT]]^Tabelle14[[#This Row],[mT]])*(Tabelle14[[#This Row],[au]]^Tabelle14[[#This Row],[mu]])*(Tabelle14[[#This Row],[aD]]^Tabelle14[[#This Row],[mD]])*Tabelle14[[#This Row],[gewünschte Übertemperatur Δθm]]</f>
        <v>#DIV/0!</v>
      </c>
      <c r="FB28" s="2">
        <f>IFERROR(Tabelle14[[#This Row],[q '[W/m²']]]*(Heizflächen!E32-Heizflächen!F32),0)</f>
        <v>0</v>
      </c>
      <c r="FC28" s="2">
        <f>Heizflächen!H32</f>
        <v>21</v>
      </c>
      <c r="FI28" s="2">
        <v>22</v>
      </c>
    </row>
    <row r="29" spans="2:165">
      <c r="B29" s="1774" t="s">
        <v>548</v>
      </c>
      <c r="C29" s="1775"/>
      <c r="D29" s="36">
        <f>Allgemein!$L$46</f>
        <v>0</v>
      </c>
      <c r="E29" s="36">
        <f>IF(E25=Allgemein!$L$50+2,(Allgemein!$L$46-Allgemein!$L$54)-D33,D38)</f>
        <v>0</v>
      </c>
      <c r="F29" s="36">
        <f>IF(F25=Allgemein!$L$50+2,(Allgemein!$L$46-Allgemein!$L$54)-E33,E38)</f>
        <v>0</v>
      </c>
      <c r="G29" s="36">
        <f>IF(G25=Allgemein!$L$50+2,(Allgemein!$L$46-Allgemein!$L$54)-F33,F38)</f>
        <v>0</v>
      </c>
      <c r="H29" s="36">
        <f>IF(H25=Allgemein!$L$50+2,(Allgemein!$L$46-Allgemein!$L$54)-G33,G38)</f>
        <v>0</v>
      </c>
      <c r="I29" s="36">
        <f>IF(I25=Allgemein!$L$50+2,(Allgemein!$L$46-Allgemein!$L$54)-H33,H38)</f>
        <v>0</v>
      </c>
      <c r="J29" s="36">
        <f>IF(J25=Allgemein!$L$50+2,(Allgemein!$L$46-Allgemein!$L$54)-I33,I38)</f>
        <v>0</v>
      </c>
      <c r="K29" s="36">
        <f>IF(K25=Allgemein!$L$50+2,(Allgemein!$L$46-Allgemein!$L$54)-J33,J38)</f>
        <v>0</v>
      </c>
      <c r="L29" s="36">
        <f>IF(L25=Allgemein!$L$50+2,(Allgemein!$L$46-Allgemein!$L$54)-K33,K38)</f>
        <v>0</v>
      </c>
      <c r="M29" s="36">
        <f>IF(M25=Allgemein!$L$50+2,(Allgemein!$L$46-Allgemein!$L$54)-L33,L38)</f>
        <v>0</v>
      </c>
      <c r="N29" s="36">
        <f>IF(N25=Allgemein!$L$50+2,(Allgemein!$L$46-Allgemein!$L$54)-M33,M38)</f>
        <v>0</v>
      </c>
      <c r="O29" s="36">
        <f>IF(O25=Allgemein!$L$50+2,(Allgemein!$L$46-Allgemein!$L$54)-N33,N38)</f>
        <v>0</v>
      </c>
      <c r="P29" s="36">
        <f>IF(P25=Allgemein!$L$50+2,(Allgemein!$L$46-Allgemein!$L$54)-O33,O38)</f>
        <v>0</v>
      </c>
      <c r="Q29" s="36">
        <f>IF(Q25=Allgemein!$L$50+2,(Allgemein!$L$46-Allgemein!$L$54)-P33,P38)</f>
        <v>0</v>
      </c>
      <c r="R29" s="36">
        <f>IF(R25=Allgemein!$L$50+2,(Allgemein!$L$46-Allgemein!$L$54)-Q33,Q38)</f>
        <v>0</v>
      </c>
      <c r="S29" s="36">
        <f>IF(S25=Allgemein!$L$50+2,(Allgemein!$L$46-Allgemein!$L$54)-R33,R38)</f>
        <v>0</v>
      </c>
      <c r="T29" s="36">
        <f>IF(T25=Allgemein!$L$50+2,(Allgemein!$L$46-Allgemein!$L$54)-S33,S38)</f>
        <v>0</v>
      </c>
      <c r="U29" s="36">
        <f>IF(U25=Allgemein!$L$50+2,(Allgemein!$L$46-Allgemein!$L$54)-T33,T38)</f>
        <v>0</v>
      </c>
      <c r="V29" s="36">
        <f>IF(V25=Allgemein!$L$50+2,(Allgemein!$L$46-Allgemein!$L$54)-U33,U38)</f>
        <v>0</v>
      </c>
      <c r="W29" s="36">
        <f>IF(W25=Allgemein!$L$50+2,(Allgemein!$L$46-Allgemein!$L$54)-V33,V38)</f>
        <v>0</v>
      </c>
      <c r="X29" s="36">
        <f>IF(X25=Allgemein!$L$50+2,(Allgemein!$L$46-Allgemein!$L$54)-W33,W38)</f>
        <v>0</v>
      </c>
      <c r="Y29" s="36">
        <f>IF(Y25=Allgemein!$L$50+2,(Allgemein!$L$46-Allgemein!$L$54)-X33,X38)</f>
        <v>0</v>
      </c>
      <c r="Z29" s="36">
        <f>IF(Z25=Allgemein!$L$50+2,(Allgemein!$L$46-Allgemein!$L$54)-Y33,Y38)</f>
        <v>0</v>
      </c>
      <c r="AA29" s="36">
        <f>IF(AA25=Allgemein!$L$50+2,(Allgemein!$L$46-Allgemein!$L$54)-Z33,Z38)</f>
        <v>0</v>
      </c>
      <c r="AB29" s="36">
        <f>IF(AB25=Allgemein!$L$50+2,(Allgemein!$L$46-Allgemein!$L$54)-AA33,AA38)</f>
        <v>0</v>
      </c>
      <c r="AC29" s="36">
        <f>IF(AC25=Allgemein!$L$50+2,(Allgemein!$L$46-Allgemein!$L$54)-AB33,AB38)</f>
        <v>0</v>
      </c>
      <c r="AD29" s="36">
        <f>IF(AD25=Allgemein!$L$50+2,(Allgemein!$L$46-Allgemein!$L$54)-AC33,AC38)</f>
        <v>0</v>
      </c>
      <c r="AE29" s="36">
        <f>IF(AE25=Allgemein!$L$50+2,(Allgemein!$L$46-Allgemein!$L$54)-AD33,AD38)</f>
        <v>0</v>
      </c>
      <c r="AF29" s="36">
        <f>IF(AF25=Allgemein!$L$50+2,(Allgemein!$L$46-Allgemein!$L$54)-AE33,AE38)</f>
        <v>0</v>
      </c>
      <c r="AG29" s="36">
        <f>IF(AG25=Allgemein!$L$50+2,(Allgemein!$L$46-Allgemein!$L$54)-AF33,AF38)</f>
        <v>0</v>
      </c>
      <c r="AH29" s="36">
        <f>IF(AH25=Allgemein!$L$50+2,(Allgemein!$L$46-Allgemein!$L$54)-AG33,AG38)</f>
        <v>0</v>
      </c>
      <c r="BH29" s="2" t="s">
        <v>434</v>
      </c>
      <c r="BI29" s="2">
        <v>1100</v>
      </c>
      <c r="BJ29" s="2">
        <v>400</v>
      </c>
      <c r="BN29" s="2">
        <v>1016</v>
      </c>
      <c r="BR29" s="2">
        <v>80</v>
      </c>
      <c r="BS29" s="2">
        <v>0.9365</v>
      </c>
      <c r="CU29" s="2">
        <v>0.09</v>
      </c>
      <c r="DF29" s="2">
        <v>0.3</v>
      </c>
      <c r="DG29" s="2">
        <v>0</v>
      </c>
      <c r="DH29" s="2">
        <v>1.0395000000000001</v>
      </c>
      <c r="DQ29" s="2">
        <f>Heizflächen!C33</f>
        <v>0</v>
      </c>
      <c r="DR29" s="5">
        <f>Heizflächen!D33</f>
        <v>0</v>
      </c>
      <c r="DS29" s="5">
        <f>Heizflächen!H33</f>
        <v>22</v>
      </c>
      <c r="DT29" s="5">
        <f>Heizflächen!G33</f>
        <v>0</v>
      </c>
      <c r="DU29" s="5">
        <f>_xlfn.XLOOKUP(Heizflächen!$U$64,Tabelle5[Auswählbare Vor-und Rücklauftemperaturen],Tabelle5[Vorlauf],0,0,1)</f>
        <v>35</v>
      </c>
      <c r="DV29" s="5">
        <f>_xlfn.XLOOKUP(Heizflächen!$U$64,Tabelle5[Auswählbare Vor-und Rücklauftemperaturen],Tabelle5[Rücklauf],0,0,1)</f>
        <v>30</v>
      </c>
      <c r="DW29"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29" s="5">
        <f>_xlfn.XLOOKUP($DZ$3,Tabelle6[Systemtemperatur bei Norm-Wärmeleistungsbestimmung],Tabelle6[Vorlauf],0,0,1)</f>
        <v>55</v>
      </c>
      <c r="DY29" s="5">
        <f>_xlfn.XLOOKUP($DZ$3,Tabelle6[Systemtemperatur bei Norm-Wärmeleistungsbestimmung],Tabelle6[Rücklauf],0,0,1)</f>
        <v>45</v>
      </c>
      <c r="DZ29" s="5">
        <f>_xlfn.XLOOKUP($DZ$3,Tabelle6[Systemtemperatur bei Norm-Wärmeleistungsbestimmung],Tabelle6[Norm Innentemperatur],0,0,1)</f>
        <v>20</v>
      </c>
      <c r="EA29" s="147">
        <f>((Tabelle3[[#This Row],[Norm Vorlauftemperatur]]-Tabelle3[[#This Row],[Norm Rücklauftemperatur]])/LN((Tabelle3[[#This Row],[Norm Vorlauftemperatur]]-Tabelle3[[#This Row],[Norm Innentemperatur]])/(Tabelle3[[#This Row],[Norm Rücklauftemperatur]]-Tabelle3[[#This Row],[Norm Innentemperatur]])))</f>
        <v>29.720134119884619</v>
      </c>
      <c r="EB29" s="5">
        <f>_xlfn.XLOOKUP(Heizflächen!I33,Tabelle2[Typ],Tabelle2[Heizkörperexponent],0,1,1)</f>
        <v>0</v>
      </c>
      <c r="EC29" s="148">
        <f>Heizflächen!K33</f>
        <v>0</v>
      </c>
      <c r="ED29" s="5">
        <f>IF(Tabelle3[[#This Row],[Heizkörper in Nische?]]="Nein",1,_xlfn.XLOOKUP(Heizflächen!L33, Tabelle8[Höhe über HK],Tabelle8[Abminderungsfaktor],1,0,1))</f>
        <v>1</v>
      </c>
      <c r="EE29" s="5">
        <f>(DW29/EA29)^Tabelle3[[#This Row],[Heizkörperexponent n]]</f>
        <v>1</v>
      </c>
      <c r="EF29" s="5" cm="1">
        <f t="array" ref="EF29">_xlfn.XLOOKUP(Heizflächen!J33&amp;Heizflächen!M33&amp;Heizflächen!N33&amp;Heizflächen!O33&amp;Heizflächen!P33&amp;Heizflächen!Q33,Tabelle4[Typ]&amp;Tabelle4[Breite '[mm']]&amp;Tabelle4[Höhe '[mm']]&amp;Tabelle4[Bauhöhe Radiator '[mm']]&amp;Tabelle4[Nabenabstand Radiator '[mm']]&amp;Tabelle4[Bautiefe Radiator '[mm']],Tabelle4[Wärmeleistung (Radiatoren je Glied) '[W']],,-1,1)</f>
        <v>0</v>
      </c>
      <c r="EG29" s="5">
        <f>Heizflächen!R33</f>
        <v>0</v>
      </c>
      <c r="EH29" s="150">
        <f>IF(AND(Tabelle3[[#This Row],[Gliederanzahl]]&gt;0,Heizflächen!J33="Radiator"),Tabelle3[[#This Row],[Norm Heizleistung QNorm]]*Tabelle3[[#This Row],[f = (Δθm1/Δθm2)^n]]*Tabelle3[[#This Row],[Abminderungsfaktor]]*Tabelle3[[#This Row],[Gliederanzahl]],Tabelle3[[#This Row],[Abminderungsfaktor]]*Tabelle3[[#This Row],[f = (Δθm1/Δθm2)^n]]*Tabelle3[[#This Row],[Norm Heizleistung QNorm]])</f>
        <v>0</v>
      </c>
      <c r="EM29" s="2">
        <f>Heizflächen!C33</f>
        <v>0</v>
      </c>
      <c r="EN29" s="2">
        <f>Heizflächen!D33</f>
        <v>0</v>
      </c>
      <c r="EO29" s="2">
        <f>1-(Heizflächen!S33/0.075)</f>
        <v>1</v>
      </c>
      <c r="EP29" s="2">
        <f>100*(0.045-Heizflächen!T33)</f>
        <v>4.5</v>
      </c>
      <c r="EQ29" s="2">
        <f>250*(Heizflächen!U33-0.02)</f>
        <v>-5</v>
      </c>
      <c r="ER29" s="2">
        <f>_xlfn.XLOOKUP(Tabelle14[[#This Row],[Wärmedurchlasswiderstand Bodenbelag]],Tabelle17[Wärmedurchlasswiderstand Rλ,B in '[m²K/W']],Tabelle17[aT],0,-1,1)</f>
        <v>1.23</v>
      </c>
      <c r="ES29" s="2" cm="1">
        <f t="array" ref="ES29">_xlfn.XLOOKUP(Heizflächen!S33&amp;Tabelle14[[#This Row],[Wärmedurchlasswiderstand Bodenbelag]],Tabelle18[T]&amp;Tabelle18[Rλ,B in '[m²K/W']],Tabelle18[au],0,-1,1)</f>
        <v>0</v>
      </c>
      <c r="ET29" s="2" cm="1">
        <f t="array" ref="ET29">_xlfn.XLOOKUP(Heizflächen!S33&amp;Tabelle14[[#This Row],[Wärmedurchlasswiderstand Bodenbelag]],Tabelle19[T]&amp;Tabelle19[Rλ,B in '[m²K/W']],Tabelle19[aD],0,-1,1)</f>
        <v>0</v>
      </c>
      <c r="EU29" s="5">
        <f>_xlfn.XLOOKUP(Heizflächen!$U$64,Tabelle5[Auswählbare Vor-und Rücklauftemperaturen],Tabelle5[Vorlauf],0,0,1)</f>
        <v>35</v>
      </c>
      <c r="EV29" s="5">
        <f>_xlfn.XLOOKUP(Heizflächen!$U$64,Tabelle5[Auswählbare Vor-und Rücklauftemperaturen],Tabelle5[Rücklauf],0,0,1)</f>
        <v>30</v>
      </c>
      <c r="EW29" s="77">
        <f>((Tabelle14[[#This Row],[gewünschte Vorlauftemperatur]]-Tabelle14[[#This Row],[gewünschte Rücklauftemperatur]])/LN((Tabelle14[[#This Row],[gewünschte Vorlauftemperatur]]-Heizflächen!G33)/(Tabelle14[[#This Row],[gewünschte Rücklauftemperatur]]-Heizflächen!G33)))</f>
        <v>32.435795973154399</v>
      </c>
      <c r="EX29" s="2">
        <f>_xlfn.XLOOKUP(Heizflächen!V33,Tabelle13[Bodenbelagsmaterial],Tabelle13[Wärmedurchlasswiderstand Rλ,B in '[m²K/W']],0,0,1)</f>
        <v>0</v>
      </c>
      <c r="EY29" s="163">
        <f>((1/10.8)+(0.045/1))/((1/10.8)+(0.045/1.4)+Tabelle14[[#This Row],[Wärmedurchlasswiderstand Bodenbelag]])</f>
        <v>1.1030752916224815</v>
      </c>
      <c r="EZ29" s="2">
        <v>6.7</v>
      </c>
      <c r="FA29" s="164" t="e">
        <f>Tabelle14[[#This Row],[B '[W/(m²K)']]]*Tabelle14[[#This Row],[aB]]*(Tabelle14[[#This Row],[aT]]^Tabelle14[[#This Row],[mT]])*(Tabelle14[[#This Row],[au]]^Tabelle14[[#This Row],[mu]])*(Tabelle14[[#This Row],[aD]]^Tabelle14[[#This Row],[mD]])*Tabelle14[[#This Row],[gewünschte Übertemperatur Δθm]]</f>
        <v>#DIV/0!</v>
      </c>
      <c r="FB29" s="2">
        <f>IFERROR(Tabelle14[[#This Row],[q '[W/m²']]]*(Heizflächen!E33-Heizflächen!F33),0)</f>
        <v>0</v>
      </c>
      <c r="FC29" s="2">
        <f>Heizflächen!H33</f>
        <v>22</v>
      </c>
      <c r="FI29" s="2">
        <v>23</v>
      </c>
    </row>
    <row r="30" spans="2:165">
      <c r="B30" s="31" t="s">
        <v>549</v>
      </c>
      <c r="C30" s="32"/>
      <c r="D30" s="36">
        <f>D29*D27</f>
        <v>0</v>
      </c>
      <c r="E30" s="36">
        <f>IF(E29=0,0,E27*E29)</f>
        <v>0</v>
      </c>
      <c r="F30" s="36">
        <f t="shared" ref="F30:AH30" si="2">IF(F29=0,0,F27*F29)</f>
        <v>0</v>
      </c>
      <c r="G30" s="36">
        <f t="shared" si="2"/>
        <v>0</v>
      </c>
      <c r="H30" s="36">
        <f t="shared" si="2"/>
        <v>0</v>
      </c>
      <c r="I30" s="36">
        <f t="shared" si="2"/>
        <v>0</v>
      </c>
      <c r="J30" s="36">
        <f t="shared" si="2"/>
        <v>0</v>
      </c>
      <c r="K30" s="36">
        <f t="shared" si="2"/>
        <v>0</v>
      </c>
      <c r="L30" s="36">
        <f t="shared" si="2"/>
        <v>0</v>
      </c>
      <c r="M30" s="36">
        <f t="shared" si="2"/>
        <v>0</v>
      </c>
      <c r="N30" s="36">
        <f t="shared" si="2"/>
        <v>0</v>
      </c>
      <c r="O30" s="36">
        <f t="shared" si="2"/>
        <v>0</v>
      </c>
      <c r="P30" s="36">
        <f t="shared" si="2"/>
        <v>0</v>
      </c>
      <c r="Q30" s="36">
        <f t="shared" si="2"/>
        <v>0</v>
      </c>
      <c r="R30" s="36">
        <f t="shared" si="2"/>
        <v>0</v>
      </c>
      <c r="S30" s="36">
        <f t="shared" si="2"/>
        <v>0</v>
      </c>
      <c r="T30" s="36">
        <f t="shared" si="2"/>
        <v>0</v>
      </c>
      <c r="U30" s="36">
        <f t="shared" si="2"/>
        <v>0</v>
      </c>
      <c r="V30" s="36">
        <f t="shared" si="2"/>
        <v>0</v>
      </c>
      <c r="W30" s="36">
        <f t="shared" si="2"/>
        <v>0</v>
      </c>
      <c r="X30" s="36">
        <f t="shared" si="2"/>
        <v>0</v>
      </c>
      <c r="Y30" s="36">
        <f t="shared" si="2"/>
        <v>0</v>
      </c>
      <c r="Z30" s="36">
        <f t="shared" si="2"/>
        <v>0</v>
      </c>
      <c r="AA30" s="36">
        <f t="shared" si="2"/>
        <v>0</v>
      </c>
      <c r="AB30" s="36">
        <f t="shared" si="2"/>
        <v>0</v>
      </c>
      <c r="AC30" s="36">
        <f t="shared" si="2"/>
        <v>0</v>
      </c>
      <c r="AD30" s="36">
        <f t="shared" si="2"/>
        <v>0</v>
      </c>
      <c r="AE30" s="36">
        <f t="shared" si="2"/>
        <v>0</v>
      </c>
      <c r="AF30" s="36">
        <f t="shared" si="2"/>
        <v>0</v>
      </c>
      <c r="AG30" s="36">
        <f t="shared" si="2"/>
        <v>0</v>
      </c>
      <c r="AH30" s="36">
        <f t="shared" si="2"/>
        <v>0</v>
      </c>
      <c r="BH30" s="2" t="s">
        <v>434</v>
      </c>
      <c r="BI30" s="2">
        <v>1200</v>
      </c>
      <c r="BJ30" s="2">
        <v>400</v>
      </c>
      <c r="BN30" s="2">
        <v>1108</v>
      </c>
      <c r="BR30" s="2">
        <v>85</v>
      </c>
      <c r="BS30" s="2">
        <v>0.9385</v>
      </c>
      <c r="CP30" s="2">
        <v>0</v>
      </c>
      <c r="CU30" s="2">
        <v>9.5000000000000001E-2</v>
      </c>
      <c r="DF30" s="2">
        <v>0.375</v>
      </c>
      <c r="DG30" s="2">
        <v>0</v>
      </c>
      <c r="DH30" s="2">
        <v>1.03</v>
      </c>
      <c r="DQ30" s="2">
        <f>Heizflächen!C34</f>
        <v>0</v>
      </c>
      <c r="DR30" s="5">
        <f>Heizflächen!D34</f>
        <v>0</v>
      </c>
      <c r="DS30" s="5">
        <f>Heizflächen!H34</f>
        <v>23</v>
      </c>
      <c r="DT30" s="5">
        <f>Heizflächen!G34</f>
        <v>0</v>
      </c>
      <c r="DU30" s="5">
        <f>_xlfn.XLOOKUP(Heizflächen!$U$64,Tabelle5[Auswählbare Vor-und Rücklauftemperaturen],Tabelle5[Vorlauf],0,0,1)</f>
        <v>35</v>
      </c>
      <c r="DV30" s="5">
        <f>_xlfn.XLOOKUP(Heizflächen!$U$64,Tabelle5[Auswählbare Vor-und Rücklauftemperaturen],Tabelle5[Rücklauf],0,0,1)</f>
        <v>30</v>
      </c>
      <c r="DW30"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30" s="5">
        <f>_xlfn.XLOOKUP($DZ$3,Tabelle6[Systemtemperatur bei Norm-Wärmeleistungsbestimmung],Tabelle6[Vorlauf],0,0,1)</f>
        <v>55</v>
      </c>
      <c r="DY30" s="5">
        <f>_xlfn.XLOOKUP($DZ$3,Tabelle6[Systemtemperatur bei Norm-Wärmeleistungsbestimmung],Tabelle6[Rücklauf],0,0,1)</f>
        <v>45</v>
      </c>
      <c r="DZ30" s="5">
        <f>_xlfn.XLOOKUP($DZ$3,Tabelle6[Systemtemperatur bei Norm-Wärmeleistungsbestimmung],Tabelle6[Norm Innentemperatur],0,0,1)</f>
        <v>20</v>
      </c>
      <c r="EA30" s="147">
        <f>((Tabelle3[[#This Row],[Norm Vorlauftemperatur]]-Tabelle3[[#This Row],[Norm Rücklauftemperatur]])/LN((Tabelle3[[#This Row],[Norm Vorlauftemperatur]]-Tabelle3[[#This Row],[Norm Innentemperatur]])/(Tabelle3[[#This Row],[Norm Rücklauftemperatur]]-Tabelle3[[#This Row],[Norm Innentemperatur]])))</f>
        <v>29.720134119884619</v>
      </c>
      <c r="EB30" s="5">
        <f>_xlfn.XLOOKUP(Heizflächen!I34,Tabelle2[Typ],Tabelle2[Heizkörperexponent],0,1,1)</f>
        <v>0</v>
      </c>
      <c r="EC30" s="148">
        <f>Heizflächen!K34</f>
        <v>0</v>
      </c>
      <c r="ED30" s="5">
        <f>IF(Tabelle3[[#This Row],[Heizkörper in Nische?]]="Nein",1,_xlfn.XLOOKUP(Heizflächen!L34, Tabelle8[Höhe über HK],Tabelle8[Abminderungsfaktor],1,0,1))</f>
        <v>1</v>
      </c>
      <c r="EE30" s="5">
        <f>(DW30/EA30)^Tabelle3[[#This Row],[Heizkörperexponent n]]</f>
        <v>1</v>
      </c>
      <c r="EF30" s="5" cm="1">
        <f t="array" ref="EF30">_xlfn.XLOOKUP(Heizflächen!J34&amp;Heizflächen!M34&amp;Heizflächen!N34&amp;Heizflächen!O34&amp;Heizflächen!P34&amp;Heizflächen!Q34,Tabelle4[Typ]&amp;Tabelle4[Breite '[mm']]&amp;Tabelle4[Höhe '[mm']]&amp;Tabelle4[Bauhöhe Radiator '[mm']]&amp;Tabelle4[Nabenabstand Radiator '[mm']]&amp;Tabelle4[Bautiefe Radiator '[mm']],Tabelle4[Wärmeleistung (Radiatoren je Glied) '[W']],,-1,1)</f>
        <v>0</v>
      </c>
      <c r="EG30" s="5">
        <f>Heizflächen!R34</f>
        <v>0</v>
      </c>
      <c r="EH30" s="150">
        <f>IF(AND(Tabelle3[[#This Row],[Gliederanzahl]]&gt;0,Heizflächen!J34="Radiator"),Tabelle3[[#This Row],[Norm Heizleistung QNorm]]*Tabelle3[[#This Row],[f = (Δθm1/Δθm2)^n]]*Tabelle3[[#This Row],[Abminderungsfaktor]]*Tabelle3[[#This Row],[Gliederanzahl]],Tabelle3[[#This Row],[Abminderungsfaktor]]*Tabelle3[[#This Row],[f = (Δθm1/Δθm2)^n]]*Tabelle3[[#This Row],[Norm Heizleistung QNorm]])</f>
        <v>0</v>
      </c>
      <c r="EM30" s="2">
        <f>Heizflächen!C34</f>
        <v>0</v>
      </c>
      <c r="EN30" s="2">
        <f>Heizflächen!D34</f>
        <v>0</v>
      </c>
      <c r="EO30" s="2">
        <f>1-(Heizflächen!S34/0.075)</f>
        <v>1</v>
      </c>
      <c r="EP30" s="2">
        <f>100*(0.045-Heizflächen!T34)</f>
        <v>4.5</v>
      </c>
      <c r="EQ30" s="2">
        <f>250*(Heizflächen!U34-0.02)</f>
        <v>-5</v>
      </c>
      <c r="ER30" s="2">
        <f>_xlfn.XLOOKUP(Tabelle14[[#This Row],[Wärmedurchlasswiderstand Bodenbelag]],Tabelle17[Wärmedurchlasswiderstand Rλ,B in '[m²K/W']],Tabelle17[aT],0,-1,1)</f>
        <v>1.23</v>
      </c>
      <c r="ES30" s="2" cm="1">
        <f t="array" ref="ES30">_xlfn.XLOOKUP(Heizflächen!S34&amp;Tabelle14[[#This Row],[Wärmedurchlasswiderstand Bodenbelag]],Tabelle18[T]&amp;Tabelle18[Rλ,B in '[m²K/W']],Tabelle18[au],0,-1,1)</f>
        <v>0</v>
      </c>
      <c r="ET30" s="2" cm="1">
        <f t="array" ref="ET30">_xlfn.XLOOKUP(Heizflächen!S34&amp;Tabelle14[[#This Row],[Wärmedurchlasswiderstand Bodenbelag]],Tabelle19[T]&amp;Tabelle19[Rλ,B in '[m²K/W']],Tabelle19[aD],0,-1,1)</f>
        <v>0</v>
      </c>
      <c r="EU30" s="5">
        <f>_xlfn.XLOOKUP(Heizflächen!$U$64,Tabelle5[Auswählbare Vor-und Rücklauftemperaturen],Tabelle5[Vorlauf],0,0,1)</f>
        <v>35</v>
      </c>
      <c r="EV30" s="5">
        <f>_xlfn.XLOOKUP(Heizflächen!$U$64,Tabelle5[Auswählbare Vor-und Rücklauftemperaturen],Tabelle5[Rücklauf],0,0,1)</f>
        <v>30</v>
      </c>
      <c r="EW30" s="77">
        <f>((Tabelle14[[#This Row],[gewünschte Vorlauftemperatur]]-Tabelle14[[#This Row],[gewünschte Rücklauftemperatur]])/LN((Tabelle14[[#This Row],[gewünschte Vorlauftemperatur]]-Heizflächen!G34)/(Tabelle14[[#This Row],[gewünschte Rücklauftemperatur]]-Heizflächen!G34)))</f>
        <v>32.435795973154399</v>
      </c>
      <c r="EX30" s="2">
        <f>_xlfn.XLOOKUP(Heizflächen!V34,Tabelle13[Bodenbelagsmaterial],Tabelle13[Wärmedurchlasswiderstand Rλ,B in '[m²K/W']],0,0,1)</f>
        <v>0</v>
      </c>
      <c r="EY30" s="163">
        <f>((1/10.8)+(0.045/1))/((1/10.8)+(0.045/1.4)+Tabelle14[[#This Row],[Wärmedurchlasswiderstand Bodenbelag]])</f>
        <v>1.1030752916224815</v>
      </c>
      <c r="EZ30" s="2">
        <v>6.7</v>
      </c>
      <c r="FA30" s="164" t="e">
        <f>Tabelle14[[#This Row],[B '[W/(m²K)']]]*Tabelle14[[#This Row],[aB]]*(Tabelle14[[#This Row],[aT]]^Tabelle14[[#This Row],[mT]])*(Tabelle14[[#This Row],[au]]^Tabelle14[[#This Row],[mu]])*(Tabelle14[[#This Row],[aD]]^Tabelle14[[#This Row],[mD]])*Tabelle14[[#This Row],[gewünschte Übertemperatur Δθm]]</f>
        <v>#DIV/0!</v>
      </c>
      <c r="FB30" s="2">
        <f>IFERROR(Tabelle14[[#This Row],[q '[W/m²']]]*(Heizflächen!E34-Heizflächen!F34),0)</f>
        <v>0</v>
      </c>
      <c r="FC30" s="2">
        <f>Heizflächen!H34</f>
        <v>23</v>
      </c>
      <c r="FI30" s="2">
        <v>24</v>
      </c>
    </row>
    <row r="31" spans="2:165">
      <c r="B31" s="34"/>
      <c r="C31" s="35"/>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BH31" s="2" t="s">
        <v>434</v>
      </c>
      <c r="BI31" s="2">
        <v>1400</v>
      </c>
      <c r="BJ31" s="2">
        <v>400</v>
      </c>
      <c r="BN31" s="2">
        <v>1293</v>
      </c>
      <c r="BR31" s="2">
        <v>90</v>
      </c>
      <c r="BS31" s="2">
        <v>0.94059999999999999</v>
      </c>
      <c r="CU31" s="2">
        <v>0.1</v>
      </c>
      <c r="DF31" s="2">
        <v>0.05</v>
      </c>
      <c r="DG31" s="2">
        <v>0.05</v>
      </c>
      <c r="DH31" s="2">
        <v>1.056</v>
      </c>
      <c r="DQ31" s="2">
        <f>Heizflächen!C35</f>
        <v>0</v>
      </c>
      <c r="DR31" s="5">
        <f>Heizflächen!D35</f>
        <v>0</v>
      </c>
      <c r="DS31" s="5">
        <f>Heizflächen!H35</f>
        <v>24</v>
      </c>
      <c r="DT31" s="5">
        <f>Heizflächen!G35</f>
        <v>0</v>
      </c>
      <c r="DU31" s="5">
        <f>_xlfn.XLOOKUP(Heizflächen!$U$64,Tabelle5[Auswählbare Vor-und Rücklauftemperaturen],Tabelle5[Vorlauf],0,0,1)</f>
        <v>35</v>
      </c>
      <c r="DV31" s="5">
        <f>_xlfn.XLOOKUP(Heizflächen!$U$64,Tabelle5[Auswählbare Vor-und Rücklauftemperaturen],Tabelle5[Rücklauf],0,0,1)</f>
        <v>30</v>
      </c>
      <c r="DW31"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31" s="5">
        <f>_xlfn.XLOOKUP($DZ$3,Tabelle6[Systemtemperatur bei Norm-Wärmeleistungsbestimmung],Tabelle6[Vorlauf],0,0,1)</f>
        <v>55</v>
      </c>
      <c r="DY31" s="5">
        <f>_xlfn.XLOOKUP($DZ$3,Tabelle6[Systemtemperatur bei Norm-Wärmeleistungsbestimmung],Tabelle6[Rücklauf],0,0,1)</f>
        <v>45</v>
      </c>
      <c r="DZ31" s="5">
        <f>_xlfn.XLOOKUP($DZ$3,Tabelle6[Systemtemperatur bei Norm-Wärmeleistungsbestimmung],Tabelle6[Norm Innentemperatur],0,0,1)</f>
        <v>20</v>
      </c>
      <c r="EA31" s="147">
        <f>((Tabelle3[[#This Row],[Norm Vorlauftemperatur]]-Tabelle3[[#This Row],[Norm Rücklauftemperatur]])/LN((Tabelle3[[#This Row],[Norm Vorlauftemperatur]]-Tabelle3[[#This Row],[Norm Innentemperatur]])/(Tabelle3[[#This Row],[Norm Rücklauftemperatur]]-Tabelle3[[#This Row],[Norm Innentemperatur]])))</f>
        <v>29.720134119884619</v>
      </c>
      <c r="EB31" s="5">
        <f>_xlfn.XLOOKUP(Heizflächen!I35,Tabelle2[Typ],Tabelle2[Heizkörperexponent],0,1,1)</f>
        <v>0</v>
      </c>
      <c r="EC31" s="148">
        <f>Heizflächen!K35</f>
        <v>0</v>
      </c>
      <c r="ED31" s="5">
        <f>IF(Tabelle3[[#This Row],[Heizkörper in Nische?]]="Nein",1,_xlfn.XLOOKUP(Heizflächen!L35, Tabelle8[Höhe über HK],Tabelle8[Abminderungsfaktor],1,0,1))</f>
        <v>1</v>
      </c>
      <c r="EE31" s="5">
        <f>(DW31/EA31)^Tabelle3[[#This Row],[Heizkörperexponent n]]</f>
        <v>1</v>
      </c>
      <c r="EF31" s="5" cm="1">
        <f t="array" ref="EF31">_xlfn.XLOOKUP(Heizflächen!J35&amp;Heizflächen!M35&amp;Heizflächen!N35&amp;Heizflächen!O35&amp;Heizflächen!P35&amp;Heizflächen!Q35,Tabelle4[Typ]&amp;Tabelle4[Breite '[mm']]&amp;Tabelle4[Höhe '[mm']]&amp;Tabelle4[Bauhöhe Radiator '[mm']]&amp;Tabelle4[Nabenabstand Radiator '[mm']]&amp;Tabelle4[Bautiefe Radiator '[mm']],Tabelle4[Wärmeleistung (Radiatoren je Glied) '[W']],,-1,1)</f>
        <v>0</v>
      </c>
      <c r="EG31" s="5">
        <f>Heizflächen!R35</f>
        <v>0</v>
      </c>
      <c r="EH31" s="150">
        <f>IF(AND(Tabelle3[[#This Row],[Gliederanzahl]]&gt;0,Heizflächen!J35="Radiator"),Tabelle3[[#This Row],[Norm Heizleistung QNorm]]*Tabelle3[[#This Row],[f = (Δθm1/Δθm2)^n]]*Tabelle3[[#This Row],[Abminderungsfaktor]]*Tabelle3[[#This Row],[Gliederanzahl]],Tabelle3[[#This Row],[Abminderungsfaktor]]*Tabelle3[[#This Row],[f = (Δθm1/Δθm2)^n]]*Tabelle3[[#This Row],[Norm Heizleistung QNorm]])</f>
        <v>0</v>
      </c>
      <c r="EM31" s="2">
        <f>Heizflächen!C35</f>
        <v>0</v>
      </c>
      <c r="EN31" s="2">
        <f>Heizflächen!D35</f>
        <v>0</v>
      </c>
      <c r="EO31" s="2">
        <f>1-(Heizflächen!S35/0.075)</f>
        <v>1</v>
      </c>
      <c r="EP31" s="2">
        <f>100*(0.045-Heizflächen!T35)</f>
        <v>4.5</v>
      </c>
      <c r="EQ31" s="2">
        <f>250*(Heizflächen!U35-0.02)</f>
        <v>-5</v>
      </c>
      <c r="ER31" s="2">
        <f>_xlfn.XLOOKUP(Tabelle14[[#This Row],[Wärmedurchlasswiderstand Bodenbelag]],Tabelle17[Wärmedurchlasswiderstand Rλ,B in '[m²K/W']],Tabelle17[aT],0,-1,1)</f>
        <v>1.23</v>
      </c>
      <c r="ES31" s="2" cm="1">
        <f t="array" ref="ES31">_xlfn.XLOOKUP(Heizflächen!S35&amp;Tabelle14[[#This Row],[Wärmedurchlasswiderstand Bodenbelag]],Tabelle18[T]&amp;Tabelle18[Rλ,B in '[m²K/W']],Tabelle18[au],0,-1,1)</f>
        <v>0</v>
      </c>
      <c r="ET31" s="2" cm="1">
        <f t="array" ref="ET31">_xlfn.XLOOKUP(Heizflächen!S35&amp;Tabelle14[[#This Row],[Wärmedurchlasswiderstand Bodenbelag]],Tabelle19[T]&amp;Tabelle19[Rλ,B in '[m²K/W']],Tabelle19[aD],0,-1,1)</f>
        <v>0</v>
      </c>
      <c r="EU31" s="5">
        <f>_xlfn.XLOOKUP(Heizflächen!$U$64,Tabelle5[Auswählbare Vor-und Rücklauftemperaturen],Tabelle5[Vorlauf],0,0,1)</f>
        <v>35</v>
      </c>
      <c r="EV31" s="5">
        <f>_xlfn.XLOOKUP(Heizflächen!$U$64,Tabelle5[Auswählbare Vor-und Rücklauftemperaturen],Tabelle5[Rücklauf],0,0,1)</f>
        <v>30</v>
      </c>
      <c r="EW31" s="77">
        <f>((Tabelle14[[#This Row],[gewünschte Vorlauftemperatur]]-Tabelle14[[#This Row],[gewünschte Rücklauftemperatur]])/LN((Tabelle14[[#This Row],[gewünschte Vorlauftemperatur]]-Heizflächen!G35)/(Tabelle14[[#This Row],[gewünschte Rücklauftemperatur]]-Heizflächen!G35)))</f>
        <v>32.435795973154399</v>
      </c>
      <c r="EX31" s="2">
        <f>_xlfn.XLOOKUP(Heizflächen!V35,Tabelle13[Bodenbelagsmaterial],Tabelle13[Wärmedurchlasswiderstand Rλ,B in '[m²K/W']],0,0,1)</f>
        <v>0</v>
      </c>
      <c r="EY31" s="163">
        <f>((1/10.8)+(0.045/1))/((1/10.8)+(0.045/1.4)+Tabelle14[[#This Row],[Wärmedurchlasswiderstand Bodenbelag]])</f>
        <v>1.1030752916224815</v>
      </c>
      <c r="EZ31" s="2">
        <v>6.7</v>
      </c>
      <c r="FA31" s="164" t="e">
        <f>Tabelle14[[#This Row],[B '[W/(m²K)']]]*Tabelle14[[#This Row],[aB]]*(Tabelle14[[#This Row],[aT]]^Tabelle14[[#This Row],[mT]])*(Tabelle14[[#This Row],[au]]^Tabelle14[[#This Row],[mu]])*(Tabelle14[[#This Row],[aD]]^Tabelle14[[#This Row],[mD]])*Tabelle14[[#This Row],[gewünschte Übertemperatur Δθm]]</f>
        <v>#DIV/0!</v>
      </c>
      <c r="FB31" s="2">
        <f>IFERROR(Tabelle14[[#This Row],[q '[W/m²']]]*(Heizflächen!E35-Heizflächen!F35),0)</f>
        <v>0</v>
      </c>
      <c r="FC31" s="2">
        <f>Heizflächen!H35</f>
        <v>24</v>
      </c>
      <c r="FI31" s="2">
        <v>25</v>
      </c>
    </row>
    <row r="32" spans="2:165">
      <c r="B32" s="31" t="s">
        <v>550</v>
      </c>
      <c r="C32" s="32"/>
      <c r="D32" s="36"/>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BH32" s="2" t="s">
        <v>434</v>
      </c>
      <c r="BI32" s="2">
        <v>1600</v>
      </c>
      <c r="BJ32" s="2">
        <v>400</v>
      </c>
      <c r="BN32" s="2">
        <v>1478</v>
      </c>
      <c r="BR32" s="2">
        <v>95</v>
      </c>
      <c r="BS32" s="2">
        <v>0.94469999999999998</v>
      </c>
      <c r="DF32" s="2">
        <v>7.4999999999999997E-2</v>
      </c>
      <c r="DG32" s="2">
        <v>0.05</v>
      </c>
      <c r="DH32" s="2">
        <v>1.0529999999999999</v>
      </c>
      <c r="DQ32" s="2">
        <f>Heizflächen!C36</f>
        <v>0</v>
      </c>
      <c r="DR32" s="5">
        <f>Heizflächen!D36</f>
        <v>0</v>
      </c>
      <c r="DS32" s="5">
        <f>Heizflächen!H36</f>
        <v>25</v>
      </c>
      <c r="DT32" s="5">
        <f>Heizflächen!G36</f>
        <v>0</v>
      </c>
      <c r="DU32" s="5">
        <f>_xlfn.XLOOKUP(Heizflächen!$U$64,Tabelle5[Auswählbare Vor-und Rücklauftemperaturen],Tabelle5[Vorlauf],0,0,1)</f>
        <v>35</v>
      </c>
      <c r="DV32" s="5">
        <f>_xlfn.XLOOKUP(Heizflächen!$U$64,Tabelle5[Auswählbare Vor-und Rücklauftemperaturen],Tabelle5[Rücklauf],0,0,1)</f>
        <v>30</v>
      </c>
      <c r="DW32"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32" s="5">
        <f>_xlfn.XLOOKUP($DZ$3,Tabelle6[Systemtemperatur bei Norm-Wärmeleistungsbestimmung],Tabelle6[Vorlauf],0,0,1)</f>
        <v>55</v>
      </c>
      <c r="DY32" s="5">
        <f>_xlfn.XLOOKUP($DZ$3,Tabelle6[Systemtemperatur bei Norm-Wärmeleistungsbestimmung],Tabelle6[Rücklauf],0,0,1)</f>
        <v>45</v>
      </c>
      <c r="DZ32" s="5">
        <f>_xlfn.XLOOKUP($DZ$3,Tabelle6[Systemtemperatur bei Norm-Wärmeleistungsbestimmung],Tabelle6[Norm Innentemperatur],0,0,1)</f>
        <v>20</v>
      </c>
      <c r="EA32" s="147">
        <f>((Tabelle3[[#This Row],[Norm Vorlauftemperatur]]-Tabelle3[[#This Row],[Norm Rücklauftemperatur]])/LN((Tabelle3[[#This Row],[Norm Vorlauftemperatur]]-Tabelle3[[#This Row],[Norm Innentemperatur]])/(Tabelle3[[#This Row],[Norm Rücklauftemperatur]]-Tabelle3[[#This Row],[Norm Innentemperatur]])))</f>
        <v>29.720134119884619</v>
      </c>
      <c r="EB32" s="5">
        <f>_xlfn.XLOOKUP(Heizflächen!I36,Tabelle2[Typ],Tabelle2[Heizkörperexponent],0,1,1)</f>
        <v>0</v>
      </c>
      <c r="EC32" s="148">
        <f>Heizflächen!K36</f>
        <v>0</v>
      </c>
      <c r="ED32" s="5">
        <f>IF(Tabelle3[[#This Row],[Heizkörper in Nische?]]="Nein",1,_xlfn.XLOOKUP(Heizflächen!L36, Tabelle8[Höhe über HK],Tabelle8[Abminderungsfaktor],1,0,1))</f>
        <v>1</v>
      </c>
      <c r="EE32" s="5">
        <f>(DW32/EA32)^Tabelle3[[#This Row],[Heizkörperexponent n]]</f>
        <v>1</v>
      </c>
      <c r="EF32" s="5" cm="1">
        <f t="array" ref="EF32">_xlfn.XLOOKUP(Heizflächen!J36&amp;Heizflächen!M36&amp;Heizflächen!N36&amp;Heizflächen!O36&amp;Heizflächen!P36&amp;Heizflächen!Q36,Tabelle4[Typ]&amp;Tabelle4[Breite '[mm']]&amp;Tabelle4[Höhe '[mm']]&amp;Tabelle4[Bauhöhe Radiator '[mm']]&amp;Tabelle4[Nabenabstand Radiator '[mm']]&amp;Tabelle4[Bautiefe Radiator '[mm']],Tabelle4[Wärmeleistung (Radiatoren je Glied) '[W']],,-1,1)</f>
        <v>0</v>
      </c>
      <c r="EG32" s="5">
        <f>Heizflächen!R36</f>
        <v>0</v>
      </c>
      <c r="EH32" s="150">
        <f>IF(AND(Tabelle3[[#This Row],[Gliederanzahl]]&gt;0,Heizflächen!J36="Radiator"),Tabelle3[[#This Row],[Norm Heizleistung QNorm]]*Tabelle3[[#This Row],[f = (Δθm1/Δθm2)^n]]*Tabelle3[[#This Row],[Abminderungsfaktor]]*Tabelle3[[#This Row],[Gliederanzahl]],Tabelle3[[#This Row],[Abminderungsfaktor]]*Tabelle3[[#This Row],[f = (Δθm1/Δθm2)^n]]*Tabelle3[[#This Row],[Norm Heizleistung QNorm]])</f>
        <v>0</v>
      </c>
      <c r="EM32" s="2">
        <f>Heizflächen!C36</f>
        <v>0</v>
      </c>
      <c r="EN32" s="2">
        <f>Heizflächen!D36</f>
        <v>0</v>
      </c>
      <c r="EO32" s="2">
        <f>1-(Heizflächen!S36/0.075)</f>
        <v>1</v>
      </c>
      <c r="EP32" s="2">
        <f>100*(0.045-Heizflächen!T36)</f>
        <v>4.5</v>
      </c>
      <c r="EQ32" s="2">
        <f>250*(Heizflächen!U36-0.02)</f>
        <v>-5</v>
      </c>
      <c r="ER32" s="2">
        <f>_xlfn.XLOOKUP(Tabelle14[[#This Row],[Wärmedurchlasswiderstand Bodenbelag]],Tabelle17[Wärmedurchlasswiderstand Rλ,B in '[m²K/W']],Tabelle17[aT],0,-1,1)</f>
        <v>1.23</v>
      </c>
      <c r="ES32" s="2" cm="1">
        <f t="array" ref="ES32">_xlfn.XLOOKUP(Heizflächen!S36&amp;Tabelle14[[#This Row],[Wärmedurchlasswiderstand Bodenbelag]],Tabelle18[T]&amp;Tabelle18[Rλ,B in '[m²K/W']],Tabelle18[au],0,-1,1)</f>
        <v>0</v>
      </c>
      <c r="ET32" s="2" cm="1">
        <f t="array" ref="ET32">_xlfn.XLOOKUP(Heizflächen!S36&amp;Tabelle14[[#This Row],[Wärmedurchlasswiderstand Bodenbelag]],Tabelle19[T]&amp;Tabelle19[Rλ,B in '[m²K/W']],Tabelle19[aD],0,-1,1)</f>
        <v>0</v>
      </c>
      <c r="EU32" s="5">
        <f>_xlfn.XLOOKUP(Heizflächen!$U$64,Tabelle5[Auswählbare Vor-und Rücklauftemperaturen],Tabelle5[Vorlauf],0,0,1)</f>
        <v>35</v>
      </c>
      <c r="EV32" s="5">
        <f>_xlfn.XLOOKUP(Heizflächen!$U$64,Tabelle5[Auswählbare Vor-und Rücklauftemperaturen],Tabelle5[Rücklauf],0,0,1)</f>
        <v>30</v>
      </c>
      <c r="EW32" s="77">
        <f>((Tabelle14[[#This Row],[gewünschte Vorlauftemperatur]]-Tabelle14[[#This Row],[gewünschte Rücklauftemperatur]])/LN((Tabelle14[[#This Row],[gewünschte Vorlauftemperatur]]-Heizflächen!G36)/(Tabelle14[[#This Row],[gewünschte Rücklauftemperatur]]-Heizflächen!G36)))</f>
        <v>32.435795973154399</v>
      </c>
      <c r="EX32" s="2">
        <f>_xlfn.XLOOKUP(Heizflächen!V36,Tabelle13[Bodenbelagsmaterial],Tabelle13[Wärmedurchlasswiderstand Rλ,B in '[m²K/W']],0,0,1)</f>
        <v>0</v>
      </c>
      <c r="EY32" s="163">
        <f>((1/10.8)+(0.045/1))/((1/10.8)+(0.045/1.4)+Tabelle14[[#This Row],[Wärmedurchlasswiderstand Bodenbelag]])</f>
        <v>1.1030752916224815</v>
      </c>
      <c r="EZ32" s="2">
        <v>6.7</v>
      </c>
      <c r="FA32" s="164" t="e">
        <f>Tabelle14[[#This Row],[B '[W/(m²K)']]]*Tabelle14[[#This Row],[aB]]*(Tabelle14[[#This Row],[aT]]^Tabelle14[[#This Row],[mT]])*(Tabelle14[[#This Row],[au]]^Tabelle14[[#This Row],[mu]])*(Tabelle14[[#This Row],[aD]]^Tabelle14[[#This Row],[mD]])*Tabelle14[[#This Row],[gewünschte Übertemperatur Δθm]]</f>
        <v>#DIV/0!</v>
      </c>
      <c r="FB32" s="2">
        <f>IFERROR(Tabelle14[[#This Row],[q '[W/m²']]]*(Heizflächen!E36-Heizflächen!F36),0)</f>
        <v>0</v>
      </c>
      <c r="FC32" s="2">
        <f>Heizflächen!H36</f>
        <v>25</v>
      </c>
      <c r="FI32" s="2">
        <v>26</v>
      </c>
    </row>
    <row r="33" spans="2:165">
      <c r="B33" s="31" t="s">
        <v>551</v>
      </c>
      <c r="C33" s="32"/>
      <c r="D33" s="36">
        <f>D34*D29</f>
        <v>0</v>
      </c>
      <c r="E33" s="36">
        <f t="shared" ref="E33:J33" si="3">IF(D33=0,E34*E29,E36-E30)</f>
        <v>0</v>
      </c>
      <c r="F33" s="36">
        <f t="shared" si="3"/>
        <v>0</v>
      </c>
      <c r="G33" s="36">
        <f t="shared" si="3"/>
        <v>0</v>
      </c>
      <c r="H33" s="36">
        <f t="shared" si="3"/>
        <v>0</v>
      </c>
      <c r="I33" s="36">
        <f t="shared" si="3"/>
        <v>0</v>
      </c>
      <c r="J33" s="36">
        <f t="shared" si="3"/>
        <v>0</v>
      </c>
      <c r="K33" s="36">
        <f t="shared" ref="K33:AH33" si="4">IF(J33=0,K34*K29,K36-K30)</f>
        <v>0</v>
      </c>
      <c r="L33" s="36">
        <f t="shared" si="4"/>
        <v>0</v>
      </c>
      <c r="M33" s="36">
        <f t="shared" si="4"/>
        <v>0</v>
      </c>
      <c r="N33" s="36">
        <f t="shared" si="4"/>
        <v>0</v>
      </c>
      <c r="O33" s="36">
        <f t="shared" si="4"/>
        <v>0</v>
      </c>
      <c r="P33" s="36">
        <f t="shared" si="4"/>
        <v>0</v>
      </c>
      <c r="Q33" s="36">
        <f t="shared" si="4"/>
        <v>0</v>
      </c>
      <c r="R33" s="36">
        <f t="shared" si="4"/>
        <v>0</v>
      </c>
      <c r="S33" s="36">
        <f t="shared" si="4"/>
        <v>0</v>
      </c>
      <c r="T33" s="36">
        <f t="shared" si="4"/>
        <v>0</v>
      </c>
      <c r="U33" s="36">
        <f t="shared" si="4"/>
        <v>0</v>
      </c>
      <c r="V33" s="36">
        <f t="shared" si="4"/>
        <v>0</v>
      </c>
      <c r="W33" s="36">
        <f t="shared" si="4"/>
        <v>0</v>
      </c>
      <c r="X33" s="36">
        <f t="shared" si="4"/>
        <v>0</v>
      </c>
      <c r="Y33" s="36">
        <f t="shared" si="4"/>
        <v>0</v>
      </c>
      <c r="Z33" s="36">
        <f t="shared" si="4"/>
        <v>0</v>
      </c>
      <c r="AA33" s="36">
        <f t="shared" si="4"/>
        <v>0</v>
      </c>
      <c r="AB33" s="36">
        <f t="shared" si="4"/>
        <v>0</v>
      </c>
      <c r="AC33" s="36">
        <f t="shared" si="4"/>
        <v>0</v>
      </c>
      <c r="AD33" s="36">
        <f t="shared" si="4"/>
        <v>0</v>
      </c>
      <c r="AE33" s="36">
        <f t="shared" si="4"/>
        <v>0</v>
      </c>
      <c r="AF33" s="36">
        <f t="shared" si="4"/>
        <v>0</v>
      </c>
      <c r="AG33" s="36">
        <f t="shared" si="4"/>
        <v>0</v>
      </c>
      <c r="AH33" s="36">
        <f t="shared" si="4"/>
        <v>0</v>
      </c>
      <c r="BH33" s="2" t="s">
        <v>434</v>
      </c>
      <c r="BI33" s="2">
        <v>1800</v>
      </c>
      <c r="BJ33" s="2">
        <v>400</v>
      </c>
      <c r="BN33" s="2">
        <v>1663</v>
      </c>
      <c r="BR33" s="144" t="s">
        <v>552</v>
      </c>
      <c r="BS33" s="2">
        <v>0.94879999999999998</v>
      </c>
      <c r="CP33" s="2" t="s">
        <v>553</v>
      </c>
      <c r="DF33" s="2">
        <v>0.1</v>
      </c>
      <c r="DG33" s="2">
        <v>0.05</v>
      </c>
      <c r="DH33" s="2">
        <v>1.05</v>
      </c>
      <c r="DQ33" s="2">
        <f>Heizflächen!C37</f>
        <v>0</v>
      </c>
      <c r="DR33" s="5">
        <f>Heizflächen!D37</f>
        <v>0</v>
      </c>
      <c r="DS33" s="5">
        <f>Heizflächen!H37</f>
        <v>26</v>
      </c>
      <c r="DT33" s="5">
        <f>Heizflächen!G37</f>
        <v>0</v>
      </c>
      <c r="DU33" s="5">
        <f>_xlfn.XLOOKUP(Heizflächen!$U$64,Tabelle5[Auswählbare Vor-und Rücklauftemperaturen],Tabelle5[Vorlauf],0,0,1)</f>
        <v>35</v>
      </c>
      <c r="DV33" s="5">
        <f>_xlfn.XLOOKUP(Heizflächen!$U$64,Tabelle5[Auswählbare Vor-und Rücklauftemperaturen],Tabelle5[Rücklauf],0,0,1)</f>
        <v>30</v>
      </c>
      <c r="DW33"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33" s="5">
        <f>_xlfn.XLOOKUP($DZ$3,Tabelle6[Systemtemperatur bei Norm-Wärmeleistungsbestimmung],Tabelle6[Vorlauf],0,0,1)</f>
        <v>55</v>
      </c>
      <c r="DY33" s="5">
        <f>_xlfn.XLOOKUP($DZ$3,Tabelle6[Systemtemperatur bei Norm-Wärmeleistungsbestimmung],Tabelle6[Rücklauf],0,0,1)</f>
        <v>45</v>
      </c>
      <c r="DZ33" s="5">
        <f>_xlfn.XLOOKUP($DZ$3,Tabelle6[Systemtemperatur bei Norm-Wärmeleistungsbestimmung],Tabelle6[Norm Innentemperatur],0,0,1)</f>
        <v>20</v>
      </c>
      <c r="EA33" s="147">
        <f>((Tabelle3[[#This Row],[Norm Vorlauftemperatur]]-Tabelle3[[#This Row],[Norm Rücklauftemperatur]])/LN((Tabelle3[[#This Row],[Norm Vorlauftemperatur]]-Tabelle3[[#This Row],[Norm Innentemperatur]])/(Tabelle3[[#This Row],[Norm Rücklauftemperatur]]-Tabelle3[[#This Row],[Norm Innentemperatur]])))</f>
        <v>29.720134119884619</v>
      </c>
      <c r="EB33" s="5">
        <f>_xlfn.XLOOKUP(Heizflächen!I37,Tabelle2[Typ],Tabelle2[Heizkörperexponent],0,1,1)</f>
        <v>0</v>
      </c>
      <c r="EC33" s="148">
        <f>Heizflächen!K37</f>
        <v>0</v>
      </c>
      <c r="ED33" s="5">
        <f>IF(Tabelle3[[#This Row],[Heizkörper in Nische?]]="Nein",1,_xlfn.XLOOKUP(Heizflächen!L37, Tabelle8[Höhe über HK],Tabelle8[Abminderungsfaktor],1,0,1))</f>
        <v>1</v>
      </c>
      <c r="EE33" s="5">
        <f>(DW33/EA33)^Tabelle3[[#This Row],[Heizkörperexponent n]]</f>
        <v>1</v>
      </c>
      <c r="EF33" s="5" cm="1">
        <f t="array" ref="EF33">_xlfn.XLOOKUP(Heizflächen!J37&amp;Heizflächen!M37&amp;Heizflächen!N37&amp;Heizflächen!O37&amp;Heizflächen!P37&amp;Heizflächen!Q37,Tabelle4[Typ]&amp;Tabelle4[Breite '[mm']]&amp;Tabelle4[Höhe '[mm']]&amp;Tabelle4[Bauhöhe Radiator '[mm']]&amp;Tabelle4[Nabenabstand Radiator '[mm']]&amp;Tabelle4[Bautiefe Radiator '[mm']],Tabelle4[Wärmeleistung (Radiatoren je Glied) '[W']],,-1,1)</f>
        <v>0</v>
      </c>
      <c r="EG33" s="5">
        <f>Heizflächen!R37</f>
        <v>0</v>
      </c>
      <c r="EH33" s="150">
        <f>IF(AND(Tabelle3[[#This Row],[Gliederanzahl]]&gt;0,Heizflächen!J37="Radiator"),Tabelle3[[#This Row],[Norm Heizleistung QNorm]]*Tabelle3[[#This Row],[f = (Δθm1/Δθm2)^n]]*Tabelle3[[#This Row],[Abminderungsfaktor]]*Tabelle3[[#This Row],[Gliederanzahl]],Tabelle3[[#This Row],[Abminderungsfaktor]]*Tabelle3[[#This Row],[f = (Δθm1/Δθm2)^n]]*Tabelle3[[#This Row],[Norm Heizleistung QNorm]])</f>
        <v>0</v>
      </c>
      <c r="EM33" s="2">
        <f>Heizflächen!C37</f>
        <v>0</v>
      </c>
      <c r="EN33" s="2">
        <f>Heizflächen!D37</f>
        <v>0</v>
      </c>
      <c r="EO33" s="2">
        <f>1-(Heizflächen!S37/0.075)</f>
        <v>1</v>
      </c>
      <c r="EP33" s="2">
        <f>100*(0.045-Heizflächen!T37)</f>
        <v>4.5</v>
      </c>
      <c r="EQ33" s="2">
        <f>250*(Heizflächen!U37-0.02)</f>
        <v>-5</v>
      </c>
      <c r="ER33" s="2">
        <f>_xlfn.XLOOKUP(Tabelle14[[#This Row],[Wärmedurchlasswiderstand Bodenbelag]],Tabelle17[Wärmedurchlasswiderstand Rλ,B in '[m²K/W']],Tabelle17[aT],0,-1,1)</f>
        <v>1.23</v>
      </c>
      <c r="ES33" s="2" cm="1">
        <f t="array" ref="ES33">_xlfn.XLOOKUP(Heizflächen!S37&amp;Tabelle14[[#This Row],[Wärmedurchlasswiderstand Bodenbelag]],Tabelle18[T]&amp;Tabelle18[Rλ,B in '[m²K/W']],Tabelle18[au],0,-1,1)</f>
        <v>0</v>
      </c>
      <c r="ET33" s="2" cm="1">
        <f t="array" ref="ET33">_xlfn.XLOOKUP(Heizflächen!S37&amp;Tabelle14[[#This Row],[Wärmedurchlasswiderstand Bodenbelag]],Tabelle19[T]&amp;Tabelle19[Rλ,B in '[m²K/W']],Tabelle19[aD],0,-1,1)</f>
        <v>0</v>
      </c>
      <c r="EU33" s="5">
        <f>_xlfn.XLOOKUP(Heizflächen!$U$64,Tabelle5[Auswählbare Vor-und Rücklauftemperaturen],Tabelle5[Vorlauf],0,0,1)</f>
        <v>35</v>
      </c>
      <c r="EV33" s="5">
        <f>_xlfn.XLOOKUP(Heizflächen!$U$64,Tabelle5[Auswählbare Vor-und Rücklauftemperaturen],Tabelle5[Rücklauf],0,0,1)</f>
        <v>30</v>
      </c>
      <c r="EW33" s="77">
        <f>((Tabelle14[[#This Row],[gewünschte Vorlauftemperatur]]-Tabelle14[[#This Row],[gewünschte Rücklauftemperatur]])/LN((Tabelle14[[#This Row],[gewünschte Vorlauftemperatur]]-Heizflächen!G37)/(Tabelle14[[#This Row],[gewünschte Rücklauftemperatur]]-Heizflächen!G37)))</f>
        <v>32.435795973154399</v>
      </c>
      <c r="EX33" s="2">
        <f>_xlfn.XLOOKUP(Heizflächen!V37,Tabelle13[Bodenbelagsmaterial],Tabelle13[Wärmedurchlasswiderstand Rλ,B in '[m²K/W']],0,0,1)</f>
        <v>0</v>
      </c>
      <c r="EY33" s="163">
        <f>((1/10.8)+(0.045/1))/((1/10.8)+(0.045/1.4)+Tabelle14[[#This Row],[Wärmedurchlasswiderstand Bodenbelag]])</f>
        <v>1.1030752916224815</v>
      </c>
      <c r="EZ33" s="2">
        <v>6.7</v>
      </c>
      <c r="FA33" s="164" t="e">
        <f>Tabelle14[[#This Row],[B '[W/(m²K)']]]*Tabelle14[[#This Row],[aB]]*(Tabelle14[[#This Row],[aT]]^Tabelle14[[#This Row],[mT]])*(Tabelle14[[#This Row],[au]]^Tabelle14[[#This Row],[mu]])*(Tabelle14[[#This Row],[aD]]^Tabelle14[[#This Row],[mD]])*Tabelle14[[#This Row],[gewünschte Übertemperatur Δθm]]</f>
        <v>#DIV/0!</v>
      </c>
      <c r="FB33" s="2">
        <f>IFERROR(Tabelle14[[#This Row],[q '[W/m²']]]*(Heizflächen!E37-Heizflächen!F37),0)</f>
        <v>0</v>
      </c>
      <c r="FC33" s="2">
        <f>Heizflächen!H37</f>
        <v>26</v>
      </c>
      <c r="FI33" s="2">
        <v>27</v>
      </c>
    </row>
    <row r="34" spans="2:165">
      <c r="B34" s="38" t="s">
        <v>554</v>
      </c>
      <c r="C34" s="39"/>
      <c r="D34" s="33">
        <f>IF(Allgemein!$L$50&gt;=D25,0,Allgemein!$L$51)</f>
        <v>0</v>
      </c>
      <c r="E34" s="33">
        <f>IF(Allgemein!$L$50&gt;=E25,0,IF(D33=0,Allgemein!$L$51,IF(E29=0,0,E33/E29)))</f>
        <v>0</v>
      </c>
      <c r="F34" s="33">
        <f>IF(Allgemein!$L$50&gt;=F25,0,IF(E33=0,Allgemein!$L$51,IF(F29=0,0,F33/F29)))</f>
        <v>0</v>
      </c>
      <c r="G34" s="33">
        <f>IF(Allgemein!$L$50&gt;=G25,0,IF(F33=0,Allgemein!$L$51,IF(G29=0,0,G33/G29)))</f>
        <v>0</v>
      </c>
      <c r="H34" s="33">
        <f>IF(Allgemein!$L$50&gt;=H25,0,IF(G33=0,Allgemein!$L$51,IF(H29=0,0,H33/H29)))</f>
        <v>0</v>
      </c>
      <c r="I34" s="33">
        <f>IF(Allgemein!$L$50&gt;=I25,0,IF(H33=0,Allgemein!$L$51,IF(I29=0,0,I33/I29)))</f>
        <v>0</v>
      </c>
      <c r="J34" s="33">
        <f>IF(Allgemein!$L$50&gt;=J25,0,IF(I33=0,Allgemein!$L$51,IF(J29=0,0,J33/J29)))</f>
        <v>0</v>
      </c>
      <c r="K34" s="33">
        <f>IF(Allgemein!$L$50&gt;=K25,0,IF(J33=0,Allgemein!$L$51,IF(K29=0,0,K33/K29)))</f>
        <v>0</v>
      </c>
      <c r="L34" s="33">
        <f>IF(Allgemein!$L$50&gt;=L25,0,IF(K33=0,Allgemein!$L$51,IF(L29=0,0,L33/L29)))</f>
        <v>0</v>
      </c>
      <c r="M34" s="33">
        <f>IF(Allgemein!$L$50&gt;=M25,0,IF(L33=0,Allgemein!$L$51,IF(M29=0,0,M33/M29)))</f>
        <v>0</v>
      </c>
      <c r="N34" s="33">
        <f>IF(Allgemein!$L$50&gt;=N25,0,IF(M33=0,Allgemein!$L$51,IF(N29=0,0,N33/N29)))</f>
        <v>0</v>
      </c>
      <c r="O34" s="33">
        <f>IF(Allgemein!$L$50&gt;=O25,0,IF(N33=0,Allgemein!$L$51,IF(O29=0,0,O33/O29)))</f>
        <v>0</v>
      </c>
      <c r="P34" s="33">
        <f>IF(Allgemein!$L$50&gt;=P25,0,IF(O33=0,Allgemein!$L$51,IF(P29=0,0,P33/P29)))</f>
        <v>0</v>
      </c>
      <c r="Q34" s="33">
        <f>IF(Allgemein!$L$50&gt;=Q25,0,IF(P33=0,Allgemein!$L$51,IF(Q29=0,0,Q33/Q29)))</f>
        <v>0</v>
      </c>
      <c r="R34" s="33">
        <f>IF(Allgemein!$L$50&gt;=R25,0,IF(Q33=0,Allgemein!$L$51,IF(R29=0,0,R33/R29)))</f>
        <v>0</v>
      </c>
      <c r="S34" s="33">
        <f>IF(Allgemein!$L$50&gt;=S25,0,IF(R33=0,Allgemein!$L$51,IF(S29=0,0,S33/S29)))</f>
        <v>0</v>
      </c>
      <c r="T34" s="33">
        <f>IF(Allgemein!$L$50&gt;=T25,0,IF(S33=0,Allgemein!$L$51,IF(T29=0,0,T33/T29)))</f>
        <v>0</v>
      </c>
      <c r="U34" s="33">
        <f>IF(Allgemein!$L$50&gt;=U25,0,IF(T33=0,Allgemein!$L$51,IF(U29=0,0,U33/U29)))</f>
        <v>0</v>
      </c>
      <c r="V34" s="33">
        <f>IF(Allgemein!$L$50&gt;=V25,0,IF(U33=0,Allgemein!$L$51,IF(V29=0,0,V33/V29)))</f>
        <v>0</v>
      </c>
      <c r="W34" s="33">
        <f>IF(Allgemein!$L$50&gt;=W25,0,IF(V33=0,Allgemein!$L$51,IF(W29=0,0,W33/W29)))</f>
        <v>0</v>
      </c>
      <c r="X34" s="33">
        <f>IF(Allgemein!$L$50&gt;=X25,0,IF(W33=0,Allgemein!$L$51,IF(X29=0,0,X33/X29)))</f>
        <v>0</v>
      </c>
      <c r="Y34" s="33">
        <f>IF(Allgemein!$L$50&gt;=Y25,0,IF(X33=0,Allgemein!$L$51,IF(Y29=0,0,Y33/Y29)))</f>
        <v>0</v>
      </c>
      <c r="Z34" s="33">
        <f>IF(Allgemein!$L$50&gt;=Z25,0,IF(Y33=0,Allgemein!$L$51,IF(Z29=0,0,Z33/Z29)))</f>
        <v>0</v>
      </c>
      <c r="AA34" s="33">
        <f>IF(Allgemein!$L$50&gt;=AA25,0,IF(Z33=0,Allgemein!$L$51,IF(AA29=0,0,AA33/AA29)))</f>
        <v>0</v>
      </c>
      <c r="AB34" s="33">
        <f>IF(Allgemein!$L$50&gt;=AB25,0,IF(AA33=0,Allgemein!$L$51,IF(AB29=0,0,AB33/AB29)))</f>
        <v>0</v>
      </c>
      <c r="AC34" s="33">
        <f>IF(Allgemein!$L$50&gt;=AC25,0,IF(AB33=0,Allgemein!$L$51,IF(AC29=0,0,AC33/AC29)))</f>
        <v>0</v>
      </c>
      <c r="AD34" s="33">
        <f>IF(Allgemein!$L$50&gt;=AD25,0,IF(AC33=0,Allgemein!$L$51,IF(AD29=0,0,AD33/AD29)))</f>
        <v>0</v>
      </c>
      <c r="AE34" s="33">
        <f>IF(Allgemein!$L$50&gt;=AE25,0,IF(AD33=0,Allgemein!$L$51,IF(AE29=0,0,AE33/AE29)))</f>
        <v>0</v>
      </c>
      <c r="AF34" s="33">
        <f>IF(Allgemein!$L$50&gt;=AF25,0,IF(AE33=0,Allgemein!$L$51,IF(AF29=0,0,AF33/AF29)))</f>
        <v>0</v>
      </c>
      <c r="AG34" s="33">
        <f>IF(Allgemein!$L$50&gt;=AG25,0,IF(AF33=0,Allgemein!$L$51,IF(AG29=0,0,AG33/AG29)))</f>
        <v>0</v>
      </c>
      <c r="AH34" s="33">
        <f>IF(Allgemein!$L$50&gt;=AH25,0,IF(AG33=0,Allgemein!$L$51,IF(AH29=0,0,AH33/AH29)))</f>
        <v>0</v>
      </c>
      <c r="BH34" s="2" t="s">
        <v>434</v>
      </c>
      <c r="BI34" s="2">
        <v>2000</v>
      </c>
      <c r="BJ34" s="2">
        <v>400</v>
      </c>
      <c r="BN34" s="2">
        <v>1847</v>
      </c>
      <c r="DF34" s="2">
        <v>0.15</v>
      </c>
      <c r="DG34" s="2">
        <v>0.05</v>
      </c>
      <c r="DH34" s="2">
        <v>1.046</v>
      </c>
      <c r="DQ34" s="2">
        <f>Heizflächen!C38</f>
        <v>0</v>
      </c>
      <c r="DR34" s="5">
        <f>Heizflächen!D38</f>
        <v>0</v>
      </c>
      <c r="DS34" s="5">
        <f>Heizflächen!H38</f>
        <v>27</v>
      </c>
      <c r="DT34" s="5">
        <f>Heizflächen!G38</f>
        <v>0</v>
      </c>
      <c r="DU34" s="5">
        <f>_xlfn.XLOOKUP(Heizflächen!$U$64,Tabelle5[Auswählbare Vor-und Rücklauftemperaturen],Tabelle5[Vorlauf],0,0,1)</f>
        <v>35</v>
      </c>
      <c r="DV34" s="5">
        <f>_xlfn.XLOOKUP(Heizflächen!$U$64,Tabelle5[Auswählbare Vor-und Rücklauftemperaturen],Tabelle5[Rücklauf],0,0,1)</f>
        <v>30</v>
      </c>
      <c r="DW34"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34" s="5">
        <f>_xlfn.XLOOKUP($DZ$3,Tabelle6[Systemtemperatur bei Norm-Wärmeleistungsbestimmung],Tabelle6[Vorlauf],0,0,1)</f>
        <v>55</v>
      </c>
      <c r="DY34" s="5">
        <f>_xlfn.XLOOKUP($DZ$3,Tabelle6[Systemtemperatur bei Norm-Wärmeleistungsbestimmung],Tabelle6[Rücklauf],0,0,1)</f>
        <v>45</v>
      </c>
      <c r="DZ34" s="5">
        <f>_xlfn.XLOOKUP($DZ$3,Tabelle6[Systemtemperatur bei Norm-Wärmeleistungsbestimmung],Tabelle6[Norm Innentemperatur],0,0,1)</f>
        <v>20</v>
      </c>
      <c r="EA34" s="147">
        <f>((Tabelle3[[#This Row],[Norm Vorlauftemperatur]]-Tabelle3[[#This Row],[Norm Rücklauftemperatur]])/LN((Tabelle3[[#This Row],[Norm Vorlauftemperatur]]-Tabelle3[[#This Row],[Norm Innentemperatur]])/(Tabelle3[[#This Row],[Norm Rücklauftemperatur]]-Tabelle3[[#This Row],[Norm Innentemperatur]])))</f>
        <v>29.720134119884619</v>
      </c>
      <c r="EB34" s="5">
        <f>_xlfn.XLOOKUP(Heizflächen!I38,Tabelle2[Typ],Tabelle2[Heizkörperexponent],0,1,1)</f>
        <v>0</v>
      </c>
      <c r="EC34" s="148">
        <f>Heizflächen!K38</f>
        <v>0</v>
      </c>
      <c r="ED34" s="5">
        <f>IF(Tabelle3[[#This Row],[Heizkörper in Nische?]]="Nein",1,_xlfn.XLOOKUP(Heizflächen!L38, Tabelle8[Höhe über HK],Tabelle8[Abminderungsfaktor],1,0,1))</f>
        <v>1</v>
      </c>
      <c r="EE34" s="5">
        <f>(DW34/EA34)^Tabelle3[[#This Row],[Heizkörperexponent n]]</f>
        <v>1</v>
      </c>
      <c r="EF34" s="5" cm="1">
        <f t="array" ref="EF34">_xlfn.XLOOKUP(Heizflächen!J38&amp;Heizflächen!M38&amp;Heizflächen!N38&amp;Heizflächen!O38&amp;Heizflächen!P38&amp;Heizflächen!Q38,Tabelle4[Typ]&amp;Tabelle4[Breite '[mm']]&amp;Tabelle4[Höhe '[mm']]&amp;Tabelle4[Bauhöhe Radiator '[mm']]&amp;Tabelle4[Nabenabstand Radiator '[mm']]&amp;Tabelle4[Bautiefe Radiator '[mm']],Tabelle4[Wärmeleistung (Radiatoren je Glied) '[W']],,-1,1)</f>
        <v>0</v>
      </c>
      <c r="EG34" s="5">
        <f>Heizflächen!R38</f>
        <v>0</v>
      </c>
      <c r="EH34" s="150">
        <f>IF(AND(Tabelle3[[#This Row],[Gliederanzahl]]&gt;0,Heizflächen!J38="Radiator"),Tabelle3[[#This Row],[Norm Heizleistung QNorm]]*Tabelle3[[#This Row],[f = (Δθm1/Δθm2)^n]]*Tabelle3[[#This Row],[Abminderungsfaktor]]*Tabelle3[[#This Row],[Gliederanzahl]],Tabelle3[[#This Row],[Abminderungsfaktor]]*Tabelle3[[#This Row],[f = (Δθm1/Δθm2)^n]]*Tabelle3[[#This Row],[Norm Heizleistung QNorm]])</f>
        <v>0</v>
      </c>
      <c r="EM34" s="2">
        <f>Heizflächen!C38</f>
        <v>0</v>
      </c>
      <c r="EN34" s="2">
        <f>Heizflächen!D38</f>
        <v>0</v>
      </c>
      <c r="EO34" s="2">
        <f>1-(Heizflächen!S38/0.075)</f>
        <v>1</v>
      </c>
      <c r="EP34" s="2">
        <f>100*(0.045-Heizflächen!T38)</f>
        <v>4.5</v>
      </c>
      <c r="EQ34" s="2">
        <f>250*(Heizflächen!U38-0.02)</f>
        <v>-5</v>
      </c>
      <c r="ER34" s="2">
        <f>_xlfn.XLOOKUP(Tabelle14[[#This Row],[Wärmedurchlasswiderstand Bodenbelag]],Tabelle17[Wärmedurchlasswiderstand Rλ,B in '[m²K/W']],Tabelle17[aT],0,-1,1)</f>
        <v>1.23</v>
      </c>
      <c r="ES34" s="2" cm="1">
        <f t="array" ref="ES34">_xlfn.XLOOKUP(Heizflächen!S38&amp;Tabelle14[[#This Row],[Wärmedurchlasswiderstand Bodenbelag]],Tabelle18[T]&amp;Tabelle18[Rλ,B in '[m²K/W']],Tabelle18[au],0,-1,1)</f>
        <v>0</v>
      </c>
      <c r="ET34" s="2" cm="1">
        <f t="array" ref="ET34">_xlfn.XLOOKUP(Heizflächen!S38&amp;Tabelle14[[#This Row],[Wärmedurchlasswiderstand Bodenbelag]],Tabelle19[T]&amp;Tabelle19[Rλ,B in '[m²K/W']],Tabelle19[aD],0,-1,1)</f>
        <v>0</v>
      </c>
      <c r="EU34" s="5">
        <f>_xlfn.XLOOKUP(Heizflächen!$U$64,Tabelle5[Auswählbare Vor-und Rücklauftemperaturen],Tabelle5[Vorlauf],0,0,1)</f>
        <v>35</v>
      </c>
      <c r="EV34" s="5">
        <f>_xlfn.XLOOKUP(Heizflächen!$U$64,Tabelle5[Auswählbare Vor-und Rücklauftemperaturen],Tabelle5[Rücklauf],0,0,1)</f>
        <v>30</v>
      </c>
      <c r="EW34" s="77">
        <f>((Tabelle14[[#This Row],[gewünschte Vorlauftemperatur]]-Tabelle14[[#This Row],[gewünschte Rücklauftemperatur]])/LN((Tabelle14[[#This Row],[gewünschte Vorlauftemperatur]]-Heizflächen!G38)/(Tabelle14[[#This Row],[gewünschte Rücklauftemperatur]]-Heizflächen!G38)))</f>
        <v>32.435795973154399</v>
      </c>
      <c r="EX34" s="2">
        <f>_xlfn.XLOOKUP(Heizflächen!V38,Tabelle13[Bodenbelagsmaterial],Tabelle13[Wärmedurchlasswiderstand Rλ,B in '[m²K/W']],0,0,1)</f>
        <v>0</v>
      </c>
      <c r="EY34" s="163">
        <f>((1/10.8)+(0.045/1))/((1/10.8)+(0.045/1.4)+Tabelle14[[#This Row],[Wärmedurchlasswiderstand Bodenbelag]])</f>
        <v>1.1030752916224815</v>
      </c>
      <c r="EZ34" s="2">
        <v>6.7</v>
      </c>
      <c r="FA34" s="164" t="e">
        <f>Tabelle14[[#This Row],[B '[W/(m²K)']]]*Tabelle14[[#This Row],[aB]]*(Tabelle14[[#This Row],[aT]]^Tabelle14[[#This Row],[mT]])*(Tabelle14[[#This Row],[au]]^Tabelle14[[#This Row],[mu]])*(Tabelle14[[#This Row],[aD]]^Tabelle14[[#This Row],[mD]])*Tabelle14[[#This Row],[gewünschte Übertemperatur Δθm]]</f>
        <v>#DIV/0!</v>
      </c>
      <c r="FB34" s="2">
        <f>IFERROR(Tabelle14[[#This Row],[q '[W/m²']]]*(Heizflächen!E38-Heizflächen!F38),0)</f>
        <v>0</v>
      </c>
      <c r="FC34" s="2">
        <f>Heizflächen!H38</f>
        <v>27</v>
      </c>
      <c r="FI34" s="2">
        <v>28</v>
      </c>
    </row>
    <row r="35" spans="2:165">
      <c r="B35" s="34"/>
      <c r="C35" s="35"/>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BH35" s="2" t="s">
        <v>434</v>
      </c>
      <c r="BI35" s="2">
        <v>2200</v>
      </c>
      <c r="BJ35" s="2">
        <v>400</v>
      </c>
      <c r="BN35" s="2">
        <v>2032</v>
      </c>
      <c r="DF35" s="2">
        <v>0.2</v>
      </c>
      <c r="DG35" s="2">
        <v>0.05</v>
      </c>
      <c r="DH35" s="2">
        <v>1.0409999999999999</v>
      </c>
      <c r="DQ35" s="2">
        <f>Heizflächen!C39</f>
        <v>0</v>
      </c>
      <c r="DR35" s="5">
        <f>Heizflächen!D39</f>
        <v>0</v>
      </c>
      <c r="DS35" s="5">
        <f>Heizflächen!H39</f>
        <v>28</v>
      </c>
      <c r="DT35" s="5">
        <f>Heizflächen!G39</f>
        <v>0</v>
      </c>
      <c r="DU35" s="5">
        <f>_xlfn.XLOOKUP(Heizflächen!$U$64,Tabelle5[Auswählbare Vor-und Rücklauftemperaturen],Tabelle5[Vorlauf],0,0,1)</f>
        <v>35</v>
      </c>
      <c r="DV35" s="5">
        <f>_xlfn.XLOOKUP(Heizflächen!$U$64,Tabelle5[Auswählbare Vor-und Rücklauftemperaturen],Tabelle5[Rücklauf],0,0,1)</f>
        <v>30</v>
      </c>
      <c r="DW35"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35" s="5">
        <f>_xlfn.XLOOKUP($DZ$3,Tabelle6[Systemtemperatur bei Norm-Wärmeleistungsbestimmung],Tabelle6[Vorlauf],0,0,1)</f>
        <v>55</v>
      </c>
      <c r="DY35" s="5">
        <f>_xlfn.XLOOKUP($DZ$3,Tabelle6[Systemtemperatur bei Norm-Wärmeleistungsbestimmung],Tabelle6[Rücklauf],0,0,1)</f>
        <v>45</v>
      </c>
      <c r="DZ35" s="5">
        <f>_xlfn.XLOOKUP($DZ$3,Tabelle6[Systemtemperatur bei Norm-Wärmeleistungsbestimmung],Tabelle6[Norm Innentemperatur],0,0,1)</f>
        <v>20</v>
      </c>
      <c r="EA35" s="147">
        <f>((Tabelle3[[#This Row],[Norm Vorlauftemperatur]]-Tabelle3[[#This Row],[Norm Rücklauftemperatur]])/LN((Tabelle3[[#This Row],[Norm Vorlauftemperatur]]-Tabelle3[[#This Row],[Norm Innentemperatur]])/(Tabelle3[[#This Row],[Norm Rücklauftemperatur]]-Tabelle3[[#This Row],[Norm Innentemperatur]])))</f>
        <v>29.720134119884619</v>
      </c>
      <c r="EB35" s="5">
        <f>_xlfn.XLOOKUP(Heizflächen!I39,Tabelle2[Typ],Tabelle2[Heizkörperexponent],0,1,1)</f>
        <v>0</v>
      </c>
      <c r="EC35" s="148">
        <f>Heizflächen!K39</f>
        <v>0</v>
      </c>
      <c r="ED35" s="5">
        <f>IF(Tabelle3[[#This Row],[Heizkörper in Nische?]]="Nein",1,_xlfn.XLOOKUP(Heizflächen!L39, Tabelle8[Höhe über HK],Tabelle8[Abminderungsfaktor],1,0,1))</f>
        <v>1</v>
      </c>
      <c r="EE35" s="5">
        <f>(DW35/EA35)^Tabelle3[[#This Row],[Heizkörperexponent n]]</f>
        <v>1</v>
      </c>
      <c r="EF35" s="5" cm="1">
        <f t="array" ref="EF35">_xlfn.XLOOKUP(Heizflächen!J39&amp;Heizflächen!M39&amp;Heizflächen!N39&amp;Heizflächen!O39&amp;Heizflächen!P39&amp;Heizflächen!Q39,Tabelle4[Typ]&amp;Tabelle4[Breite '[mm']]&amp;Tabelle4[Höhe '[mm']]&amp;Tabelle4[Bauhöhe Radiator '[mm']]&amp;Tabelle4[Nabenabstand Radiator '[mm']]&amp;Tabelle4[Bautiefe Radiator '[mm']],Tabelle4[Wärmeleistung (Radiatoren je Glied) '[W']],,-1,1)</f>
        <v>0</v>
      </c>
      <c r="EG35" s="5">
        <f>Heizflächen!R39</f>
        <v>0</v>
      </c>
      <c r="EH35" s="150">
        <f>IF(AND(Tabelle3[[#This Row],[Gliederanzahl]]&gt;0,Heizflächen!J39="Radiator"),Tabelle3[[#This Row],[Norm Heizleistung QNorm]]*Tabelle3[[#This Row],[f = (Δθm1/Δθm2)^n]]*Tabelle3[[#This Row],[Abminderungsfaktor]]*Tabelle3[[#This Row],[Gliederanzahl]],Tabelle3[[#This Row],[Abminderungsfaktor]]*Tabelle3[[#This Row],[f = (Δθm1/Δθm2)^n]]*Tabelle3[[#This Row],[Norm Heizleistung QNorm]])</f>
        <v>0</v>
      </c>
      <c r="EM35" s="2">
        <f>Heizflächen!C39</f>
        <v>0</v>
      </c>
      <c r="EN35" s="2">
        <f>Heizflächen!D39</f>
        <v>0</v>
      </c>
      <c r="EO35" s="2">
        <f>1-(Heizflächen!S39/0.075)</f>
        <v>1</v>
      </c>
      <c r="EP35" s="2">
        <f>100*(0.045-Heizflächen!T39)</f>
        <v>4.5</v>
      </c>
      <c r="EQ35" s="2">
        <f>250*(Heizflächen!U39-0.02)</f>
        <v>-5</v>
      </c>
      <c r="ER35" s="2">
        <f>_xlfn.XLOOKUP(Tabelle14[[#This Row],[Wärmedurchlasswiderstand Bodenbelag]],Tabelle17[Wärmedurchlasswiderstand Rλ,B in '[m²K/W']],Tabelle17[aT],0,-1,1)</f>
        <v>1.23</v>
      </c>
      <c r="ES35" s="2" cm="1">
        <f t="array" ref="ES35">_xlfn.XLOOKUP(Heizflächen!S39&amp;Tabelle14[[#This Row],[Wärmedurchlasswiderstand Bodenbelag]],Tabelle18[T]&amp;Tabelle18[Rλ,B in '[m²K/W']],Tabelle18[au],0,-1,1)</f>
        <v>0</v>
      </c>
      <c r="ET35" s="2" cm="1">
        <f t="array" ref="ET35">_xlfn.XLOOKUP(Heizflächen!S39&amp;Tabelle14[[#This Row],[Wärmedurchlasswiderstand Bodenbelag]],Tabelle19[T]&amp;Tabelle19[Rλ,B in '[m²K/W']],Tabelle19[aD],0,-1,1)</f>
        <v>0</v>
      </c>
      <c r="EU35" s="5">
        <f>_xlfn.XLOOKUP(Heizflächen!$U$64,Tabelle5[Auswählbare Vor-und Rücklauftemperaturen],Tabelle5[Vorlauf],0,0,1)</f>
        <v>35</v>
      </c>
      <c r="EV35" s="5">
        <f>_xlfn.XLOOKUP(Heizflächen!$U$64,Tabelle5[Auswählbare Vor-und Rücklauftemperaturen],Tabelle5[Rücklauf],0,0,1)</f>
        <v>30</v>
      </c>
      <c r="EW35" s="77">
        <f>((Tabelle14[[#This Row],[gewünschte Vorlauftemperatur]]-Tabelle14[[#This Row],[gewünschte Rücklauftemperatur]])/LN((Tabelle14[[#This Row],[gewünschte Vorlauftemperatur]]-Heizflächen!G39)/(Tabelle14[[#This Row],[gewünschte Rücklauftemperatur]]-Heizflächen!G39)))</f>
        <v>32.435795973154399</v>
      </c>
      <c r="EX35" s="2">
        <f>_xlfn.XLOOKUP(Heizflächen!V39,Tabelle13[Bodenbelagsmaterial],Tabelle13[Wärmedurchlasswiderstand Rλ,B in '[m²K/W']],0,0,1)</f>
        <v>0</v>
      </c>
      <c r="EY35" s="163">
        <f>((1/10.8)+(0.045/1))/((1/10.8)+(0.045/1.4)+Tabelle14[[#This Row],[Wärmedurchlasswiderstand Bodenbelag]])</f>
        <v>1.1030752916224815</v>
      </c>
      <c r="EZ35" s="2">
        <v>6.7</v>
      </c>
      <c r="FA35" s="164" t="e">
        <f>Tabelle14[[#This Row],[B '[W/(m²K)']]]*Tabelle14[[#This Row],[aB]]*(Tabelle14[[#This Row],[aT]]^Tabelle14[[#This Row],[mT]])*(Tabelle14[[#This Row],[au]]^Tabelle14[[#This Row],[mu]])*(Tabelle14[[#This Row],[aD]]^Tabelle14[[#This Row],[mD]])*Tabelle14[[#This Row],[gewünschte Übertemperatur Δθm]]</f>
        <v>#DIV/0!</v>
      </c>
      <c r="FB35" s="2">
        <f>IFERROR(Tabelle14[[#This Row],[q '[W/m²']]]*(Heizflächen!E39-Heizflächen!F39),0)</f>
        <v>0</v>
      </c>
      <c r="FC35" s="2">
        <f>Heizflächen!H39</f>
        <v>28</v>
      </c>
      <c r="FI35" s="2">
        <v>29</v>
      </c>
    </row>
    <row r="36" spans="2:165">
      <c r="B36" s="31" t="s">
        <v>555</v>
      </c>
      <c r="C36" s="32"/>
      <c r="D36" s="36">
        <f>D33+D30</f>
        <v>0</v>
      </c>
      <c r="E36" s="36">
        <f>IF(D33=0,E30+E33,IF(E29=0,0,IF(E29&lt;D36,E29+E30,IF(E32=0,D36,E32+E30))))</f>
        <v>0</v>
      </c>
      <c r="F36" s="36">
        <f>IF(E33=0,F30+F33,IF(F29=0,0,IF(F29&lt;E36,F29+F30,IF(F32=0,E36,F32+F30))))</f>
        <v>0</v>
      </c>
      <c r="G36" s="36">
        <f>IF(F33=0,G30+G33,IF(G29=0,0,IF(G29&lt;F36,G29+G30,IF(G32=0,F36,G32+G30))))</f>
        <v>0</v>
      </c>
      <c r="H36" s="36">
        <f>IF(G33=0,H30+H33,IF(H29=0,0,IF(H29&lt;G36,H29+H30,IF(H32=0,G36,H32+H30))))</f>
        <v>0</v>
      </c>
      <c r="I36" s="36">
        <f t="shared" ref="I36:AH36" si="5">IF(H33=0,I30+I33,IF(I29=0,0,IF(I29&lt;H36,I29+I30,IF(I32=0,H36,I32+I30))))</f>
        <v>0</v>
      </c>
      <c r="J36" s="36">
        <f>IF(I33=0,J30+J33,IF(J29=0,0,IF(J29&lt;I36,J29+J30,IF(J32=0,I36,J32+J30))))</f>
        <v>0</v>
      </c>
      <c r="K36" s="36">
        <f t="shared" si="5"/>
        <v>0</v>
      </c>
      <c r="L36" s="36">
        <f t="shared" si="5"/>
        <v>0</v>
      </c>
      <c r="M36" s="36">
        <f t="shared" si="5"/>
        <v>0</v>
      </c>
      <c r="N36" s="36">
        <f t="shared" si="5"/>
        <v>0</v>
      </c>
      <c r="O36" s="36">
        <f t="shared" si="5"/>
        <v>0</v>
      </c>
      <c r="P36" s="36">
        <f t="shared" si="5"/>
        <v>0</v>
      </c>
      <c r="Q36" s="36">
        <f t="shared" si="5"/>
        <v>0</v>
      </c>
      <c r="R36" s="36">
        <f t="shared" si="5"/>
        <v>0</v>
      </c>
      <c r="S36" s="36">
        <f t="shared" si="5"/>
        <v>0</v>
      </c>
      <c r="T36" s="36">
        <f t="shared" si="5"/>
        <v>0</v>
      </c>
      <c r="U36" s="36">
        <f t="shared" si="5"/>
        <v>0</v>
      </c>
      <c r="V36" s="36">
        <f t="shared" si="5"/>
        <v>0</v>
      </c>
      <c r="W36" s="36">
        <f t="shared" si="5"/>
        <v>0</v>
      </c>
      <c r="X36" s="36">
        <f t="shared" si="5"/>
        <v>0</v>
      </c>
      <c r="Y36" s="36">
        <f t="shared" si="5"/>
        <v>0</v>
      </c>
      <c r="Z36" s="36">
        <f t="shared" si="5"/>
        <v>0</v>
      </c>
      <c r="AA36" s="36">
        <f t="shared" si="5"/>
        <v>0</v>
      </c>
      <c r="AB36" s="36">
        <f t="shared" si="5"/>
        <v>0</v>
      </c>
      <c r="AC36" s="36">
        <f t="shared" si="5"/>
        <v>0</v>
      </c>
      <c r="AD36" s="36">
        <f t="shared" si="5"/>
        <v>0</v>
      </c>
      <c r="AE36" s="36">
        <f t="shared" si="5"/>
        <v>0</v>
      </c>
      <c r="AF36" s="36">
        <f t="shared" si="5"/>
        <v>0</v>
      </c>
      <c r="AG36" s="36">
        <f t="shared" si="5"/>
        <v>0</v>
      </c>
      <c r="AH36" s="36">
        <f t="shared" si="5"/>
        <v>0</v>
      </c>
      <c r="BH36" s="2" t="s">
        <v>434</v>
      </c>
      <c r="BI36" s="2">
        <v>2300</v>
      </c>
      <c r="BJ36" s="2">
        <v>400</v>
      </c>
      <c r="BN36" s="2">
        <v>2091</v>
      </c>
      <c r="DF36" s="2">
        <v>0.22500000000000001</v>
      </c>
      <c r="DG36" s="2">
        <v>0.05</v>
      </c>
      <c r="DH36" s="2">
        <v>1.038</v>
      </c>
      <c r="DQ36" s="2">
        <f>Heizflächen!C40</f>
        <v>0</v>
      </c>
      <c r="DR36" s="5">
        <f>Heizflächen!D40</f>
        <v>0</v>
      </c>
      <c r="DS36" s="5">
        <f>Heizflächen!H40</f>
        <v>29</v>
      </c>
      <c r="DT36" s="5">
        <f>Heizflächen!G40</f>
        <v>0</v>
      </c>
      <c r="DU36" s="5">
        <f>_xlfn.XLOOKUP(Heizflächen!$U$64,Tabelle5[Auswählbare Vor-und Rücklauftemperaturen],Tabelle5[Vorlauf],0,0,1)</f>
        <v>35</v>
      </c>
      <c r="DV36" s="5">
        <f>_xlfn.XLOOKUP(Heizflächen!$U$64,Tabelle5[Auswählbare Vor-und Rücklauftemperaturen],Tabelle5[Rücklauf],0,0,1)</f>
        <v>30</v>
      </c>
      <c r="DW36"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36" s="5">
        <f>_xlfn.XLOOKUP($DZ$3,Tabelle6[Systemtemperatur bei Norm-Wärmeleistungsbestimmung],Tabelle6[Vorlauf],0,0,1)</f>
        <v>55</v>
      </c>
      <c r="DY36" s="5">
        <f>_xlfn.XLOOKUP($DZ$3,Tabelle6[Systemtemperatur bei Norm-Wärmeleistungsbestimmung],Tabelle6[Rücklauf],0,0,1)</f>
        <v>45</v>
      </c>
      <c r="DZ36" s="5">
        <f>_xlfn.XLOOKUP($DZ$3,Tabelle6[Systemtemperatur bei Norm-Wärmeleistungsbestimmung],Tabelle6[Norm Innentemperatur],0,0,1)</f>
        <v>20</v>
      </c>
      <c r="EA36" s="147">
        <f>((Tabelle3[[#This Row],[Norm Vorlauftemperatur]]-Tabelle3[[#This Row],[Norm Rücklauftemperatur]])/LN((Tabelle3[[#This Row],[Norm Vorlauftemperatur]]-Tabelle3[[#This Row],[Norm Innentemperatur]])/(Tabelle3[[#This Row],[Norm Rücklauftemperatur]]-Tabelle3[[#This Row],[Norm Innentemperatur]])))</f>
        <v>29.720134119884619</v>
      </c>
      <c r="EB36" s="5">
        <f>_xlfn.XLOOKUP(Heizflächen!I40,Tabelle2[Typ],Tabelle2[Heizkörperexponent],0,1,1)</f>
        <v>0</v>
      </c>
      <c r="EC36" s="148">
        <f>Heizflächen!K40</f>
        <v>0</v>
      </c>
      <c r="ED36" s="5">
        <f>IF(Tabelle3[[#This Row],[Heizkörper in Nische?]]="Nein",1,_xlfn.XLOOKUP(Heizflächen!L40, Tabelle8[Höhe über HK],Tabelle8[Abminderungsfaktor],1,0,1))</f>
        <v>1</v>
      </c>
      <c r="EE36" s="5">
        <f>(DW36/EA36)^Tabelle3[[#This Row],[Heizkörperexponent n]]</f>
        <v>1</v>
      </c>
      <c r="EF36" s="5" cm="1">
        <f t="array" ref="EF36">_xlfn.XLOOKUP(Heizflächen!J40&amp;Heizflächen!M40&amp;Heizflächen!N40&amp;Heizflächen!O40&amp;Heizflächen!P40&amp;Heizflächen!Q40,Tabelle4[Typ]&amp;Tabelle4[Breite '[mm']]&amp;Tabelle4[Höhe '[mm']]&amp;Tabelle4[Bauhöhe Radiator '[mm']]&amp;Tabelle4[Nabenabstand Radiator '[mm']]&amp;Tabelle4[Bautiefe Radiator '[mm']],Tabelle4[Wärmeleistung (Radiatoren je Glied) '[W']],,-1,1)</f>
        <v>0</v>
      </c>
      <c r="EG36" s="5">
        <f>Heizflächen!R40</f>
        <v>0</v>
      </c>
      <c r="EH36" s="150">
        <f>IF(AND(Tabelle3[[#This Row],[Gliederanzahl]]&gt;0,Heizflächen!J40="Radiator"),Tabelle3[[#This Row],[Norm Heizleistung QNorm]]*Tabelle3[[#This Row],[f = (Δθm1/Δθm2)^n]]*Tabelle3[[#This Row],[Abminderungsfaktor]]*Tabelle3[[#This Row],[Gliederanzahl]],Tabelle3[[#This Row],[Abminderungsfaktor]]*Tabelle3[[#This Row],[f = (Δθm1/Δθm2)^n]]*Tabelle3[[#This Row],[Norm Heizleistung QNorm]])</f>
        <v>0</v>
      </c>
      <c r="EM36" s="2">
        <f>Heizflächen!C40</f>
        <v>0</v>
      </c>
      <c r="EN36" s="2">
        <f>Heizflächen!D40</f>
        <v>0</v>
      </c>
      <c r="EO36" s="2">
        <f>1-(Heizflächen!S40/0.075)</f>
        <v>1</v>
      </c>
      <c r="EP36" s="2">
        <f>100*(0.045-Heizflächen!T40)</f>
        <v>4.5</v>
      </c>
      <c r="EQ36" s="2">
        <f>250*(Heizflächen!U40-0.02)</f>
        <v>-5</v>
      </c>
      <c r="ER36" s="2">
        <f>_xlfn.XLOOKUP(Tabelle14[[#This Row],[Wärmedurchlasswiderstand Bodenbelag]],Tabelle17[Wärmedurchlasswiderstand Rλ,B in '[m²K/W']],Tabelle17[aT],0,-1,1)</f>
        <v>1.23</v>
      </c>
      <c r="ES36" s="2" cm="1">
        <f t="array" ref="ES36">_xlfn.XLOOKUP(Heizflächen!S40&amp;Tabelle14[[#This Row],[Wärmedurchlasswiderstand Bodenbelag]],Tabelle18[T]&amp;Tabelle18[Rλ,B in '[m²K/W']],Tabelle18[au],0,-1,1)</f>
        <v>0</v>
      </c>
      <c r="ET36" s="2" cm="1">
        <f t="array" ref="ET36">_xlfn.XLOOKUP(Heizflächen!S40&amp;Tabelle14[[#This Row],[Wärmedurchlasswiderstand Bodenbelag]],Tabelle19[T]&amp;Tabelle19[Rλ,B in '[m²K/W']],Tabelle19[aD],0,-1,1)</f>
        <v>0</v>
      </c>
      <c r="EU36" s="5">
        <f>_xlfn.XLOOKUP(Heizflächen!$U$64,Tabelle5[Auswählbare Vor-und Rücklauftemperaturen],Tabelle5[Vorlauf],0,0,1)</f>
        <v>35</v>
      </c>
      <c r="EV36" s="5">
        <f>_xlfn.XLOOKUP(Heizflächen!$U$64,Tabelle5[Auswählbare Vor-und Rücklauftemperaturen],Tabelle5[Rücklauf],0,0,1)</f>
        <v>30</v>
      </c>
      <c r="EW36" s="77">
        <f>((Tabelle14[[#This Row],[gewünschte Vorlauftemperatur]]-Tabelle14[[#This Row],[gewünschte Rücklauftemperatur]])/LN((Tabelle14[[#This Row],[gewünschte Vorlauftemperatur]]-Heizflächen!G40)/(Tabelle14[[#This Row],[gewünschte Rücklauftemperatur]]-Heizflächen!G40)))</f>
        <v>32.435795973154399</v>
      </c>
      <c r="EX36" s="2">
        <f>_xlfn.XLOOKUP(Heizflächen!V40,Tabelle13[Bodenbelagsmaterial],Tabelle13[Wärmedurchlasswiderstand Rλ,B in '[m²K/W']],0,0,1)</f>
        <v>0</v>
      </c>
      <c r="EY36" s="163">
        <f>((1/10.8)+(0.045/1))/((1/10.8)+(0.045/1.4)+Tabelle14[[#This Row],[Wärmedurchlasswiderstand Bodenbelag]])</f>
        <v>1.1030752916224815</v>
      </c>
      <c r="EZ36" s="2">
        <v>6.7</v>
      </c>
      <c r="FA36" s="164" t="e">
        <f>Tabelle14[[#This Row],[B '[W/(m²K)']]]*Tabelle14[[#This Row],[aB]]*(Tabelle14[[#This Row],[aT]]^Tabelle14[[#This Row],[mT]])*(Tabelle14[[#This Row],[au]]^Tabelle14[[#This Row],[mu]])*(Tabelle14[[#This Row],[aD]]^Tabelle14[[#This Row],[mD]])*Tabelle14[[#This Row],[gewünschte Übertemperatur Δθm]]</f>
        <v>#DIV/0!</v>
      </c>
      <c r="FB36" s="2">
        <f>IFERROR(Tabelle14[[#This Row],[q '[W/m²']]]*(Heizflächen!E40-Heizflächen!F40),0)</f>
        <v>0</v>
      </c>
      <c r="FC36" s="2">
        <f>Heizflächen!H40</f>
        <v>29</v>
      </c>
      <c r="FI36" s="2">
        <v>30</v>
      </c>
    </row>
    <row r="37" spans="2:165">
      <c r="B37" s="31" t="s">
        <v>556</v>
      </c>
      <c r="C37" s="32"/>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BH37" s="2" t="s">
        <v>434</v>
      </c>
      <c r="BI37" s="2">
        <v>2600</v>
      </c>
      <c r="BJ37" s="2">
        <v>400</v>
      </c>
      <c r="BN37" s="2">
        <v>2304</v>
      </c>
      <c r="DF37" s="2">
        <v>0.3</v>
      </c>
      <c r="DG37" s="2">
        <v>0.05</v>
      </c>
      <c r="DH37" s="2">
        <v>1.0309999999999999</v>
      </c>
      <c r="DQ37" s="2">
        <f>Heizflächen!C41</f>
        <v>0</v>
      </c>
      <c r="DR37" s="5">
        <f>Heizflächen!D41</f>
        <v>0</v>
      </c>
      <c r="DS37" s="5">
        <f>Heizflächen!H41</f>
        <v>30</v>
      </c>
      <c r="DT37" s="5">
        <f>Heizflächen!G41</f>
        <v>0</v>
      </c>
      <c r="DU37" s="5">
        <f>_xlfn.XLOOKUP(Heizflächen!$U$64,Tabelle5[Auswählbare Vor-und Rücklauftemperaturen],Tabelle5[Vorlauf],0,0,1)</f>
        <v>35</v>
      </c>
      <c r="DV37" s="5">
        <f>_xlfn.XLOOKUP(Heizflächen!$U$64,Tabelle5[Auswählbare Vor-und Rücklauftemperaturen],Tabelle5[Rücklauf],0,0,1)</f>
        <v>30</v>
      </c>
      <c r="DW37"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37" s="5">
        <f>_xlfn.XLOOKUP($DZ$3,Tabelle6[Systemtemperatur bei Norm-Wärmeleistungsbestimmung],Tabelle6[Vorlauf],0,0,1)</f>
        <v>55</v>
      </c>
      <c r="DY37" s="5">
        <f>_xlfn.XLOOKUP($DZ$3,Tabelle6[Systemtemperatur bei Norm-Wärmeleistungsbestimmung],Tabelle6[Rücklauf],0,0,1)</f>
        <v>45</v>
      </c>
      <c r="DZ37" s="5">
        <f>_xlfn.XLOOKUP($DZ$3,Tabelle6[Systemtemperatur bei Norm-Wärmeleistungsbestimmung],Tabelle6[Norm Innentemperatur],0,0,1)</f>
        <v>20</v>
      </c>
      <c r="EA37" s="147">
        <f>((Tabelle3[[#This Row],[Norm Vorlauftemperatur]]-Tabelle3[[#This Row],[Norm Rücklauftemperatur]])/LN((Tabelle3[[#This Row],[Norm Vorlauftemperatur]]-Tabelle3[[#This Row],[Norm Innentemperatur]])/(Tabelle3[[#This Row],[Norm Rücklauftemperatur]]-Tabelle3[[#This Row],[Norm Innentemperatur]])))</f>
        <v>29.720134119884619</v>
      </c>
      <c r="EB37" s="5">
        <f>_xlfn.XLOOKUP(Heizflächen!I41,Tabelle2[Typ],Tabelle2[Heizkörperexponent],0,1,1)</f>
        <v>0</v>
      </c>
      <c r="EC37" s="148">
        <f>Heizflächen!K41</f>
        <v>0</v>
      </c>
      <c r="ED37" s="5">
        <f>IF(Tabelle3[[#This Row],[Heizkörper in Nische?]]="Nein",1,_xlfn.XLOOKUP(Heizflächen!L41, Tabelle8[Höhe über HK],Tabelle8[Abminderungsfaktor],1,0,1))</f>
        <v>1</v>
      </c>
      <c r="EE37" s="5">
        <f>(DW37/EA37)^Tabelle3[[#This Row],[Heizkörperexponent n]]</f>
        <v>1</v>
      </c>
      <c r="EF37" s="5" cm="1">
        <f t="array" ref="EF37">_xlfn.XLOOKUP(Heizflächen!J41&amp;Heizflächen!M41&amp;Heizflächen!N41&amp;Heizflächen!O41&amp;Heizflächen!P41&amp;Heizflächen!Q41,Tabelle4[Typ]&amp;Tabelle4[Breite '[mm']]&amp;Tabelle4[Höhe '[mm']]&amp;Tabelle4[Bauhöhe Radiator '[mm']]&amp;Tabelle4[Nabenabstand Radiator '[mm']]&amp;Tabelle4[Bautiefe Radiator '[mm']],Tabelle4[Wärmeleistung (Radiatoren je Glied) '[W']],,-1,1)</f>
        <v>0</v>
      </c>
      <c r="EG37" s="5">
        <f>Heizflächen!R41</f>
        <v>0</v>
      </c>
      <c r="EH37" s="150">
        <f>IF(AND(Tabelle3[[#This Row],[Gliederanzahl]]&gt;0,Heizflächen!J41="Radiator"),Tabelle3[[#This Row],[Norm Heizleistung QNorm]]*Tabelle3[[#This Row],[f = (Δθm1/Δθm2)^n]]*Tabelle3[[#This Row],[Abminderungsfaktor]]*Tabelle3[[#This Row],[Gliederanzahl]],Tabelle3[[#This Row],[Abminderungsfaktor]]*Tabelle3[[#This Row],[f = (Δθm1/Δθm2)^n]]*Tabelle3[[#This Row],[Norm Heizleistung QNorm]])</f>
        <v>0</v>
      </c>
      <c r="EM37" s="2">
        <f>Heizflächen!C41</f>
        <v>0</v>
      </c>
      <c r="EN37" s="2">
        <f>Heizflächen!D41</f>
        <v>0</v>
      </c>
      <c r="EO37" s="2">
        <f>1-(Heizflächen!S41/0.075)</f>
        <v>1</v>
      </c>
      <c r="EP37" s="2">
        <f>100*(0.045-Heizflächen!T41)</f>
        <v>4.5</v>
      </c>
      <c r="EQ37" s="2">
        <f>250*(Heizflächen!U41-0.02)</f>
        <v>-5</v>
      </c>
      <c r="ER37" s="2">
        <f>_xlfn.XLOOKUP(Tabelle14[[#This Row],[Wärmedurchlasswiderstand Bodenbelag]],Tabelle17[Wärmedurchlasswiderstand Rλ,B in '[m²K/W']],Tabelle17[aT],0,-1,1)</f>
        <v>1.23</v>
      </c>
      <c r="ES37" s="2" cm="1">
        <f t="array" ref="ES37">_xlfn.XLOOKUP(Heizflächen!S41&amp;Tabelle14[[#This Row],[Wärmedurchlasswiderstand Bodenbelag]],Tabelle18[T]&amp;Tabelle18[Rλ,B in '[m²K/W']],Tabelle18[au],0,-1,1)</f>
        <v>0</v>
      </c>
      <c r="ET37" s="2" cm="1">
        <f t="array" ref="ET37">_xlfn.XLOOKUP(Heizflächen!S41&amp;Tabelle14[[#This Row],[Wärmedurchlasswiderstand Bodenbelag]],Tabelle19[T]&amp;Tabelle19[Rλ,B in '[m²K/W']],Tabelle19[aD],0,-1,1)</f>
        <v>0</v>
      </c>
      <c r="EU37" s="5">
        <f>_xlfn.XLOOKUP(Heizflächen!$U$64,Tabelle5[Auswählbare Vor-und Rücklauftemperaturen],Tabelle5[Vorlauf],0,0,1)</f>
        <v>35</v>
      </c>
      <c r="EV37" s="5">
        <f>_xlfn.XLOOKUP(Heizflächen!$U$64,Tabelle5[Auswählbare Vor-und Rücklauftemperaturen],Tabelle5[Rücklauf],0,0,1)</f>
        <v>30</v>
      </c>
      <c r="EW37" s="77">
        <f>((Tabelle14[[#This Row],[gewünschte Vorlauftemperatur]]-Tabelle14[[#This Row],[gewünschte Rücklauftemperatur]])/LN((Tabelle14[[#This Row],[gewünschte Vorlauftemperatur]]-Heizflächen!G41)/(Tabelle14[[#This Row],[gewünschte Rücklauftemperatur]]-Heizflächen!G41)))</f>
        <v>32.435795973154399</v>
      </c>
      <c r="EX37" s="2">
        <f>_xlfn.XLOOKUP(Heizflächen!V41,Tabelle13[Bodenbelagsmaterial],Tabelle13[Wärmedurchlasswiderstand Rλ,B in '[m²K/W']],0,0,1)</f>
        <v>0</v>
      </c>
      <c r="EY37" s="163">
        <f>((1/10.8)+(0.045/1))/((1/10.8)+(0.045/1.4)+Tabelle14[[#This Row],[Wärmedurchlasswiderstand Bodenbelag]])</f>
        <v>1.1030752916224815</v>
      </c>
      <c r="EZ37" s="2">
        <v>6.7</v>
      </c>
      <c r="FA37" s="164" t="e">
        <f>Tabelle14[[#This Row],[B '[W/(m²K)']]]*Tabelle14[[#This Row],[aB]]*(Tabelle14[[#This Row],[aT]]^Tabelle14[[#This Row],[mT]])*(Tabelle14[[#This Row],[au]]^Tabelle14[[#This Row],[mu]])*(Tabelle14[[#This Row],[aD]]^Tabelle14[[#This Row],[mD]])*Tabelle14[[#This Row],[gewünschte Übertemperatur Δθm]]</f>
        <v>#DIV/0!</v>
      </c>
      <c r="FB37" s="2">
        <f>IFERROR(Tabelle14[[#This Row],[q '[W/m²']]]*(Heizflächen!E41-Heizflächen!F41),0)</f>
        <v>0</v>
      </c>
      <c r="FC37" s="2">
        <f>Heizflächen!H41</f>
        <v>30</v>
      </c>
      <c r="FI37" s="2">
        <v>31</v>
      </c>
    </row>
    <row r="38" spans="2:165">
      <c r="B38" s="31" t="s">
        <v>557</v>
      </c>
      <c r="C38" s="32"/>
      <c r="D38" s="36">
        <f>D29-D33</f>
        <v>0</v>
      </c>
      <c r="E38" s="36">
        <f>E29-E33</f>
        <v>0</v>
      </c>
      <c r="F38" s="36">
        <f>F29-F33</f>
        <v>0</v>
      </c>
      <c r="G38" s="36">
        <f>G29-G33</f>
        <v>0</v>
      </c>
      <c r="H38" s="36">
        <f>H29-H33</f>
        <v>0</v>
      </c>
      <c r="I38" s="36">
        <f t="shared" ref="I38:AH38" si="6">I29-I33</f>
        <v>0</v>
      </c>
      <c r="J38" s="36">
        <f t="shared" si="6"/>
        <v>0</v>
      </c>
      <c r="K38" s="36">
        <f t="shared" si="6"/>
        <v>0</v>
      </c>
      <c r="L38" s="36">
        <f t="shared" si="6"/>
        <v>0</v>
      </c>
      <c r="M38" s="36">
        <f t="shared" si="6"/>
        <v>0</v>
      </c>
      <c r="N38" s="36">
        <f t="shared" si="6"/>
        <v>0</v>
      </c>
      <c r="O38" s="36">
        <f t="shared" si="6"/>
        <v>0</v>
      </c>
      <c r="P38" s="36">
        <f t="shared" si="6"/>
        <v>0</v>
      </c>
      <c r="Q38" s="36">
        <f t="shared" si="6"/>
        <v>0</v>
      </c>
      <c r="R38" s="36">
        <f t="shared" si="6"/>
        <v>0</v>
      </c>
      <c r="S38" s="36">
        <f t="shared" si="6"/>
        <v>0</v>
      </c>
      <c r="T38" s="36">
        <f t="shared" si="6"/>
        <v>0</v>
      </c>
      <c r="U38" s="36">
        <f t="shared" si="6"/>
        <v>0</v>
      </c>
      <c r="V38" s="36">
        <f t="shared" si="6"/>
        <v>0</v>
      </c>
      <c r="W38" s="36">
        <f t="shared" si="6"/>
        <v>0</v>
      </c>
      <c r="X38" s="36">
        <f t="shared" si="6"/>
        <v>0</v>
      </c>
      <c r="Y38" s="36">
        <f t="shared" si="6"/>
        <v>0</v>
      </c>
      <c r="Z38" s="36">
        <f t="shared" si="6"/>
        <v>0</v>
      </c>
      <c r="AA38" s="36">
        <f t="shared" si="6"/>
        <v>0</v>
      </c>
      <c r="AB38" s="36">
        <f t="shared" si="6"/>
        <v>0</v>
      </c>
      <c r="AC38" s="36">
        <f t="shared" si="6"/>
        <v>0</v>
      </c>
      <c r="AD38" s="36">
        <f t="shared" si="6"/>
        <v>0</v>
      </c>
      <c r="AE38" s="36">
        <f t="shared" si="6"/>
        <v>0</v>
      </c>
      <c r="AF38" s="36">
        <f t="shared" si="6"/>
        <v>0</v>
      </c>
      <c r="AG38" s="36">
        <f t="shared" si="6"/>
        <v>0</v>
      </c>
      <c r="AH38" s="36">
        <f t="shared" si="6"/>
        <v>0</v>
      </c>
      <c r="BH38" s="2" t="s">
        <v>434</v>
      </c>
      <c r="BI38" s="2">
        <v>3000</v>
      </c>
      <c r="BJ38" s="2">
        <v>400</v>
      </c>
      <c r="BN38" s="2">
        <v>2728</v>
      </c>
      <c r="DF38" s="2">
        <v>0.375</v>
      </c>
      <c r="DG38" s="2">
        <v>0.05</v>
      </c>
      <c r="DH38" s="2">
        <v>1.0221</v>
      </c>
      <c r="DQ38" s="2">
        <f>Heizflächen!C42</f>
        <v>0</v>
      </c>
      <c r="DR38" s="5">
        <f>Heizflächen!D42</f>
        <v>0</v>
      </c>
      <c r="DS38" s="5">
        <f>Heizflächen!H42</f>
        <v>31</v>
      </c>
      <c r="DT38" s="5">
        <f>Heizflächen!G42</f>
        <v>0</v>
      </c>
      <c r="DU38" s="5">
        <f>_xlfn.XLOOKUP(Heizflächen!$U$64,Tabelle5[Auswählbare Vor-und Rücklauftemperaturen],Tabelle5[Vorlauf],0,0,1)</f>
        <v>35</v>
      </c>
      <c r="DV38" s="5">
        <f>_xlfn.XLOOKUP(Heizflächen!$U$64,Tabelle5[Auswählbare Vor-und Rücklauftemperaturen],Tabelle5[Rücklauf],0,0,1)</f>
        <v>30</v>
      </c>
      <c r="DW38"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38" s="5">
        <f>_xlfn.XLOOKUP($DZ$3,Tabelle6[Systemtemperatur bei Norm-Wärmeleistungsbestimmung],Tabelle6[Vorlauf],0,0,1)</f>
        <v>55</v>
      </c>
      <c r="DY38" s="5">
        <f>_xlfn.XLOOKUP($DZ$3,Tabelle6[Systemtemperatur bei Norm-Wärmeleistungsbestimmung],Tabelle6[Rücklauf],0,0,1)</f>
        <v>45</v>
      </c>
      <c r="DZ38" s="5">
        <f>_xlfn.XLOOKUP($DZ$3,Tabelle6[Systemtemperatur bei Norm-Wärmeleistungsbestimmung],Tabelle6[Norm Innentemperatur],0,0,1)</f>
        <v>20</v>
      </c>
      <c r="EA38" s="147">
        <f>((Tabelle3[[#This Row],[Norm Vorlauftemperatur]]-Tabelle3[[#This Row],[Norm Rücklauftemperatur]])/LN((Tabelle3[[#This Row],[Norm Vorlauftemperatur]]-Tabelle3[[#This Row],[Norm Innentemperatur]])/(Tabelle3[[#This Row],[Norm Rücklauftemperatur]]-Tabelle3[[#This Row],[Norm Innentemperatur]])))</f>
        <v>29.720134119884619</v>
      </c>
      <c r="EB38" s="5">
        <f>_xlfn.XLOOKUP(Heizflächen!I42,Tabelle2[Typ],Tabelle2[Heizkörperexponent],0,1,1)</f>
        <v>0</v>
      </c>
      <c r="EC38" s="148">
        <f>Heizflächen!K42</f>
        <v>0</v>
      </c>
      <c r="ED38" s="5">
        <f>IF(Tabelle3[[#This Row],[Heizkörper in Nische?]]="Nein",1,_xlfn.XLOOKUP(Heizflächen!L42, Tabelle8[Höhe über HK],Tabelle8[Abminderungsfaktor],1,0,1))</f>
        <v>1</v>
      </c>
      <c r="EE38" s="5">
        <f>(DW38/EA38)^Tabelle3[[#This Row],[Heizkörperexponent n]]</f>
        <v>1</v>
      </c>
      <c r="EF38" s="5" cm="1">
        <f t="array" ref="EF38">_xlfn.XLOOKUP(Heizflächen!J42&amp;Heizflächen!M42&amp;Heizflächen!N42&amp;Heizflächen!O42&amp;Heizflächen!P42&amp;Heizflächen!Q42,Tabelle4[Typ]&amp;Tabelle4[Breite '[mm']]&amp;Tabelle4[Höhe '[mm']]&amp;Tabelle4[Bauhöhe Radiator '[mm']]&amp;Tabelle4[Nabenabstand Radiator '[mm']]&amp;Tabelle4[Bautiefe Radiator '[mm']],Tabelle4[Wärmeleistung (Radiatoren je Glied) '[W']],,-1,1)</f>
        <v>0</v>
      </c>
      <c r="EG38" s="5">
        <f>Heizflächen!R42</f>
        <v>0</v>
      </c>
      <c r="EH38" s="150">
        <f>IF(AND(Tabelle3[[#This Row],[Gliederanzahl]]&gt;0,Heizflächen!J42="Radiator"),Tabelle3[[#This Row],[Norm Heizleistung QNorm]]*Tabelle3[[#This Row],[f = (Δθm1/Δθm2)^n]]*Tabelle3[[#This Row],[Abminderungsfaktor]]*Tabelle3[[#This Row],[Gliederanzahl]],Tabelle3[[#This Row],[Abminderungsfaktor]]*Tabelle3[[#This Row],[f = (Δθm1/Δθm2)^n]]*Tabelle3[[#This Row],[Norm Heizleistung QNorm]])</f>
        <v>0</v>
      </c>
      <c r="EM38" s="2">
        <f>Heizflächen!C42</f>
        <v>0</v>
      </c>
      <c r="EN38" s="2">
        <f>Heizflächen!D42</f>
        <v>0</v>
      </c>
      <c r="EO38" s="2">
        <f>1-(Heizflächen!S42/0.075)</f>
        <v>1</v>
      </c>
      <c r="EP38" s="2">
        <f>100*(0.045-Heizflächen!T42)</f>
        <v>4.5</v>
      </c>
      <c r="EQ38" s="2">
        <f>250*(Heizflächen!U42-0.02)</f>
        <v>-5</v>
      </c>
      <c r="ER38" s="2">
        <f>_xlfn.XLOOKUP(Tabelle14[[#This Row],[Wärmedurchlasswiderstand Bodenbelag]],Tabelle17[Wärmedurchlasswiderstand Rλ,B in '[m²K/W']],Tabelle17[aT],0,-1,1)</f>
        <v>1.23</v>
      </c>
      <c r="ES38" s="2" cm="1">
        <f t="array" ref="ES38">_xlfn.XLOOKUP(Heizflächen!S42&amp;Tabelle14[[#This Row],[Wärmedurchlasswiderstand Bodenbelag]],Tabelle18[T]&amp;Tabelle18[Rλ,B in '[m²K/W']],Tabelle18[au],0,-1,1)</f>
        <v>0</v>
      </c>
      <c r="ET38" s="2" cm="1">
        <f t="array" ref="ET38">_xlfn.XLOOKUP(Heizflächen!S42&amp;Tabelle14[[#This Row],[Wärmedurchlasswiderstand Bodenbelag]],Tabelle19[T]&amp;Tabelle19[Rλ,B in '[m²K/W']],Tabelle19[aD],0,-1,1)</f>
        <v>0</v>
      </c>
      <c r="EU38" s="5">
        <f>_xlfn.XLOOKUP(Heizflächen!$U$64,Tabelle5[Auswählbare Vor-und Rücklauftemperaturen],Tabelle5[Vorlauf],0,0,1)</f>
        <v>35</v>
      </c>
      <c r="EV38" s="5">
        <f>_xlfn.XLOOKUP(Heizflächen!$U$64,Tabelle5[Auswählbare Vor-und Rücklauftemperaturen],Tabelle5[Rücklauf],0,0,1)</f>
        <v>30</v>
      </c>
      <c r="EW38" s="77">
        <f>((Tabelle14[[#This Row],[gewünschte Vorlauftemperatur]]-Tabelle14[[#This Row],[gewünschte Rücklauftemperatur]])/LN((Tabelle14[[#This Row],[gewünschte Vorlauftemperatur]]-Heizflächen!G42)/(Tabelle14[[#This Row],[gewünschte Rücklauftemperatur]]-Heizflächen!G42)))</f>
        <v>32.435795973154399</v>
      </c>
      <c r="EX38" s="2">
        <f>_xlfn.XLOOKUP(Heizflächen!V42,Tabelle13[Bodenbelagsmaterial],Tabelle13[Wärmedurchlasswiderstand Rλ,B in '[m²K/W']],0,0,1)</f>
        <v>0</v>
      </c>
      <c r="EY38" s="163">
        <f>((1/10.8)+(0.045/1))/((1/10.8)+(0.045/1.4)+Tabelle14[[#This Row],[Wärmedurchlasswiderstand Bodenbelag]])</f>
        <v>1.1030752916224815</v>
      </c>
      <c r="EZ38" s="2">
        <v>6.7</v>
      </c>
      <c r="FA38" s="164" t="e">
        <f>Tabelle14[[#This Row],[B '[W/(m²K)']]]*Tabelle14[[#This Row],[aB]]*(Tabelle14[[#This Row],[aT]]^Tabelle14[[#This Row],[mT]])*(Tabelle14[[#This Row],[au]]^Tabelle14[[#This Row],[mu]])*(Tabelle14[[#This Row],[aD]]^Tabelle14[[#This Row],[mD]])*Tabelle14[[#This Row],[gewünschte Übertemperatur Δθm]]</f>
        <v>#DIV/0!</v>
      </c>
      <c r="FB38" s="2">
        <f>IFERROR(Tabelle14[[#This Row],[q '[W/m²']]]*(Heizflächen!E42-Heizflächen!F42),0)</f>
        <v>0</v>
      </c>
      <c r="FC38" s="2">
        <f>Heizflächen!H42</f>
        <v>31</v>
      </c>
      <c r="FI38" s="2">
        <v>32</v>
      </c>
    </row>
    <row r="39" spans="2:165" ht="17.399999999999999" thickBot="1">
      <c r="B39" s="40" t="s">
        <v>558</v>
      </c>
      <c r="C39" s="41"/>
      <c r="D39" s="42">
        <f>D36/12</f>
        <v>0</v>
      </c>
      <c r="E39" s="42">
        <f t="shared" ref="E39:AH39" si="7">E36/12</f>
        <v>0</v>
      </c>
      <c r="F39" s="42">
        <f t="shared" si="7"/>
        <v>0</v>
      </c>
      <c r="G39" s="42">
        <f t="shared" si="7"/>
        <v>0</v>
      </c>
      <c r="H39" s="42">
        <f t="shared" si="7"/>
        <v>0</v>
      </c>
      <c r="I39" s="42">
        <f t="shared" si="7"/>
        <v>0</v>
      </c>
      <c r="J39" s="42">
        <f t="shared" si="7"/>
        <v>0</v>
      </c>
      <c r="K39" s="42">
        <f t="shared" si="7"/>
        <v>0</v>
      </c>
      <c r="L39" s="42">
        <f t="shared" si="7"/>
        <v>0</v>
      </c>
      <c r="M39" s="42">
        <f t="shared" si="7"/>
        <v>0</v>
      </c>
      <c r="N39" s="42">
        <f t="shared" si="7"/>
        <v>0</v>
      </c>
      <c r="O39" s="42">
        <f t="shared" si="7"/>
        <v>0</v>
      </c>
      <c r="P39" s="42">
        <f t="shared" si="7"/>
        <v>0</v>
      </c>
      <c r="Q39" s="42">
        <f t="shared" si="7"/>
        <v>0</v>
      </c>
      <c r="R39" s="42">
        <f t="shared" si="7"/>
        <v>0</v>
      </c>
      <c r="S39" s="42">
        <f t="shared" si="7"/>
        <v>0</v>
      </c>
      <c r="T39" s="42">
        <f t="shared" si="7"/>
        <v>0</v>
      </c>
      <c r="U39" s="42">
        <f t="shared" si="7"/>
        <v>0</v>
      </c>
      <c r="V39" s="42">
        <f t="shared" si="7"/>
        <v>0</v>
      </c>
      <c r="W39" s="42">
        <f t="shared" si="7"/>
        <v>0</v>
      </c>
      <c r="X39" s="42">
        <f t="shared" si="7"/>
        <v>0</v>
      </c>
      <c r="Y39" s="42">
        <f t="shared" si="7"/>
        <v>0</v>
      </c>
      <c r="Z39" s="42">
        <f t="shared" si="7"/>
        <v>0</v>
      </c>
      <c r="AA39" s="42">
        <f t="shared" si="7"/>
        <v>0</v>
      </c>
      <c r="AB39" s="42">
        <f t="shared" si="7"/>
        <v>0</v>
      </c>
      <c r="AC39" s="42">
        <f t="shared" si="7"/>
        <v>0</v>
      </c>
      <c r="AD39" s="42">
        <f t="shared" si="7"/>
        <v>0</v>
      </c>
      <c r="AE39" s="42">
        <f t="shared" si="7"/>
        <v>0</v>
      </c>
      <c r="AF39" s="42">
        <f t="shared" si="7"/>
        <v>0</v>
      </c>
      <c r="AG39" s="42">
        <f t="shared" si="7"/>
        <v>0</v>
      </c>
      <c r="AH39" s="42">
        <f t="shared" si="7"/>
        <v>0</v>
      </c>
      <c r="BH39" s="2" t="s">
        <v>434</v>
      </c>
      <c r="BI39" s="2">
        <v>400</v>
      </c>
      <c r="BJ39" s="2">
        <v>500</v>
      </c>
      <c r="BN39" s="2">
        <v>440</v>
      </c>
      <c r="DF39" s="2">
        <v>0.05</v>
      </c>
      <c r="DG39" s="2">
        <v>0.1</v>
      </c>
      <c r="DH39" s="2">
        <v>1.0429999999999999</v>
      </c>
      <c r="DQ39" s="2">
        <f>Heizflächen!C43</f>
        <v>0</v>
      </c>
      <c r="DR39" s="5">
        <f>Heizflächen!D43</f>
        <v>0</v>
      </c>
      <c r="DS39" s="5">
        <f>Heizflächen!H43</f>
        <v>32</v>
      </c>
      <c r="DT39" s="5">
        <f>Heizflächen!G43</f>
        <v>0</v>
      </c>
      <c r="DU39" s="5">
        <f>_xlfn.XLOOKUP(Heizflächen!$U$64,Tabelle5[Auswählbare Vor-und Rücklauftemperaturen],Tabelle5[Vorlauf],0,0,1)</f>
        <v>35</v>
      </c>
      <c r="DV39" s="5">
        <f>_xlfn.XLOOKUP(Heizflächen!$U$64,Tabelle5[Auswählbare Vor-und Rücklauftemperaturen],Tabelle5[Rücklauf],0,0,1)</f>
        <v>30</v>
      </c>
      <c r="DW39"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39" s="5">
        <f>_xlfn.XLOOKUP($DZ$3,Tabelle6[Systemtemperatur bei Norm-Wärmeleistungsbestimmung],Tabelle6[Vorlauf],0,0,1)</f>
        <v>55</v>
      </c>
      <c r="DY39" s="5">
        <f>_xlfn.XLOOKUP($DZ$3,Tabelle6[Systemtemperatur bei Norm-Wärmeleistungsbestimmung],Tabelle6[Rücklauf],0,0,1)</f>
        <v>45</v>
      </c>
      <c r="DZ39" s="5">
        <f>_xlfn.XLOOKUP($DZ$3,Tabelle6[Systemtemperatur bei Norm-Wärmeleistungsbestimmung],Tabelle6[Norm Innentemperatur],0,0,1)</f>
        <v>20</v>
      </c>
      <c r="EA39" s="147">
        <f>((Tabelle3[[#This Row],[Norm Vorlauftemperatur]]-Tabelle3[[#This Row],[Norm Rücklauftemperatur]])/LN((Tabelle3[[#This Row],[Norm Vorlauftemperatur]]-Tabelle3[[#This Row],[Norm Innentemperatur]])/(Tabelle3[[#This Row],[Norm Rücklauftemperatur]]-Tabelle3[[#This Row],[Norm Innentemperatur]])))</f>
        <v>29.720134119884619</v>
      </c>
      <c r="EB39" s="5">
        <f>_xlfn.XLOOKUP(Heizflächen!I43,Tabelle2[Typ],Tabelle2[Heizkörperexponent],0,1,1)</f>
        <v>0</v>
      </c>
      <c r="EC39" s="148">
        <f>Heizflächen!K43</f>
        <v>0</v>
      </c>
      <c r="ED39" s="5">
        <f>IF(Tabelle3[[#This Row],[Heizkörper in Nische?]]="Nein",1,_xlfn.XLOOKUP(Heizflächen!L43, Tabelle8[Höhe über HK],Tabelle8[Abminderungsfaktor],1,0,1))</f>
        <v>1</v>
      </c>
      <c r="EE39" s="5">
        <f>(DW39/EA39)^Tabelle3[[#This Row],[Heizkörperexponent n]]</f>
        <v>1</v>
      </c>
      <c r="EF39" s="5" cm="1">
        <f t="array" ref="EF39">_xlfn.XLOOKUP(Heizflächen!J43&amp;Heizflächen!M43&amp;Heizflächen!N43&amp;Heizflächen!O43&amp;Heizflächen!P43&amp;Heizflächen!Q43,Tabelle4[Typ]&amp;Tabelle4[Breite '[mm']]&amp;Tabelle4[Höhe '[mm']]&amp;Tabelle4[Bauhöhe Radiator '[mm']]&amp;Tabelle4[Nabenabstand Radiator '[mm']]&amp;Tabelle4[Bautiefe Radiator '[mm']],Tabelle4[Wärmeleistung (Radiatoren je Glied) '[W']],,-1,1)</f>
        <v>0</v>
      </c>
      <c r="EG39" s="5">
        <f>Heizflächen!R43</f>
        <v>0</v>
      </c>
      <c r="EH39" s="150">
        <f>IF(AND(Tabelle3[[#This Row],[Gliederanzahl]]&gt;0,Heizflächen!J43="Radiator"),Tabelle3[[#This Row],[Norm Heizleistung QNorm]]*Tabelle3[[#This Row],[f = (Δθm1/Δθm2)^n]]*Tabelle3[[#This Row],[Abminderungsfaktor]]*Tabelle3[[#This Row],[Gliederanzahl]],Tabelle3[[#This Row],[Abminderungsfaktor]]*Tabelle3[[#This Row],[f = (Δθm1/Δθm2)^n]]*Tabelle3[[#This Row],[Norm Heizleistung QNorm]])</f>
        <v>0</v>
      </c>
      <c r="EM39" s="2">
        <f>Heizflächen!C43</f>
        <v>0</v>
      </c>
      <c r="EN39" s="2">
        <f>Heizflächen!D43</f>
        <v>0</v>
      </c>
      <c r="EO39" s="2">
        <f>1-(Heizflächen!S43/0.075)</f>
        <v>1</v>
      </c>
      <c r="EP39" s="2">
        <f>100*(0.045-Heizflächen!T43)</f>
        <v>4.5</v>
      </c>
      <c r="EQ39" s="2">
        <f>250*(Heizflächen!U43-0.02)</f>
        <v>-5</v>
      </c>
      <c r="ER39" s="2">
        <f>_xlfn.XLOOKUP(Tabelle14[[#This Row],[Wärmedurchlasswiderstand Bodenbelag]],Tabelle17[Wärmedurchlasswiderstand Rλ,B in '[m²K/W']],Tabelle17[aT],0,-1,1)</f>
        <v>1.23</v>
      </c>
      <c r="ES39" s="2" cm="1">
        <f t="array" ref="ES39">_xlfn.XLOOKUP(Heizflächen!S43&amp;Tabelle14[[#This Row],[Wärmedurchlasswiderstand Bodenbelag]],Tabelle18[T]&amp;Tabelle18[Rλ,B in '[m²K/W']],Tabelle18[au],0,-1,1)</f>
        <v>0</v>
      </c>
      <c r="ET39" s="2" cm="1">
        <f t="array" ref="ET39">_xlfn.XLOOKUP(Heizflächen!S43&amp;Tabelle14[[#This Row],[Wärmedurchlasswiderstand Bodenbelag]],Tabelle19[T]&amp;Tabelle19[Rλ,B in '[m²K/W']],Tabelle19[aD],0,-1,1)</f>
        <v>0</v>
      </c>
      <c r="EU39" s="5">
        <f>_xlfn.XLOOKUP(Heizflächen!$U$64,Tabelle5[Auswählbare Vor-und Rücklauftemperaturen],Tabelle5[Vorlauf],0,0,1)</f>
        <v>35</v>
      </c>
      <c r="EV39" s="5">
        <f>_xlfn.XLOOKUP(Heizflächen!$U$64,Tabelle5[Auswählbare Vor-und Rücklauftemperaturen],Tabelle5[Rücklauf],0,0,1)</f>
        <v>30</v>
      </c>
      <c r="EW39" s="77">
        <f>((Tabelle14[[#This Row],[gewünschte Vorlauftemperatur]]-Tabelle14[[#This Row],[gewünschte Rücklauftemperatur]])/LN((Tabelle14[[#This Row],[gewünschte Vorlauftemperatur]]-Heizflächen!G43)/(Tabelle14[[#This Row],[gewünschte Rücklauftemperatur]]-Heizflächen!G43)))</f>
        <v>32.435795973154399</v>
      </c>
      <c r="EX39" s="2">
        <f>_xlfn.XLOOKUP(Heizflächen!V43,Tabelle13[Bodenbelagsmaterial],Tabelle13[Wärmedurchlasswiderstand Rλ,B in '[m²K/W']],0,0,1)</f>
        <v>0</v>
      </c>
      <c r="EY39" s="163">
        <f>((1/10.8)+(0.045/1))/((1/10.8)+(0.045/1.4)+Tabelle14[[#This Row],[Wärmedurchlasswiderstand Bodenbelag]])</f>
        <v>1.1030752916224815</v>
      </c>
      <c r="EZ39" s="2">
        <v>6.7</v>
      </c>
      <c r="FA39" s="164" t="e">
        <f>Tabelle14[[#This Row],[B '[W/(m²K)']]]*Tabelle14[[#This Row],[aB]]*(Tabelle14[[#This Row],[aT]]^Tabelle14[[#This Row],[mT]])*(Tabelle14[[#This Row],[au]]^Tabelle14[[#This Row],[mu]])*(Tabelle14[[#This Row],[aD]]^Tabelle14[[#This Row],[mD]])*Tabelle14[[#This Row],[gewünschte Übertemperatur Δθm]]</f>
        <v>#DIV/0!</v>
      </c>
      <c r="FB39" s="2">
        <f>IFERROR(Tabelle14[[#This Row],[q '[W/m²']]]*(Heizflächen!E43-Heizflächen!F43),0)</f>
        <v>0</v>
      </c>
      <c r="FC39" s="2">
        <f>Heizflächen!H43</f>
        <v>32</v>
      </c>
      <c r="FI39" s="2">
        <v>33</v>
      </c>
    </row>
    <row r="40" spans="2:165" ht="17.399999999999999" thickBot="1">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BH40" s="2" t="s">
        <v>434</v>
      </c>
      <c r="BI40" s="2">
        <v>500</v>
      </c>
      <c r="BJ40" s="2">
        <v>500</v>
      </c>
      <c r="BN40" s="2">
        <v>550</v>
      </c>
      <c r="DF40" s="2">
        <v>7.4999999999999997E-2</v>
      </c>
      <c r="DG40" s="2">
        <v>0.1</v>
      </c>
      <c r="DH40" s="2">
        <v>1.0409999999999999</v>
      </c>
      <c r="DQ40" s="2">
        <f>Heizflächen!C44</f>
        <v>0</v>
      </c>
      <c r="DR40" s="5">
        <f>Heizflächen!D44</f>
        <v>0</v>
      </c>
      <c r="DS40" s="5">
        <f>Heizflächen!H44</f>
        <v>33</v>
      </c>
      <c r="DT40" s="5">
        <f>Heizflächen!G44</f>
        <v>0</v>
      </c>
      <c r="DU40" s="5">
        <f>_xlfn.XLOOKUP(Heizflächen!$U$64,Tabelle5[Auswählbare Vor-und Rücklauftemperaturen],Tabelle5[Vorlauf],0,0,1)</f>
        <v>35</v>
      </c>
      <c r="DV40" s="5">
        <f>_xlfn.XLOOKUP(Heizflächen!$U$64,Tabelle5[Auswählbare Vor-und Rücklauftemperaturen],Tabelle5[Rücklauf],0,0,1)</f>
        <v>30</v>
      </c>
      <c r="DW40"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40" s="5">
        <f>_xlfn.XLOOKUP($DZ$3,Tabelle6[Systemtemperatur bei Norm-Wärmeleistungsbestimmung],Tabelle6[Vorlauf],0,0,1)</f>
        <v>55</v>
      </c>
      <c r="DY40" s="5">
        <f>_xlfn.XLOOKUP($DZ$3,Tabelle6[Systemtemperatur bei Norm-Wärmeleistungsbestimmung],Tabelle6[Rücklauf],0,0,1)</f>
        <v>45</v>
      </c>
      <c r="DZ40" s="5">
        <f>_xlfn.XLOOKUP($DZ$3,Tabelle6[Systemtemperatur bei Norm-Wärmeleistungsbestimmung],Tabelle6[Norm Innentemperatur],0,0,1)</f>
        <v>20</v>
      </c>
      <c r="EA40" s="147">
        <f>((Tabelle3[[#This Row],[Norm Vorlauftemperatur]]-Tabelle3[[#This Row],[Norm Rücklauftemperatur]])/LN((Tabelle3[[#This Row],[Norm Vorlauftemperatur]]-Tabelle3[[#This Row],[Norm Innentemperatur]])/(Tabelle3[[#This Row],[Norm Rücklauftemperatur]]-Tabelle3[[#This Row],[Norm Innentemperatur]])))</f>
        <v>29.720134119884619</v>
      </c>
      <c r="EB40" s="5">
        <f>_xlfn.XLOOKUP(Heizflächen!I44,Tabelle2[Typ],Tabelle2[Heizkörperexponent],0,1,1)</f>
        <v>0</v>
      </c>
      <c r="EC40" s="148">
        <f>Heizflächen!K44</f>
        <v>0</v>
      </c>
      <c r="ED40" s="5">
        <f>IF(Tabelle3[[#This Row],[Heizkörper in Nische?]]="Nein",1,_xlfn.XLOOKUP(Heizflächen!L44, Tabelle8[Höhe über HK],Tabelle8[Abminderungsfaktor],1,0,1))</f>
        <v>1</v>
      </c>
      <c r="EE40" s="5">
        <f>(DW40/EA40)^Tabelle3[[#This Row],[Heizkörperexponent n]]</f>
        <v>1</v>
      </c>
      <c r="EF40" s="5" cm="1">
        <f t="array" ref="EF40">_xlfn.XLOOKUP(Heizflächen!J44&amp;Heizflächen!M44&amp;Heizflächen!N44&amp;Heizflächen!O44&amp;Heizflächen!P44&amp;Heizflächen!Q44,Tabelle4[Typ]&amp;Tabelle4[Breite '[mm']]&amp;Tabelle4[Höhe '[mm']]&amp;Tabelle4[Bauhöhe Radiator '[mm']]&amp;Tabelle4[Nabenabstand Radiator '[mm']]&amp;Tabelle4[Bautiefe Radiator '[mm']],Tabelle4[Wärmeleistung (Radiatoren je Glied) '[W']],,-1,1)</f>
        <v>0</v>
      </c>
      <c r="EG40" s="5">
        <f>Heizflächen!R44</f>
        <v>0</v>
      </c>
      <c r="EH40" s="150">
        <f>IF(AND(Tabelle3[[#This Row],[Gliederanzahl]]&gt;0,Heizflächen!J44="Radiator"),Tabelle3[[#This Row],[Norm Heizleistung QNorm]]*Tabelle3[[#This Row],[f = (Δθm1/Δθm2)^n]]*Tabelle3[[#This Row],[Abminderungsfaktor]]*Tabelle3[[#This Row],[Gliederanzahl]],Tabelle3[[#This Row],[Abminderungsfaktor]]*Tabelle3[[#This Row],[f = (Δθm1/Δθm2)^n]]*Tabelle3[[#This Row],[Norm Heizleistung QNorm]])</f>
        <v>0</v>
      </c>
      <c r="EI40" s="5"/>
      <c r="EJ40" s="5"/>
      <c r="EK40" s="5"/>
      <c r="EM40" s="2">
        <f>Heizflächen!C44</f>
        <v>0</v>
      </c>
      <c r="EN40" s="2">
        <f>Heizflächen!D44</f>
        <v>0</v>
      </c>
      <c r="EO40" s="2">
        <f>1-(Heizflächen!S44/0.075)</f>
        <v>1</v>
      </c>
      <c r="EP40" s="2">
        <f>100*(0.045-Heizflächen!T44)</f>
        <v>4.5</v>
      </c>
      <c r="EQ40" s="2">
        <f>250*(Heizflächen!U44-0.02)</f>
        <v>-5</v>
      </c>
      <c r="ER40" s="2">
        <f>_xlfn.XLOOKUP(Tabelle14[[#This Row],[Wärmedurchlasswiderstand Bodenbelag]],Tabelle17[Wärmedurchlasswiderstand Rλ,B in '[m²K/W']],Tabelle17[aT],0,-1,1)</f>
        <v>1.23</v>
      </c>
      <c r="ES40" s="2" cm="1">
        <f t="array" ref="ES40">_xlfn.XLOOKUP(Heizflächen!S44&amp;Tabelle14[[#This Row],[Wärmedurchlasswiderstand Bodenbelag]],Tabelle18[T]&amp;Tabelle18[Rλ,B in '[m²K/W']],Tabelle18[au],0,-1,1)</f>
        <v>0</v>
      </c>
      <c r="ET40" s="2" cm="1">
        <f t="array" ref="ET40">_xlfn.XLOOKUP(Heizflächen!S44&amp;Tabelle14[[#This Row],[Wärmedurchlasswiderstand Bodenbelag]],Tabelle19[T]&amp;Tabelle19[Rλ,B in '[m²K/W']],Tabelle19[aD],0,-1,1)</f>
        <v>0</v>
      </c>
      <c r="EU40" s="5">
        <f>_xlfn.XLOOKUP(Heizflächen!$U$64,Tabelle5[Auswählbare Vor-und Rücklauftemperaturen],Tabelle5[Vorlauf],0,0,1)</f>
        <v>35</v>
      </c>
      <c r="EV40" s="5">
        <f>_xlfn.XLOOKUP(Heizflächen!$U$64,Tabelle5[Auswählbare Vor-und Rücklauftemperaturen],Tabelle5[Rücklauf],0,0,1)</f>
        <v>30</v>
      </c>
      <c r="EW40" s="77">
        <f>((Tabelle14[[#This Row],[gewünschte Vorlauftemperatur]]-Tabelle14[[#This Row],[gewünschte Rücklauftemperatur]])/LN((Tabelle14[[#This Row],[gewünschte Vorlauftemperatur]]-Heizflächen!G44)/(Tabelle14[[#This Row],[gewünschte Rücklauftemperatur]]-Heizflächen!G44)))</f>
        <v>32.435795973154399</v>
      </c>
      <c r="EX40" s="2">
        <f>_xlfn.XLOOKUP(Heizflächen!V44,Tabelle13[Bodenbelagsmaterial],Tabelle13[Wärmedurchlasswiderstand Rλ,B in '[m²K/W']],0,0,1)</f>
        <v>0</v>
      </c>
      <c r="EY40" s="163">
        <f>((1/10.8)+(0.045/1))/((1/10.8)+(0.045/1.4)+Tabelle14[[#This Row],[Wärmedurchlasswiderstand Bodenbelag]])</f>
        <v>1.1030752916224815</v>
      </c>
      <c r="EZ40" s="2">
        <v>6.7</v>
      </c>
      <c r="FA40" s="164" t="e">
        <f>Tabelle14[[#This Row],[B '[W/(m²K)']]]*Tabelle14[[#This Row],[aB]]*(Tabelle14[[#This Row],[aT]]^Tabelle14[[#This Row],[mT]])*(Tabelle14[[#This Row],[au]]^Tabelle14[[#This Row],[mu]])*(Tabelle14[[#This Row],[aD]]^Tabelle14[[#This Row],[mD]])*Tabelle14[[#This Row],[gewünschte Übertemperatur Δθm]]</f>
        <v>#DIV/0!</v>
      </c>
      <c r="FB40" s="2">
        <f>IFERROR(Tabelle14[[#This Row],[q '[W/m²']]]*(Heizflächen!E44-Heizflächen!F44),0)</f>
        <v>0</v>
      </c>
      <c r="FC40" s="2">
        <f>Heizflächen!H44</f>
        <v>33</v>
      </c>
      <c r="FI40" s="2">
        <v>34</v>
      </c>
    </row>
    <row r="41" spans="2:165" ht="19.2" thickBot="1">
      <c r="B41" s="61" t="str">
        <f>Allgemein!M43</f>
        <v>Ergänzungskredit</v>
      </c>
      <c r="C41" s="29"/>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BH41" s="2" t="s">
        <v>434</v>
      </c>
      <c r="BI41" s="2">
        <v>600</v>
      </c>
      <c r="BJ41" s="2">
        <v>500</v>
      </c>
      <c r="BN41" s="2">
        <v>660</v>
      </c>
      <c r="DF41" s="2">
        <v>0.1</v>
      </c>
      <c r="DG41" s="2">
        <v>0.1</v>
      </c>
      <c r="DH41" s="2">
        <v>1.0389999999999999</v>
      </c>
      <c r="DQ41" s="2">
        <f>Heizflächen!C45</f>
        <v>0</v>
      </c>
      <c r="DR41" s="5">
        <f>Heizflächen!D45</f>
        <v>0</v>
      </c>
      <c r="DS41" s="5">
        <f>Heizflächen!H45</f>
        <v>34</v>
      </c>
      <c r="DT41" s="5">
        <f>Heizflächen!G45</f>
        <v>0</v>
      </c>
      <c r="DU41" s="5">
        <f>_xlfn.XLOOKUP(Heizflächen!$U$64,Tabelle5[Auswählbare Vor-und Rücklauftemperaturen],Tabelle5[Vorlauf],0,0,1)</f>
        <v>35</v>
      </c>
      <c r="DV41" s="5">
        <f>_xlfn.XLOOKUP(Heizflächen!$U$64,Tabelle5[Auswählbare Vor-und Rücklauftemperaturen],Tabelle5[Rücklauf],0,0,1)</f>
        <v>30</v>
      </c>
      <c r="DW41"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41" s="5">
        <f>_xlfn.XLOOKUP($DZ$3,Tabelle6[Systemtemperatur bei Norm-Wärmeleistungsbestimmung],Tabelle6[Vorlauf],0,0,1)</f>
        <v>55</v>
      </c>
      <c r="DY41" s="5">
        <f>_xlfn.XLOOKUP($DZ$3,Tabelle6[Systemtemperatur bei Norm-Wärmeleistungsbestimmung],Tabelle6[Rücklauf],0,0,1)</f>
        <v>45</v>
      </c>
      <c r="DZ41" s="5">
        <f>_xlfn.XLOOKUP($DZ$3,Tabelle6[Systemtemperatur bei Norm-Wärmeleistungsbestimmung],Tabelle6[Norm Innentemperatur],0,0,1)</f>
        <v>20</v>
      </c>
      <c r="EA41" s="147">
        <f>((Tabelle3[[#This Row],[Norm Vorlauftemperatur]]-Tabelle3[[#This Row],[Norm Rücklauftemperatur]])/LN((Tabelle3[[#This Row],[Norm Vorlauftemperatur]]-Tabelle3[[#This Row],[Norm Innentemperatur]])/(Tabelle3[[#This Row],[Norm Rücklauftemperatur]]-Tabelle3[[#This Row],[Norm Innentemperatur]])))</f>
        <v>29.720134119884619</v>
      </c>
      <c r="EB41" s="5">
        <f>_xlfn.XLOOKUP(Heizflächen!I45,Tabelle2[Typ],Tabelle2[Heizkörperexponent],0,1,1)</f>
        <v>0</v>
      </c>
      <c r="EC41" s="148">
        <f>Heizflächen!K45</f>
        <v>0</v>
      </c>
      <c r="ED41" s="5">
        <f>IF(Tabelle3[[#This Row],[Heizkörper in Nische?]]="Nein",1,_xlfn.XLOOKUP(Heizflächen!L45, Tabelle8[Höhe über HK],Tabelle8[Abminderungsfaktor],1,0,1))</f>
        <v>1</v>
      </c>
      <c r="EE41" s="5">
        <f>(DW41/EA41)^Tabelle3[[#This Row],[Heizkörperexponent n]]</f>
        <v>1</v>
      </c>
      <c r="EF41" s="5" cm="1">
        <f t="array" ref="EF41">_xlfn.XLOOKUP(Heizflächen!J45&amp;Heizflächen!M45&amp;Heizflächen!N45&amp;Heizflächen!O45&amp;Heizflächen!P45&amp;Heizflächen!Q45,Tabelle4[Typ]&amp;Tabelle4[Breite '[mm']]&amp;Tabelle4[Höhe '[mm']]&amp;Tabelle4[Bauhöhe Radiator '[mm']]&amp;Tabelle4[Nabenabstand Radiator '[mm']]&amp;Tabelle4[Bautiefe Radiator '[mm']],Tabelle4[Wärmeleistung (Radiatoren je Glied) '[W']],,-1,1)</f>
        <v>0</v>
      </c>
      <c r="EG41" s="5">
        <f>Heizflächen!R45</f>
        <v>0</v>
      </c>
      <c r="EH41" s="150">
        <f>IF(AND(Tabelle3[[#This Row],[Gliederanzahl]]&gt;0,Heizflächen!J45="Radiator"),Tabelle3[[#This Row],[Norm Heizleistung QNorm]]*Tabelle3[[#This Row],[f = (Δθm1/Δθm2)^n]]*Tabelle3[[#This Row],[Abminderungsfaktor]]*Tabelle3[[#This Row],[Gliederanzahl]],Tabelle3[[#This Row],[Abminderungsfaktor]]*Tabelle3[[#This Row],[f = (Δθm1/Δθm2)^n]]*Tabelle3[[#This Row],[Norm Heizleistung QNorm]])</f>
        <v>0</v>
      </c>
      <c r="EI41" s="5"/>
      <c r="EJ41" s="5"/>
      <c r="EK41" s="5"/>
      <c r="EM41" s="2">
        <f>Heizflächen!C45</f>
        <v>0</v>
      </c>
      <c r="EN41" s="2">
        <f>Heizflächen!D45</f>
        <v>0</v>
      </c>
      <c r="EO41" s="2">
        <f>1-(Heizflächen!S45/0.075)</f>
        <v>1</v>
      </c>
      <c r="EP41" s="2">
        <f>100*(0.045-Heizflächen!T45)</f>
        <v>4.5</v>
      </c>
      <c r="EQ41" s="2">
        <f>250*(Heizflächen!U45-0.02)</f>
        <v>-5</v>
      </c>
      <c r="ER41" s="2">
        <f>_xlfn.XLOOKUP(Tabelle14[[#This Row],[Wärmedurchlasswiderstand Bodenbelag]],Tabelle17[Wärmedurchlasswiderstand Rλ,B in '[m²K/W']],Tabelle17[aT],0,-1,1)</f>
        <v>1.23</v>
      </c>
      <c r="ES41" s="2" cm="1">
        <f t="array" ref="ES41">_xlfn.XLOOKUP(Heizflächen!S45&amp;Tabelle14[[#This Row],[Wärmedurchlasswiderstand Bodenbelag]],Tabelle18[T]&amp;Tabelle18[Rλ,B in '[m²K/W']],Tabelle18[au],0,-1,1)</f>
        <v>0</v>
      </c>
      <c r="ET41" s="2" cm="1">
        <f t="array" ref="ET41">_xlfn.XLOOKUP(Heizflächen!S45&amp;Tabelle14[[#This Row],[Wärmedurchlasswiderstand Bodenbelag]],Tabelle19[T]&amp;Tabelle19[Rλ,B in '[m²K/W']],Tabelle19[aD],0,-1,1)</f>
        <v>0</v>
      </c>
      <c r="EU41" s="5">
        <f>_xlfn.XLOOKUP(Heizflächen!$U$64,Tabelle5[Auswählbare Vor-und Rücklauftemperaturen],Tabelle5[Vorlauf],0,0,1)</f>
        <v>35</v>
      </c>
      <c r="EV41" s="5">
        <f>_xlfn.XLOOKUP(Heizflächen!$U$64,Tabelle5[Auswählbare Vor-und Rücklauftemperaturen],Tabelle5[Rücklauf],0,0,1)</f>
        <v>30</v>
      </c>
      <c r="EW41" s="77">
        <f>((Tabelle14[[#This Row],[gewünschte Vorlauftemperatur]]-Tabelle14[[#This Row],[gewünschte Rücklauftemperatur]])/LN((Tabelle14[[#This Row],[gewünschte Vorlauftemperatur]]-Heizflächen!G45)/(Tabelle14[[#This Row],[gewünschte Rücklauftemperatur]]-Heizflächen!G45)))</f>
        <v>32.435795973154399</v>
      </c>
      <c r="EX41" s="2">
        <f>_xlfn.XLOOKUP(Heizflächen!V45,Tabelle13[Bodenbelagsmaterial],Tabelle13[Wärmedurchlasswiderstand Rλ,B in '[m²K/W']],0,0,1)</f>
        <v>0</v>
      </c>
      <c r="EY41" s="163">
        <f>((1/10.8)+(0.045/1))/((1/10.8)+(0.045/1.4)+Tabelle14[[#This Row],[Wärmedurchlasswiderstand Bodenbelag]])</f>
        <v>1.1030752916224815</v>
      </c>
      <c r="EZ41" s="2">
        <v>6.7</v>
      </c>
      <c r="FA41" s="164" t="e">
        <f>Tabelle14[[#This Row],[B '[W/(m²K)']]]*Tabelle14[[#This Row],[aB]]*(Tabelle14[[#This Row],[aT]]^Tabelle14[[#This Row],[mT]])*(Tabelle14[[#This Row],[au]]^Tabelle14[[#This Row],[mu]])*(Tabelle14[[#This Row],[aD]]^Tabelle14[[#This Row],[mD]])*Tabelle14[[#This Row],[gewünschte Übertemperatur Δθm]]</f>
        <v>#DIV/0!</v>
      </c>
      <c r="FB41" s="2">
        <f>IFERROR(Tabelle14[[#This Row],[q '[W/m²']]]*(Heizflächen!E45-Heizflächen!F45),0)</f>
        <v>0</v>
      </c>
      <c r="FC41" s="2">
        <f>Heizflächen!H45</f>
        <v>34</v>
      </c>
      <c r="FI41" s="2">
        <v>35</v>
      </c>
    </row>
    <row r="42" spans="2:165" ht="17.399999999999999" thickBot="1">
      <c r="B42" s="56" t="s">
        <v>339</v>
      </c>
      <c r="C42" s="57"/>
      <c r="D42" s="58">
        <v>1</v>
      </c>
      <c r="E42" s="59">
        <v>2</v>
      </c>
      <c r="F42" s="59">
        <v>3</v>
      </c>
      <c r="G42" s="58">
        <v>4</v>
      </c>
      <c r="H42" s="58">
        <v>5</v>
      </c>
      <c r="I42" s="59">
        <v>6</v>
      </c>
      <c r="J42" s="59">
        <v>7</v>
      </c>
      <c r="K42" s="58">
        <v>8</v>
      </c>
      <c r="L42" s="58">
        <v>9</v>
      </c>
      <c r="M42" s="59">
        <v>10</v>
      </c>
      <c r="N42" s="59">
        <v>11</v>
      </c>
      <c r="O42" s="58">
        <v>12</v>
      </c>
      <c r="P42" s="58">
        <v>13</v>
      </c>
      <c r="Q42" s="59">
        <v>14</v>
      </c>
      <c r="R42" s="59">
        <v>15</v>
      </c>
      <c r="S42" s="58">
        <v>16</v>
      </c>
      <c r="T42" s="58">
        <v>17</v>
      </c>
      <c r="U42" s="59">
        <v>18</v>
      </c>
      <c r="V42" s="59">
        <v>19</v>
      </c>
      <c r="W42" s="58">
        <v>20</v>
      </c>
      <c r="X42" s="58">
        <v>21</v>
      </c>
      <c r="Y42" s="59">
        <v>22</v>
      </c>
      <c r="Z42" s="59">
        <v>23</v>
      </c>
      <c r="AA42" s="58">
        <v>24</v>
      </c>
      <c r="AB42" s="58">
        <v>25</v>
      </c>
      <c r="AC42" s="59">
        <v>26</v>
      </c>
      <c r="AD42" s="59">
        <v>27</v>
      </c>
      <c r="AE42" s="58">
        <v>28</v>
      </c>
      <c r="AF42" s="58">
        <v>29</v>
      </c>
      <c r="AG42" s="59">
        <v>30</v>
      </c>
      <c r="AH42" s="74">
        <v>31</v>
      </c>
      <c r="BH42" s="2" t="s">
        <v>434</v>
      </c>
      <c r="BI42" s="2">
        <v>700</v>
      </c>
      <c r="BJ42" s="2">
        <v>500</v>
      </c>
      <c r="BN42" s="2">
        <v>770</v>
      </c>
      <c r="DF42" s="2">
        <v>0.15</v>
      </c>
      <c r="DG42" s="2">
        <v>0.1</v>
      </c>
      <c r="DH42" s="2">
        <v>1.0349999999999999</v>
      </c>
      <c r="DQ42" s="2">
        <f>Heizflächen!C46</f>
        <v>0</v>
      </c>
      <c r="DR42" s="5">
        <f>Heizflächen!D46</f>
        <v>0</v>
      </c>
      <c r="DS42" s="5">
        <f>Heizflächen!H46</f>
        <v>35</v>
      </c>
      <c r="DT42" s="5">
        <f>Heizflächen!G46</f>
        <v>0</v>
      </c>
      <c r="DU42" s="5">
        <f>_xlfn.XLOOKUP(Heizflächen!$U$64,Tabelle5[Auswählbare Vor-und Rücklauftemperaturen],Tabelle5[Vorlauf],0,0,1)</f>
        <v>35</v>
      </c>
      <c r="DV42" s="5">
        <f>_xlfn.XLOOKUP(Heizflächen!$U$64,Tabelle5[Auswählbare Vor-und Rücklauftemperaturen],Tabelle5[Rücklauf],0,0,1)</f>
        <v>30</v>
      </c>
      <c r="DW42"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42" s="5">
        <f>_xlfn.XLOOKUP($DZ$3,Tabelle6[Systemtemperatur bei Norm-Wärmeleistungsbestimmung],Tabelle6[Vorlauf],0,0,1)</f>
        <v>55</v>
      </c>
      <c r="DY42" s="5">
        <f>_xlfn.XLOOKUP($DZ$3,Tabelle6[Systemtemperatur bei Norm-Wärmeleistungsbestimmung],Tabelle6[Rücklauf],0,0,1)</f>
        <v>45</v>
      </c>
      <c r="DZ42" s="5">
        <f>_xlfn.XLOOKUP($DZ$3,Tabelle6[Systemtemperatur bei Norm-Wärmeleistungsbestimmung],Tabelle6[Norm Innentemperatur],0,0,1)</f>
        <v>20</v>
      </c>
      <c r="EA42" s="147">
        <f>((Tabelle3[[#This Row],[Norm Vorlauftemperatur]]-Tabelle3[[#This Row],[Norm Rücklauftemperatur]])/LN((Tabelle3[[#This Row],[Norm Vorlauftemperatur]]-Tabelle3[[#This Row],[Norm Innentemperatur]])/(Tabelle3[[#This Row],[Norm Rücklauftemperatur]]-Tabelle3[[#This Row],[Norm Innentemperatur]])))</f>
        <v>29.720134119884619</v>
      </c>
      <c r="EB42" s="5">
        <f>_xlfn.XLOOKUP(Heizflächen!I46,Tabelle2[Typ],Tabelle2[Heizkörperexponent],0,1,1)</f>
        <v>0</v>
      </c>
      <c r="EC42" s="148">
        <f>Heizflächen!K46</f>
        <v>0</v>
      </c>
      <c r="ED42" s="5">
        <f>IF(Tabelle3[[#This Row],[Heizkörper in Nische?]]="Nein",1,_xlfn.XLOOKUP(Heizflächen!L46, Tabelle8[Höhe über HK],Tabelle8[Abminderungsfaktor],1,0,1))</f>
        <v>1</v>
      </c>
      <c r="EE42" s="5">
        <f>(DW42/EA42)^Tabelle3[[#This Row],[Heizkörperexponent n]]</f>
        <v>1</v>
      </c>
      <c r="EF42" s="5" cm="1">
        <f t="array" ref="EF42">_xlfn.XLOOKUP(Heizflächen!J46&amp;Heizflächen!M46&amp;Heizflächen!N46&amp;Heizflächen!O46&amp;Heizflächen!P46&amp;Heizflächen!Q46,Tabelle4[Typ]&amp;Tabelle4[Breite '[mm']]&amp;Tabelle4[Höhe '[mm']]&amp;Tabelle4[Bauhöhe Radiator '[mm']]&amp;Tabelle4[Nabenabstand Radiator '[mm']]&amp;Tabelle4[Bautiefe Radiator '[mm']],Tabelle4[Wärmeleistung (Radiatoren je Glied) '[W']],,-1,1)</f>
        <v>0</v>
      </c>
      <c r="EG42" s="5">
        <f>Heizflächen!R46</f>
        <v>0</v>
      </c>
      <c r="EH42" s="150">
        <f>IF(AND(Tabelle3[[#This Row],[Gliederanzahl]]&gt;0,Heizflächen!J46="Radiator"),Tabelle3[[#This Row],[Norm Heizleistung QNorm]]*Tabelle3[[#This Row],[f = (Δθm1/Δθm2)^n]]*Tabelle3[[#This Row],[Abminderungsfaktor]]*Tabelle3[[#This Row],[Gliederanzahl]],Tabelle3[[#This Row],[Abminderungsfaktor]]*Tabelle3[[#This Row],[f = (Δθm1/Δθm2)^n]]*Tabelle3[[#This Row],[Norm Heizleistung QNorm]])</f>
        <v>0</v>
      </c>
      <c r="EI42" s="5"/>
      <c r="EJ42" s="5"/>
      <c r="EK42" s="5"/>
      <c r="EM42" s="2">
        <f>Heizflächen!C46</f>
        <v>0</v>
      </c>
      <c r="EN42" s="2">
        <f>Heizflächen!D46</f>
        <v>0</v>
      </c>
      <c r="EO42" s="2">
        <f>1-(Heizflächen!S46/0.075)</f>
        <v>1</v>
      </c>
      <c r="EP42" s="2">
        <f>100*(0.045-Heizflächen!T46)</f>
        <v>4.5</v>
      </c>
      <c r="EQ42" s="2">
        <f>250*(Heizflächen!U46-0.02)</f>
        <v>-5</v>
      </c>
      <c r="ER42" s="2">
        <f>_xlfn.XLOOKUP(Tabelle14[[#This Row],[Wärmedurchlasswiderstand Bodenbelag]],Tabelle17[Wärmedurchlasswiderstand Rλ,B in '[m²K/W']],Tabelle17[aT],0,-1,1)</f>
        <v>1.23</v>
      </c>
      <c r="ES42" s="2" cm="1">
        <f t="array" ref="ES42">_xlfn.XLOOKUP(Heizflächen!S46&amp;Tabelle14[[#This Row],[Wärmedurchlasswiderstand Bodenbelag]],Tabelle18[T]&amp;Tabelle18[Rλ,B in '[m²K/W']],Tabelle18[au],0,-1,1)</f>
        <v>0</v>
      </c>
      <c r="ET42" s="2" cm="1">
        <f t="array" ref="ET42">_xlfn.XLOOKUP(Heizflächen!S46&amp;Tabelle14[[#This Row],[Wärmedurchlasswiderstand Bodenbelag]],Tabelle19[T]&amp;Tabelle19[Rλ,B in '[m²K/W']],Tabelle19[aD],0,-1,1)</f>
        <v>0</v>
      </c>
      <c r="EU42" s="5">
        <f>_xlfn.XLOOKUP(Heizflächen!$U$64,Tabelle5[Auswählbare Vor-und Rücklauftemperaturen],Tabelle5[Vorlauf],0,0,1)</f>
        <v>35</v>
      </c>
      <c r="EV42" s="5">
        <f>_xlfn.XLOOKUP(Heizflächen!$U$64,Tabelle5[Auswählbare Vor-und Rücklauftemperaturen],Tabelle5[Rücklauf],0,0,1)</f>
        <v>30</v>
      </c>
      <c r="EW42" s="77">
        <f>((Tabelle14[[#This Row],[gewünschte Vorlauftemperatur]]-Tabelle14[[#This Row],[gewünschte Rücklauftemperatur]])/LN((Tabelle14[[#This Row],[gewünschte Vorlauftemperatur]]-Heizflächen!G46)/(Tabelle14[[#This Row],[gewünschte Rücklauftemperatur]]-Heizflächen!G46)))</f>
        <v>32.435795973154399</v>
      </c>
      <c r="EX42" s="2">
        <f>_xlfn.XLOOKUP(Heizflächen!V46,Tabelle13[Bodenbelagsmaterial],Tabelle13[Wärmedurchlasswiderstand Rλ,B in '[m²K/W']],0,0,1)</f>
        <v>0</v>
      </c>
      <c r="EY42" s="163">
        <f>((1/10.8)+(0.045/1))/((1/10.8)+(0.045/1.4)+Tabelle14[[#This Row],[Wärmedurchlasswiderstand Bodenbelag]])</f>
        <v>1.1030752916224815</v>
      </c>
      <c r="EZ42" s="2">
        <v>6.7</v>
      </c>
      <c r="FA42" s="164" t="e">
        <f>Tabelle14[[#This Row],[B '[W/(m²K)']]]*Tabelle14[[#This Row],[aB]]*(Tabelle14[[#This Row],[aT]]^Tabelle14[[#This Row],[mT]])*(Tabelle14[[#This Row],[au]]^Tabelle14[[#This Row],[mu]])*(Tabelle14[[#This Row],[aD]]^Tabelle14[[#This Row],[mD]])*Tabelle14[[#This Row],[gewünschte Übertemperatur Δθm]]</f>
        <v>#DIV/0!</v>
      </c>
      <c r="FB42" s="2">
        <f>IFERROR(Tabelle14[[#This Row],[q '[W/m²']]]*(Heizflächen!E46-Heizflächen!F46),0)</f>
        <v>0</v>
      </c>
      <c r="FC42" s="2">
        <f>Heizflächen!H46</f>
        <v>35</v>
      </c>
      <c r="FI42" s="2">
        <v>36</v>
      </c>
    </row>
    <row r="43" spans="2:165">
      <c r="B43" s="69" t="s">
        <v>545</v>
      </c>
      <c r="C43" s="70"/>
      <c r="D43" s="71"/>
      <c r="E43" s="72"/>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BH43" s="2" t="s">
        <v>434</v>
      </c>
      <c r="BI43" s="2">
        <v>800</v>
      </c>
      <c r="BJ43" s="2">
        <v>500</v>
      </c>
      <c r="BN43" s="2">
        <v>880</v>
      </c>
      <c r="DF43" s="2">
        <v>0.2</v>
      </c>
      <c r="DG43" s="2">
        <v>0.1</v>
      </c>
      <c r="DH43" s="2">
        <v>1.0315000000000001</v>
      </c>
      <c r="DQ43" s="2">
        <f>Heizflächen!C47</f>
        <v>0</v>
      </c>
      <c r="DR43" s="5">
        <f>Heizflächen!D47</f>
        <v>0</v>
      </c>
      <c r="DS43" s="5">
        <f>Heizflächen!H47</f>
        <v>36</v>
      </c>
      <c r="DT43" s="5">
        <f>Heizflächen!G47</f>
        <v>0</v>
      </c>
      <c r="DU43" s="5">
        <f>_xlfn.XLOOKUP(Heizflächen!$U$64,Tabelle5[Auswählbare Vor-und Rücklauftemperaturen],Tabelle5[Vorlauf],0,0,1)</f>
        <v>35</v>
      </c>
      <c r="DV43" s="5">
        <f>_xlfn.XLOOKUP(Heizflächen!$U$64,Tabelle5[Auswählbare Vor-und Rücklauftemperaturen],Tabelle5[Rücklauf],0,0,1)</f>
        <v>30</v>
      </c>
      <c r="DW43"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43" s="5">
        <f>_xlfn.XLOOKUP($DZ$3,Tabelle6[Systemtemperatur bei Norm-Wärmeleistungsbestimmung],Tabelle6[Vorlauf],0,0,1)</f>
        <v>55</v>
      </c>
      <c r="DY43" s="5">
        <f>_xlfn.XLOOKUP($DZ$3,Tabelle6[Systemtemperatur bei Norm-Wärmeleistungsbestimmung],Tabelle6[Rücklauf],0,0,1)</f>
        <v>45</v>
      </c>
      <c r="DZ43" s="5">
        <f>_xlfn.XLOOKUP($DZ$3,Tabelle6[Systemtemperatur bei Norm-Wärmeleistungsbestimmung],Tabelle6[Norm Innentemperatur],0,0,1)</f>
        <v>20</v>
      </c>
      <c r="EA43" s="147">
        <f>((Tabelle3[[#This Row],[Norm Vorlauftemperatur]]-Tabelle3[[#This Row],[Norm Rücklauftemperatur]])/LN((Tabelle3[[#This Row],[Norm Vorlauftemperatur]]-Tabelle3[[#This Row],[Norm Innentemperatur]])/(Tabelle3[[#This Row],[Norm Rücklauftemperatur]]-Tabelle3[[#This Row],[Norm Innentemperatur]])))</f>
        <v>29.720134119884619</v>
      </c>
      <c r="EB43" s="5">
        <f>_xlfn.XLOOKUP(Heizflächen!I47,Tabelle2[Typ],Tabelle2[Heizkörperexponent],0,1,1)</f>
        <v>0</v>
      </c>
      <c r="EC43" s="148">
        <f>Heizflächen!K47</f>
        <v>0</v>
      </c>
      <c r="ED43" s="5">
        <f>IF(Tabelle3[[#This Row],[Heizkörper in Nische?]]="Nein",1,_xlfn.XLOOKUP(Heizflächen!L47, Tabelle8[Höhe über HK],Tabelle8[Abminderungsfaktor],1,0,1))</f>
        <v>1</v>
      </c>
      <c r="EE43" s="5">
        <f>(DW43/EA43)^Tabelle3[[#This Row],[Heizkörperexponent n]]</f>
        <v>1</v>
      </c>
      <c r="EF43" s="5" cm="1">
        <f t="array" ref="EF43">_xlfn.XLOOKUP(Heizflächen!J47&amp;Heizflächen!M47&amp;Heizflächen!N47&amp;Heizflächen!O47&amp;Heizflächen!P47&amp;Heizflächen!Q47,Tabelle4[Typ]&amp;Tabelle4[Breite '[mm']]&amp;Tabelle4[Höhe '[mm']]&amp;Tabelle4[Bauhöhe Radiator '[mm']]&amp;Tabelle4[Nabenabstand Radiator '[mm']]&amp;Tabelle4[Bautiefe Radiator '[mm']],Tabelle4[Wärmeleistung (Radiatoren je Glied) '[W']],,-1,1)</f>
        <v>0</v>
      </c>
      <c r="EG43" s="5">
        <f>Heizflächen!R47</f>
        <v>0</v>
      </c>
      <c r="EH43" s="150">
        <f>IF(AND(Tabelle3[[#This Row],[Gliederanzahl]]&gt;0,Heizflächen!J47="Radiator"),Tabelle3[[#This Row],[Norm Heizleistung QNorm]]*Tabelle3[[#This Row],[f = (Δθm1/Δθm2)^n]]*Tabelle3[[#This Row],[Abminderungsfaktor]]*Tabelle3[[#This Row],[Gliederanzahl]],Tabelle3[[#This Row],[Abminderungsfaktor]]*Tabelle3[[#This Row],[f = (Δθm1/Δθm2)^n]]*Tabelle3[[#This Row],[Norm Heizleistung QNorm]])</f>
        <v>0</v>
      </c>
      <c r="EI43" s="5"/>
      <c r="EJ43" s="5"/>
      <c r="EK43" s="5"/>
      <c r="EM43" s="2">
        <f>Heizflächen!C47</f>
        <v>0</v>
      </c>
      <c r="EN43" s="2">
        <f>Heizflächen!D47</f>
        <v>0</v>
      </c>
      <c r="EO43" s="2">
        <f>1-(Heizflächen!S47/0.075)</f>
        <v>1</v>
      </c>
      <c r="EP43" s="2">
        <f>100*(0.045-Heizflächen!T47)</f>
        <v>4.5</v>
      </c>
      <c r="EQ43" s="2">
        <f>250*(Heizflächen!U47-0.02)</f>
        <v>-5</v>
      </c>
      <c r="ER43" s="2">
        <f>_xlfn.XLOOKUP(Tabelle14[[#This Row],[Wärmedurchlasswiderstand Bodenbelag]],Tabelle17[Wärmedurchlasswiderstand Rλ,B in '[m²K/W']],Tabelle17[aT],0,-1,1)</f>
        <v>1.23</v>
      </c>
      <c r="ES43" s="2" cm="1">
        <f t="array" ref="ES43">_xlfn.XLOOKUP(Heizflächen!S47&amp;Tabelle14[[#This Row],[Wärmedurchlasswiderstand Bodenbelag]],Tabelle18[T]&amp;Tabelle18[Rλ,B in '[m²K/W']],Tabelle18[au],0,-1,1)</f>
        <v>0</v>
      </c>
      <c r="ET43" s="2" cm="1">
        <f t="array" ref="ET43">_xlfn.XLOOKUP(Heizflächen!S47&amp;Tabelle14[[#This Row],[Wärmedurchlasswiderstand Bodenbelag]],Tabelle19[T]&amp;Tabelle19[Rλ,B in '[m²K/W']],Tabelle19[aD],0,-1,1)</f>
        <v>0</v>
      </c>
      <c r="EU43" s="5">
        <f>_xlfn.XLOOKUP(Heizflächen!$U$64,Tabelle5[Auswählbare Vor-und Rücklauftemperaturen],Tabelle5[Vorlauf],0,0,1)</f>
        <v>35</v>
      </c>
      <c r="EV43" s="5">
        <f>_xlfn.XLOOKUP(Heizflächen!$U$64,Tabelle5[Auswählbare Vor-und Rücklauftemperaturen],Tabelle5[Rücklauf],0,0,1)</f>
        <v>30</v>
      </c>
      <c r="EW43" s="77">
        <f>((Tabelle14[[#This Row],[gewünschte Vorlauftemperatur]]-Tabelle14[[#This Row],[gewünschte Rücklauftemperatur]])/LN((Tabelle14[[#This Row],[gewünschte Vorlauftemperatur]]-Heizflächen!G47)/(Tabelle14[[#This Row],[gewünschte Rücklauftemperatur]]-Heizflächen!G47)))</f>
        <v>32.435795973154399</v>
      </c>
      <c r="EX43" s="2">
        <f>_xlfn.XLOOKUP(Heizflächen!V47,Tabelle13[Bodenbelagsmaterial],Tabelle13[Wärmedurchlasswiderstand Rλ,B in '[m²K/W']],0,0,1)</f>
        <v>0</v>
      </c>
      <c r="EY43" s="163">
        <f>((1/10.8)+(0.045/1))/((1/10.8)+(0.045/1.4)+Tabelle14[[#This Row],[Wärmedurchlasswiderstand Bodenbelag]])</f>
        <v>1.1030752916224815</v>
      </c>
      <c r="EZ43" s="2">
        <v>6.7</v>
      </c>
      <c r="FA43" s="164" t="e">
        <f>Tabelle14[[#This Row],[B '[W/(m²K)']]]*Tabelle14[[#This Row],[aB]]*(Tabelle14[[#This Row],[aT]]^Tabelle14[[#This Row],[mT]])*(Tabelle14[[#This Row],[au]]^Tabelle14[[#This Row],[mu]])*(Tabelle14[[#This Row],[aD]]^Tabelle14[[#This Row],[mD]])*Tabelle14[[#This Row],[gewünschte Übertemperatur Δθm]]</f>
        <v>#DIV/0!</v>
      </c>
      <c r="FB43" s="2">
        <f>IFERROR(Tabelle14[[#This Row],[q '[W/m²']]]*(Heizflächen!E47-Heizflächen!F47),0)</f>
        <v>0</v>
      </c>
      <c r="FC43" s="2">
        <f>Heizflächen!H47</f>
        <v>36</v>
      </c>
      <c r="FI43" s="2">
        <v>37</v>
      </c>
    </row>
    <row r="44" spans="2:165">
      <c r="B44" s="31" t="s">
        <v>546</v>
      </c>
      <c r="C44" s="32"/>
      <c r="D44" s="33">
        <f>Allgemein!$M$48</f>
        <v>0</v>
      </c>
      <c r="E44" s="33">
        <f t="shared" ref="E44:P44" si="8">IF(E43=0,D44,E43)</f>
        <v>0</v>
      </c>
      <c r="F44" s="33">
        <f t="shared" si="8"/>
        <v>0</v>
      </c>
      <c r="G44" s="33">
        <f t="shared" si="8"/>
        <v>0</v>
      </c>
      <c r="H44" s="33">
        <f t="shared" si="8"/>
        <v>0</v>
      </c>
      <c r="I44" s="33">
        <f t="shared" si="8"/>
        <v>0</v>
      </c>
      <c r="J44" s="33">
        <f t="shared" si="8"/>
        <v>0</v>
      </c>
      <c r="K44" s="33">
        <f t="shared" si="8"/>
        <v>0</v>
      </c>
      <c r="L44" s="33">
        <f t="shared" si="8"/>
        <v>0</v>
      </c>
      <c r="M44" s="33">
        <f t="shared" si="8"/>
        <v>0</v>
      </c>
      <c r="N44" s="33">
        <f t="shared" si="8"/>
        <v>0</v>
      </c>
      <c r="O44" s="33">
        <f t="shared" si="8"/>
        <v>0</v>
      </c>
      <c r="P44" s="33">
        <f t="shared" si="8"/>
        <v>0</v>
      </c>
      <c r="Q44" s="33">
        <f t="shared" ref="Q44" si="9">IF(Q43=0,P44,Q43)</f>
        <v>0</v>
      </c>
      <c r="R44" s="33">
        <f t="shared" ref="R44" si="10">IF(R43=0,Q44,R43)</f>
        <v>0</v>
      </c>
      <c r="S44" s="33">
        <f t="shared" ref="S44" si="11">IF(S43=0,R44,S43)</f>
        <v>0</v>
      </c>
      <c r="T44" s="33">
        <f t="shared" ref="T44" si="12">IF(T43=0,S44,T43)</f>
        <v>0</v>
      </c>
      <c r="U44" s="33">
        <f t="shared" ref="U44" si="13">IF(U43=0,T44,U43)</f>
        <v>0</v>
      </c>
      <c r="V44" s="33">
        <f t="shared" ref="V44" si="14">IF(V43=0,U44,V43)</f>
        <v>0</v>
      </c>
      <c r="W44" s="33">
        <f t="shared" ref="W44" si="15">IF(W43=0,V44,W43)</f>
        <v>0</v>
      </c>
      <c r="X44" s="33">
        <f t="shared" ref="X44" si="16">IF(X43=0,W44,X43)</f>
        <v>0</v>
      </c>
      <c r="Y44" s="33">
        <f t="shared" ref="Y44" si="17">IF(Y43=0,X44,Y43)</f>
        <v>0</v>
      </c>
      <c r="Z44" s="33">
        <f t="shared" ref="Z44" si="18">IF(Z43=0,Y44,Z43)</f>
        <v>0</v>
      </c>
      <c r="AA44" s="33">
        <f t="shared" ref="AA44" si="19">IF(AA43=0,Z44,AA43)</f>
        <v>0</v>
      </c>
      <c r="AB44" s="33">
        <f t="shared" ref="AB44" si="20">IF(AB43=0,AA44,AB43)</f>
        <v>0</v>
      </c>
      <c r="AC44" s="33">
        <f t="shared" ref="AC44" si="21">IF(AC43=0,AB44,AC43)</f>
        <v>0</v>
      </c>
      <c r="AD44" s="33">
        <f t="shared" ref="AD44" si="22">IF(AD43=0,AC44,AD43)</f>
        <v>0</v>
      </c>
      <c r="AE44" s="33">
        <f t="shared" ref="AE44" si="23">IF(AE43=0,AD44,AE43)</f>
        <v>0</v>
      </c>
      <c r="AF44" s="33">
        <f t="shared" ref="AF44" si="24">IF(AF43=0,AE44,AF43)</f>
        <v>0</v>
      </c>
      <c r="AG44" s="33">
        <f t="shared" ref="AG44" si="25">IF(AG43=0,AF44,AG43)</f>
        <v>0</v>
      </c>
      <c r="AH44" s="33">
        <f t="shared" ref="AH44" si="26">IF(AH43=0,AG44,AH43)</f>
        <v>0</v>
      </c>
      <c r="BH44" s="2" t="s">
        <v>434</v>
      </c>
      <c r="BI44" s="2">
        <v>900</v>
      </c>
      <c r="BJ44" s="2">
        <v>500</v>
      </c>
      <c r="BN44" s="2">
        <v>990</v>
      </c>
      <c r="DF44" s="2">
        <v>0.22500000000000001</v>
      </c>
      <c r="DG44" s="2">
        <v>0.1</v>
      </c>
      <c r="DH44" s="2">
        <v>1.0295000000000001</v>
      </c>
      <c r="DQ44" s="2">
        <f>Heizflächen!C48</f>
        <v>0</v>
      </c>
      <c r="DR44" s="5">
        <f>Heizflächen!D48</f>
        <v>0</v>
      </c>
      <c r="DS44" s="5">
        <f>Heizflächen!H48</f>
        <v>37</v>
      </c>
      <c r="DT44" s="5">
        <f>Heizflächen!G48</f>
        <v>0</v>
      </c>
      <c r="DU44" s="5">
        <f>_xlfn.XLOOKUP(Heizflächen!$U$64,Tabelle5[Auswählbare Vor-und Rücklauftemperaturen],Tabelle5[Vorlauf],0,0,1)</f>
        <v>35</v>
      </c>
      <c r="DV44" s="5">
        <f>_xlfn.XLOOKUP(Heizflächen!$U$64,Tabelle5[Auswählbare Vor-und Rücklauftemperaturen],Tabelle5[Rücklauf],0,0,1)</f>
        <v>30</v>
      </c>
      <c r="DW44"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44" s="5">
        <f>_xlfn.XLOOKUP($DZ$3,Tabelle6[Systemtemperatur bei Norm-Wärmeleistungsbestimmung],Tabelle6[Vorlauf],0,0,1)</f>
        <v>55</v>
      </c>
      <c r="DY44" s="5">
        <f>_xlfn.XLOOKUP($DZ$3,Tabelle6[Systemtemperatur bei Norm-Wärmeleistungsbestimmung],Tabelle6[Rücklauf],0,0,1)</f>
        <v>45</v>
      </c>
      <c r="DZ44" s="5">
        <f>_xlfn.XLOOKUP($DZ$3,Tabelle6[Systemtemperatur bei Norm-Wärmeleistungsbestimmung],Tabelle6[Norm Innentemperatur],0,0,1)</f>
        <v>20</v>
      </c>
      <c r="EA44" s="147">
        <f>((Tabelle3[[#This Row],[Norm Vorlauftemperatur]]-Tabelle3[[#This Row],[Norm Rücklauftemperatur]])/LN((Tabelle3[[#This Row],[Norm Vorlauftemperatur]]-Tabelle3[[#This Row],[Norm Innentemperatur]])/(Tabelle3[[#This Row],[Norm Rücklauftemperatur]]-Tabelle3[[#This Row],[Norm Innentemperatur]])))</f>
        <v>29.720134119884619</v>
      </c>
      <c r="EB44" s="5">
        <f>_xlfn.XLOOKUP(Heizflächen!I48,Tabelle2[Typ],Tabelle2[Heizkörperexponent],0,1,1)</f>
        <v>0</v>
      </c>
      <c r="EC44" s="148">
        <f>Heizflächen!K48</f>
        <v>0</v>
      </c>
      <c r="ED44" s="5">
        <f>IF(Tabelle3[[#This Row],[Heizkörper in Nische?]]="Nein",1,_xlfn.XLOOKUP(Heizflächen!L48, Tabelle8[Höhe über HK],Tabelle8[Abminderungsfaktor],1,0,1))</f>
        <v>1</v>
      </c>
      <c r="EE44" s="5">
        <f>(DW44/EA44)^Tabelle3[[#This Row],[Heizkörperexponent n]]</f>
        <v>1</v>
      </c>
      <c r="EF44" s="5" cm="1">
        <f t="array" ref="EF44">_xlfn.XLOOKUP(Heizflächen!J48&amp;Heizflächen!M48&amp;Heizflächen!N48&amp;Heizflächen!O48&amp;Heizflächen!P48&amp;Heizflächen!Q48,Tabelle4[Typ]&amp;Tabelle4[Breite '[mm']]&amp;Tabelle4[Höhe '[mm']]&amp;Tabelle4[Bauhöhe Radiator '[mm']]&amp;Tabelle4[Nabenabstand Radiator '[mm']]&amp;Tabelle4[Bautiefe Radiator '[mm']],Tabelle4[Wärmeleistung (Radiatoren je Glied) '[W']],,-1,1)</f>
        <v>0</v>
      </c>
      <c r="EG44" s="5">
        <f>Heizflächen!R48</f>
        <v>0</v>
      </c>
      <c r="EH44" s="150">
        <f>IF(AND(Tabelle3[[#This Row],[Gliederanzahl]]&gt;0,Heizflächen!J48="Radiator"),Tabelle3[[#This Row],[Norm Heizleistung QNorm]]*Tabelle3[[#This Row],[f = (Δθm1/Δθm2)^n]]*Tabelle3[[#This Row],[Abminderungsfaktor]]*Tabelle3[[#This Row],[Gliederanzahl]],Tabelle3[[#This Row],[Abminderungsfaktor]]*Tabelle3[[#This Row],[f = (Δθm1/Δθm2)^n]]*Tabelle3[[#This Row],[Norm Heizleistung QNorm]])</f>
        <v>0</v>
      </c>
      <c r="EI44" s="5"/>
      <c r="EJ44" s="5"/>
      <c r="EK44" s="5"/>
      <c r="EM44" s="2">
        <f>Heizflächen!C48</f>
        <v>0</v>
      </c>
      <c r="EN44" s="2">
        <f>Heizflächen!D48</f>
        <v>0</v>
      </c>
      <c r="EO44" s="2">
        <f>1-(Heizflächen!S48/0.075)</f>
        <v>1</v>
      </c>
      <c r="EP44" s="2">
        <f>100*(0.045-Heizflächen!T48)</f>
        <v>4.5</v>
      </c>
      <c r="EQ44" s="2">
        <f>250*(Heizflächen!U48-0.02)</f>
        <v>-5</v>
      </c>
      <c r="ER44" s="2">
        <f>_xlfn.XLOOKUP(Tabelle14[[#This Row],[Wärmedurchlasswiderstand Bodenbelag]],Tabelle17[Wärmedurchlasswiderstand Rλ,B in '[m²K/W']],Tabelle17[aT],0,-1,1)</f>
        <v>1.23</v>
      </c>
      <c r="ES44" s="2" cm="1">
        <f t="array" ref="ES44">_xlfn.XLOOKUP(Heizflächen!S48&amp;Tabelle14[[#This Row],[Wärmedurchlasswiderstand Bodenbelag]],Tabelle18[T]&amp;Tabelle18[Rλ,B in '[m²K/W']],Tabelle18[au],0,-1,1)</f>
        <v>0</v>
      </c>
      <c r="ET44" s="2" cm="1">
        <f t="array" ref="ET44">_xlfn.XLOOKUP(Heizflächen!S48&amp;Tabelle14[[#This Row],[Wärmedurchlasswiderstand Bodenbelag]],Tabelle19[T]&amp;Tabelle19[Rλ,B in '[m²K/W']],Tabelle19[aD],0,-1,1)</f>
        <v>0</v>
      </c>
      <c r="EU44" s="5">
        <f>_xlfn.XLOOKUP(Heizflächen!$U$64,Tabelle5[Auswählbare Vor-und Rücklauftemperaturen],Tabelle5[Vorlauf],0,0,1)</f>
        <v>35</v>
      </c>
      <c r="EV44" s="5">
        <f>_xlfn.XLOOKUP(Heizflächen!$U$64,Tabelle5[Auswählbare Vor-und Rücklauftemperaturen],Tabelle5[Rücklauf],0,0,1)</f>
        <v>30</v>
      </c>
      <c r="EW44" s="77">
        <f>((Tabelle14[[#This Row],[gewünschte Vorlauftemperatur]]-Tabelle14[[#This Row],[gewünschte Rücklauftemperatur]])/LN((Tabelle14[[#This Row],[gewünschte Vorlauftemperatur]]-Heizflächen!G48)/(Tabelle14[[#This Row],[gewünschte Rücklauftemperatur]]-Heizflächen!G48)))</f>
        <v>32.435795973154399</v>
      </c>
      <c r="EX44" s="2">
        <f>_xlfn.XLOOKUP(Heizflächen!V48,Tabelle13[Bodenbelagsmaterial],Tabelle13[Wärmedurchlasswiderstand Rλ,B in '[m²K/W']],0,0,1)</f>
        <v>0</v>
      </c>
      <c r="EY44" s="163">
        <f>((1/10.8)+(0.045/1))/((1/10.8)+(0.045/1.4)+Tabelle14[[#This Row],[Wärmedurchlasswiderstand Bodenbelag]])</f>
        <v>1.1030752916224815</v>
      </c>
      <c r="EZ44" s="2">
        <v>6.7</v>
      </c>
      <c r="FA44" s="164" t="e">
        <f>Tabelle14[[#This Row],[B '[W/(m²K)']]]*Tabelle14[[#This Row],[aB]]*(Tabelle14[[#This Row],[aT]]^Tabelle14[[#This Row],[mT]])*(Tabelle14[[#This Row],[au]]^Tabelle14[[#This Row],[mu]])*(Tabelle14[[#This Row],[aD]]^Tabelle14[[#This Row],[mD]])*Tabelle14[[#This Row],[gewünschte Übertemperatur Δθm]]</f>
        <v>#DIV/0!</v>
      </c>
      <c r="FB44" s="2">
        <f>IFERROR(Tabelle14[[#This Row],[q '[W/m²']]]*(Heizflächen!E48-Heizflächen!F48),0)</f>
        <v>0</v>
      </c>
      <c r="FC44" s="2">
        <f>Heizflächen!H48</f>
        <v>37</v>
      </c>
      <c r="FI44" s="2">
        <v>38</v>
      </c>
    </row>
    <row r="45" spans="2:165">
      <c r="B45" s="34"/>
      <c r="C45" s="35"/>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BH45" s="2" t="s">
        <v>434</v>
      </c>
      <c r="BI45" s="2">
        <v>1000</v>
      </c>
      <c r="BJ45" s="2">
        <v>500</v>
      </c>
      <c r="BN45" s="2">
        <v>1100</v>
      </c>
      <c r="CH45" s="5"/>
      <c r="CI45" s="5"/>
      <c r="CJ45" s="5"/>
      <c r="CK45" s="5"/>
      <c r="CL45" s="5"/>
      <c r="DF45" s="2">
        <v>0.3</v>
      </c>
      <c r="DG45" s="2">
        <v>0.1</v>
      </c>
      <c r="DH45" s="2">
        <v>1.024</v>
      </c>
      <c r="DQ45" s="2">
        <f>Heizflächen!C49</f>
        <v>0</v>
      </c>
      <c r="DR45" s="5">
        <f>Heizflächen!D49</f>
        <v>0</v>
      </c>
      <c r="DS45" s="5">
        <f>Heizflächen!H49</f>
        <v>38</v>
      </c>
      <c r="DT45" s="5">
        <f>Heizflächen!G49</f>
        <v>0</v>
      </c>
      <c r="DU45" s="5">
        <f>_xlfn.XLOOKUP(Heizflächen!$U$64,Tabelle5[Auswählbare Vor-und Rücklauftemperaturen],Tabelle5[Vorlauf],0,0,1)</f>
        <v>35</v>
      </c>
      <c r="DV45" s="5">
        <f>_xlfn.XLOOKUP(Heizflächen!$U$64,Tabelle5[Auswählbare Vor-und Rücklauftemperaturen],Tabelle5[Rücklauf],0,0,1)</f>
        <v>30</v>
      </c>
      <c r="DW45"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45" s="5">
        <f>_xlfn.XLOOKUP($DZ$3,Tabelle6[Systemtemperatur bei Norm-Wärmeleistungsbestimmung],Tabelle6[Vorlauf],0,0,1)</f>
        <v>55</v>
      </c>
      <c r="DY45" s="5">
        <f>_xlfn.XLOOKUP($DZ$3,Tabelle6[Systemtemperatur bei Norm-Wärmeleistungsbestimmung],Tabelle6[Rücklauf],0,0,1)</f>
        <v>45</v>
      </c>
      <c r="DZ45" s="5">
        <f>_xlfn.XLOOKUP($DZ$3,Tabelle6[Systemtemperatur bei Norm-Wärmeleistungsbestimmung],Tabelle6[Norm Innentemperatur],0,0,1)</f>
        <v>20</v>
      </c>
      <c r="EA45" s="147">
        <f>((Tabelle3[[#This Row],[Norm Vorlauftemperatur]]-Tabelle3[[#This Row],[Norm Rücklauftemperatur]])/LN((Tabelle3[[#This Row],[Norm Vorlauftemperatur]]-Tabelle3[[#This Row],[Norm Innentemperatur]])/(Tabelle3[[#This Row],[Norm Rücklauftemperatur]]-Tabelle3[[#This Row],[Norm Innentemperatur]])))</f>
        <v>29.720134119884619</v>
      </c>
      <c r="EB45" s="5">
        <f>_xlfn.XLOOKUP(Heizflächen!I49,Tabelle2[Typ],Tabelle2[Heizkörperexponent],0,1,1)</f>
        <v>0</v>
      </c>
      <c r="EC45" s="148">
        <f>Heizflächen!K49</f>
        <v>0</v>
      </c>
      <c r="ED45" s="5">
        <f>IF(Tabelle3[[#This Row],[Heizkörper in Nische?]]="Nein",1,_xlfn.XLOOKUP(Heizflächen!L49, Tabelle8[Höhe über HK],Tabelle8[Abminderungsfaktor],1,0,1))</f>
        <v>1</v>
      </c>
      <c r="EE45" s="5">
        <f>(DW45/EA45)^Tabelle3[[#This Row],[Heizkörperexponent n]]</f>
        <v>1</v>
      </c>
      <c r="EF45" s="5" cm="1">
        <f t="array" ref="EF45">_xlfn.XLOOKUP(Heizflächen!J49&amp;Heizflächen!M49&amp;Heizflächen!N49&amp;Heizflächen!O49&amp;Heizflächen!P49&amp;Heizflächen!Q49,Tabelle4[Typ]&amp;Tabelle4[Breite '[mm']]&amp;Tabelle4[Höhe '[mm']]&amp;Tabelle4[Bauhöhe Radiator '[mm']]&amp;Tabelle4[Nabenabstand Radiator '[mm']]&amp;Tabelle4[Bautiefe Radiator '[mm']],Tabelle4[Wärmeleistung (Radiatoren je Glied) '[W']],,-1,1)</f>
        <v>0</v>
      </c>
      <c r="EG45" s="5">
        <f>Heizflächen!R49</f>
        <v>0</v>
      </c>
      <c r="EH45" s="150">
        <f>IF(AND(Tabelle3[[#This Row],[Gliederanzahl]]&gt;0,Heizflächen!J49="Radiator"),Tabelle3[[#This Row],[Norm Heizleistung QNorm]]*Tabelle3[[#This Row],[f = (Δθm1/Δθm2)^n]]*Tabelle3[[#This Row],[Abminderungsfaktor]]*Tabelle3[[#This Row],[Gliederanzahl]],Tabelle3[[#This Row],[Abminderungsfaktor]]*Tabelle3[[#This Row],[f = (Δθm1/Δθm2)^n]]*Tabelle3[[#This Row],[Norm Heizleistung QNorm]])</f>
        <v>0</v>
      </c>
      <c r="EI45" s="5"/>
      <c r="EJ45" s="5"/>
      <c r="EK45" s="5"/>
      <c r="EM45" s="2">
        <f>Heizflächen!C49</f>
        <v>0</v>
      </c>
      <c r="EN45" s="2">
        <f>Heizflächen!D49</f>
        <v>0</v>
      </c>
      <c r="EO45" s="2">
        <f>1-(Heizflächen!S49/0.075)</f>
        <v>1</v>
      </c>
      <c r="EP45" s="2">
        <f>100*(0.045-Heizflächen!T49)</f>
        <v>4.5</v>
      </c>
      <c r="EQ45" s="2">
        <f>250*(Heizflächen!U49-0.02)</f>
        <v>-5</v>
      </c>
      <c r="ER45" s="2">
        <f>_xlfn.XLOOKUP(Tabelle14[[#This Row],[Wärmedurchlasswiderstand Bodenbelag]],Tabelle17[Wärmedurchlasswiderstand Rλ,B in '[m²K/W']],Tabelle17[aT],0,-1,1)</f>
        <v>1.23</v>
      </c>
      <c r="ES45" s="2" cm="1">
        <f t="array" ref="ES45">_xlfn.XLOOKUP(Heizflächen!S49&amp;Tabelle14[[#This Row],[Wärmedurchlasswiderstand Bodenbelag]],Tabelle18[T]&amp;Tabelle18[Rλ,B in '[m²K/W']],Tabelle18[au],0,-1,1)</f>
        <v>0</v>
      </c>
      <c r="ET45" s="2" cm="1">
        <f t="array" ref="ET45">_xlfn.XLOOKUP(Heizflächen!S49&amp;Tabelle14[[#This Row],[Wärmedurchlasswiderstand Bodenbelag]],Tabelle19[T]&amp;Tabelle19[Rλ,B in '[m²K/W']],Tabelle19[aD],0,-1,1)</f>
        <v>0</v>
      </c>
      <c r="EU45" s="5">
        <f>_xlfn.XLOOKUP(Heizflächen!$U$64,Tabelle5[Auswählbare Vor-und Rücklauftemperaturen],Tabelle5[Vorlauf],0,0,1)</f>
        <v>35</v>
      </c>
      <c r="EV45" s="5">
        <f>_xlfn.XLOOKUP(Heizflächen!$U$64,Tabelle5[Auswählbare Vor-und Rücklauftemperaturen],Tabelle5[Rücklauf],0,0,1)</f>
        <v>30</v>
      </c>
      <c r="EW45" s="77">
        <f>((Tabelle14[[#This Row],[gewünschte Vorlauftemperatur]]-Tabelle14[[#This Row],[gewünschte Rücklauftemperatur]])/LN((Tabelle14[[#This Row],[gewünschte Vorlauftemperatur]]-Heizflächen!G49)/(Tabelle14[[#This Row],[gewünschte Rücklauftemperatur]]-Heizflächen!G49)))</f>
        <v>32.435795973154399</v>
      </c>
      <c r="EX45" s="2">
        <f>_xlfn.XLOOKUP(Heizflächen!V49,Tabelle13[Bodenbelagsmaterial],Tabelle13[Wärmedurchlasswiderstand Rλ,B in '[m²K/W']],0,0,1)</f>
        <v>0</v>
      </c>
      <c r="EY45" s="163">
        <f>((1/10.8)+(0.045/1))/((1/10.8)+(0.045/1.4)+Tabelle14[[#This Row],[Wärmedurchlasswiderstand Bodenbelag]])</f>
        <v>1.1030752916224815</v>
      </c>
      <c r="EZ45" s="2">
        <v>6.7</v>
      </c>
      <c r="FA45" s="164" t="e">
        <f>Tabelle14[[#This Row],[B '[W/(m²K)']]]*Tabelle14[[#This Row],[aB]]*(Tabelle14[[#This Row],[aT]]^Tabelle14[[#This Row],[mT]])*(Tabelle14[[#This Row],[au]]^Tabelle14[[#This Row],[mu]])*(Tabelle14[[#This Row],[aD]]^Tabelle14[[#This Row],[mD]])*Tabelle14[[#This Row],[gewünschte Übertemperatur Δθm]]</f>
        <v>#DIV/0!</v>
      </c>
      <c r="FB45" s="2">
        <f>IFERROR(Tabelle14[[#This Row],[q '[W/m²']]]*(Heizflächen!E49-Heizflächen!F49),0)</f>
        <v>0</v>
      </c>
      <c r="FC45" s="2">
        <f>Heizflächen!H49</f>
        <v>38</v>
      </c>
      <c r="FI45" s="2">
        <v>39</v>
      </c>
    </row>
    <row r="46" spans="2:165">
      <c r="B46" s="31" t="s">
        <v>548</v>
      </c>
      <c r="C46" s="32"/>
      <c r="D46" s="36">
        <f>Allgemein!$M$46</f>
        <v>0</v>
      </c>
      <c r="E46" s="36">
        <f>IF(E42=Allgemein!$M$50+2,(Allgemein!$M$46-Allgemein!$M$54)-D50,D55)</f>
        <v>0</v>
      </c>
      <c r="F46" s="36">
        <f>IF(F42=Allgemein!$M$50+2,(Allgemein!$M$46-Allgemein!$M$54)-E50,E55)</f>
        <v>0</v>
      </c>
      <c r="G46" s="36">
        <f>IF(G42=Allgemein!$M$50+2,(Allgemein!$M$46-Allgemein!$M$54)-F50,F55)</f>
        <v>0</v>
      </c>
      <c r="H46" s="36">
        <f>IF(H42=Allgemein!$M$50+2,(Allgemein!$M$46-Allgemein!$M$54)-G50,G55)</f>
        <v>0</v>
      </c>
      <c r="I46" s="36">
        <f>IF(I42=Allgemein!$M$50+2,(Allgemein!$M$46-Allgemein!$M$54)-H50,H55)</f>
        <v>0</v>
      </c>
      <c r="J46" s="36">
        <f>IF(J42=Allgemein!$M$50+2,(Allgemein!$M$46-Allgemein!$M$54)-I50,I55)</f>
        <v>0</v>
      </c>
      <c r="K46" s="36">
        <f>IF(K42=Allgemein!$M$50+2,(Allgemein!$M$46-Allgemein!$M$54)-J50,J55)</f>
        <v>0</v>
      </c>
      <c r="L46" s="36">
        <f>IF(L42=Allgemein!$M$50+2,(Allgemein!$M$46-Allgemein!$M$54)-K50,K55)</f>
        <v>0</v>
      </c>
      <c r="M46" s="36">
        <f>IF(M42=Allgemein!$M$50+2,(Allgemein!$M$46-Allgemein!$M$54)-L50,L55)</f>
        <v>0</v>
      </c>
      <c r="N46" s="36">
        <f>IF(N42=Allgemein!$M$50+2,(Allgemein!$M$46-Allgemein!$M$54)-M50,M55)</f>
        <v>0</v>
      </c>
      <c r="O46" s="36">
        <f>IF(O42=Allgemein!$M$50+2,(Allgemein!$M$46-Allgemein!$M$54)-N50,N55)</f>
        <v>0</v>
      </c>
      <c r="P46" s="36">
        <f>IF(P42=Allgemein!$M$50+2,(Allgemein!$M$46-Allgemein!$M$54)-O50,O55)</f>
        <v>0</v>
      </c>
      <c r="Q46" s="36">
        <f>IF(Q42=Allgemein!$M$50+2,(Allgemein!$M$46-Allgemein!$M$54)-P50,P55)</f>
        <v>0</v>
      </c>
      <c r="R46" s="36">
        <f>IF(R42=Allgemein!$M$50+2,(Allgemein!$M$46-Allgemein!$M$54)-Q50,Q55)</f>
        <v>0</v>
      </c>
      <c r="S46" s="36">
        <f>IF(S42=Allgemein!$M$50+2,(Allgemein!$M$46-Allgemein!$M$54)-R50,R55)</f>
        <v>0</v>
      </c>
      <c r="T46" s="36">
        <f>IF(T42=Allgemein!$M$50+2,(Allgemein!$M$46-Allgemein!$M$54)-S50,S55)</f>
        <v>0</v>
      </c>
      <c r="U46" s="36">
        <f>IF(U42=Allgemein!$M$50+2,(Allgemein!$M$46-Allgemein!$M$54)-T50,T55)</f>
        <v>0</v>
      </c>
      <c r="V46" s="36">
        <f>IF(V42=Allgemein!$M$50+2,(Allgemein!$M$46-Allgemein!$M$54)-U50,U55)</f>
        <v>0</v>
      </c>
      <c r="W46" s="36">
        <f>IF(W42=Allgemein!$M$50+2,(Allgemein!$M$46-Allgemein!$M$54)-V50,V55)</f>
        <v>0</v>
      </c>
      <c r="X46" s="36">
        <f>IF(X42=Allgemein!$M$50+2,(Allgemein!$M$46-Allgemein!$M$54)-W50,W55)</f>
        <v>0</v>
      </c>
      <c r="Y46" s="36">
        <f>IF(Y42=Allgemein!$M$50+2,(Allgemein!$M$46-Allgemein!$M$54)-X50,X55)</f>
        <v>0</v>
      </c>
      <c r="Z46" s="36">
        <f>IF(Z42=Allgemein!$M$50+2,(Allgemein!$M$46-Allgemein!$M$54)-Y50,Y55)</f>
        <v>0</v>
      </c>
      <c r="AA46" s="36">
        <f>IF(AA42=Allgemein!$M$50+2,(Allgemein!$M$46-Allgemein!$M$54)-Z50,Z55)</f>
        <v>0</v>
      </c>
      <c r="AB46" s="36">
        <f>IF(AB42=Allgemein!$M$50+2,(Allgemein!$M$46-Allgemein!$M$54)-AA50,AA55)</f>
        <v>0</v>
      </c>
      <c r="AC46" s="36">
        <f>IF(AC42=Allgemein!$M$50+2,(Allgemein!$M$46-Allgemein!$M$54)-AB50,AB55)</f>
        <v>0</v>
      </c>
      <c r="AD46" s="36">
        <f>IF(AD42=Allgemein!$M$50+2,(Allgemein!$M$46-Allgemein!$M$54)-AC50,AC55)</f>
        <v>0</v>
      </c>
      <c r="AE46" s="36">
        <f>IF(AE42=Allgemein!$M$50+2,(Allgemein!$M$46-Allgemein!$M$54)-AD50,AD55)</f>
        <v>0</v>
      </c>
      <c r="AF46" s="36">
        <f>IF(AF42=Allgemein!$M$50+2,(Allgemein!$M$46-Allgemein!$M$54)-AE50,AE55)</f>
        <v>0</v>
      </c>
      <c r="AG46" s="36">
        <f>IF(AG42=Allgemein!$M$50+2,(Allgemein!$M$46-Allgemein!$M$54)-AF50,AF55)</f>
        <v>0</v>
      </c>
      <c r="AH46" s="36">
        <f>IF(AH42=Allgemein!$M$50+2,(Allgemein!$M$46-Allgemein!$M$54)-AG50,AG55)</f>
        <v>0</v>
      </c>
      <c r="BH46" s="2" t="s">
        <v>434</v>
      </c>
      <c r="BI46" s="2">
        <v>1100</v>
      </c>
      <c r="BJ46" s="2">
        <v>500</v>
      </c>
      <c r="BN46" s="2">
        <v>1210</v>
      </c>
      <c r="CC46" s="2" t="s">
        <v>295</v>
      </c>
      <c r="CD46" s="2" t="s">
        <v>559</v>
      </c>
      <c r="CG46" s="2" t="s">
        <v>560</v>
      </c>
      <c r="DF46" s="2">
        <v>0.375</v>
      </c>
      <c r="DG46" s="2">
        <v>0.1</v>
      </c>
      <c r="DH46" s="2">
        <v>1.0181</v>
      </c>
      <c r="DQ46" s="2">
        <f>Heizflächen!C50</f>
        <v>0</v>
      </c>
      <c r="DR46" s="5">
        <f>Heizflächen!D50</f>
        <v>0</v>
      </c>
      <c r="DS46" s="5">
        <f>Heizflächen!H50</f>
        <v>39</v>
      </c>
      <c r="DT46" s="5">
        <f>Heizflächen!G50</f>
        <v>0</v>
      </c>
      <c r="DU46" s="5">
        <f>_xlfn.XLOOKUP(Heizflächen!$U$64,Tabelle5[Auswählbare Vor-und Rücklauftemperaturen],Tabelle5[Vorlauf],0,0,1)</f>
        <v>35</v>
      </c>
      <c r="DV46" s="5">
        <f>_xlfn.XLOOKUP(Heizflächen!$U$64,Tabelle5[Auswählbare Vor-und Rücklauftemperaturen],Tabelle5[Rücklauf],0,0,1)</f>
        <v>30</v>
      </c>
      <c r="DW46"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46" s="5">
        <f>_xlfn.XLOOKUP($DZ$3,Tabelle6[Systemtemperatur bei Norm-Wärmeleistungsbestimmung],Tabelle6[Vorlauf],0,0,1)</f>
        <v>55</v>
      </c>
      <c r="DY46" s="5">
        <f>_xlfn.XLOOKUP($DZ$3,Tabelle6[Systemtemperatur bei Norm-Wärmeleistungsbestimmung],Tabelle6[Rücklauf],0,0,1)</f>
        <v>45</v>
      </c>
      <c r="DZ46" s="5">
        <f>_xlfn.XLOOKUP($DZ$3,Tabelle6[Systemtemperatur bei Norm-Wärmeleistungsbestimmung],Tabelle6[Norm Innentemperatur],0,0,1)</f>
        <v>20</v>
      </c>
      <c r="EA46" s="147">
        <f>((Tabelle3[[#This Row],[Norm Vorlauftemperatur]]-Tabelle3[[#This Row],[Norm Rücklauftemperatur]])/LN((Tabelle3[[#This Row],[Norm Vorlauftemperatur]]-Tabelle3[[#This Row],[Norm Innentemperatur]])/(Tabelle3[[#This Row],[Norm Rücklauftemperatur]]-Tabelle3[[#This Row],[Norm Innentemperatur]])))</f>
        <v>29.720134119884619</v>
      </c>
      <c r="EB46" s="5">
        <f>_xlfn.XLOOKUP(Heizflächen!I50,Tabelle2[Typ],Tabelle2[Heizkörperexponent],0,1,1)</f>
        <v>0</v>
      </c>
      <c r="EC46" s="148">
        <f>Heizflächen!K50</f>
        <v>0</v>
      </c>
      <c r="ED46" s="5">
        <f>IF(Tabelle3[[#This Row],[Heizkörper in Nische?]]="Nein",1,_xlfn.XLOOKUP(Heizflächen!L50, Tabelle8[Höhe über HK],Tabelle8[Abminderungsfaktor],1,0,1))</f>
        <v>1</v>
      </c>
      <c r="EE46" s="5">
        <f>(DW46/EA46)^Tabelle3[[#This Row],[Heizkörperexponent n]]</f>
        <v>1</v>
      </c>
      <c r="EF46" s="5" cm="1">
        <f t="array" ref="EF46">_xlfn.XLOOKUP(Heizflächen!J50&amp;Heizflächen!M50&amp;Heizflächen!N50&amp;Heizflächen!O50&amp;Heizflächen!P50&amp;Heizflächen!Q50,Tabelle4[Typ]&amp;Tabelle4[Breite '[mm']]&amp;Tabelle4[Höhe '[mm']]&amp;Tabelle4[Bauhöhe Radiator '[mm']]&amp;Tabelle4[Nabenabstand Radiator '[mm']]&amp;Tabelle4[Bautiefe Radiator '[mm']],Tabelle4[Wärmeleistung (Radiatoren je Glied) '[W']],,-1,1)</f>
        <v>0</v>
      </c>
      <c r="EG46" s="5">
        <f>Heizflächen!R50</f>
        <v>0</v>
      </c>
      <c r="EH46" s="150">
        <f>IF(AND(Tabelle3[[#This Row],[Gliederanzahl]]&gt;0,Heizflächen!J50="Radiator"),Tabelle3[[#This Row],[Norm Heizleistung QNorm]]*Tabelle3[[#This Row],[f = (Δθm1/Δθm2)^n]]*Tabelle3[[#This Row],[Abminderungsfaktor]]*Tabelle3[[#This Row],[Gliederanzahl]],Tabelle3[[#This Row],[Abminderungsfaktor]]*Tabelle3[[#This Row],[f = (Δθm1/Δθm2)^n]]*Tabelle3[[#This Row],[Norm Heizleistung QNorm]])</f>
        <v>0</v>
      </c>
      <c r="EI46" s="5"/>
      <c r="EJ46" s="5"/>
      <c r="EK46" s="5"/>
      <c r="EM46" s="2">
        <f>Heizflächen!C50</f>
        <v>0</v>
      </c>
      <c r="EN46" s="2">
        <f>Heizflächen!D50</f>
        <v>0</v>
      </c>
      <c r="EO46" s="2">
        <f>1-(Heizflächen!S50/0.075)</f>
        <v>1</v>
      </c>
      <c r="EP46" s="2">
        <f>100*(0.045-Heizflächen!T50)</f>
        <v>4.5</v>
      </c>
      <c r="EQ46" s="2">
        <f>250*(Heizflächen!U50-0.02)</f>
        <v>-5</v>
      </c>
      <c r="ER46" s="2">
        <f>_xlfn.XLOOKUP(Tabelle14[[#This Row],[Wärmedurchlasswiderstand Bodenbelag]],Tabelle17[Wärmedurchlasswiderstand Rλ,B in '[m²K/W']],Tabelle17[aT],0,-1,1)</f>
        <v>1.23</v>
      </c>
      <c r="ES46" s="2" cm="1">
        <f t="array" ref="ES46">_xlfn.XLOOKUP(Heizflächen!S50&amp;Tabelle14[[#This Row],[Wärmedurchlasswiderstand Bodenbelag]],Tabelle18[T]&amp;Tabelle18[Rλ,B in '[m²K/W']],Tabelle18[au],0,-1,1)</f>
        <v>0</v>
      </c>
      <c r="ET46" s="2" cm="1">
        <f t="array" ref="ET46">_xlfn.XLOOKUP(Heizflächen!S50&amp;Tabelle14[[#This Row],[Wärmedurchlasswiderstand Bodenbelag]],Tabelle19[T]&amp;Tabelle19[Rλ,B in '[m²K/W']],Tabelle19[aD],0,-1,1)</f>
        <v>0</v>
      </c>
      <c r="EU46" s="5">
        <f>_xlfn.XLOOKUP(Heizflächen!$U$64,Tabelle5[Auswählbare Vor-und Rücklauftemperaturen],Tabelle5[Vorlauf],0,0,1)</f>
        <v>35</v>
      </c>
      <c r="EV46" s="5">
        <f>_xlfn.XLOOKUP(Heizflächen!$U$64,Tabelle5[Auswählbare Vor-und Rücklauftemperaturen],Tabelle5[Rücklauf],0,0,1)</f>
        <v>30</v>
      </c>
      <c r="EW46" s="77">
        <f>((Tabelle14[[#This Row],[gewünschte Vorlauftemperatur]]-Tabelle14[[#This Row],[gewünschte Rücklauftemperatur]])/LN((Tabelle14[[#This Row],[gewünschte Vorlauftemperatur]]-Heizflächen!G50)/(Tabelle14[[#This Row],[gewünschte Rücklauftemperatur]]-Heizflächen!G50)))</f>
        <v>32.435795973154399</v>
      </c>
      <c r="EX46" s="2">
        <f>_xlfn.XLOOKUP(Heizflächen!V50,Tabelle13[Bodenbelagsmaterial],Tabelle13[Wärmedurchlasswiderstand Rλ,B in '[m²K/W']],0,0,1)</f>
        <v>0</v>
      </c>
      <c r="EY46" s="163">
        <f>((1/10.8)+(0.045/1))/((1/10.8)+(0.045/1.4)+Tabelle14[[#This Row],[Wärmedurchlasswiderstand Bodenbelag]])</f>
        <v>1.1030752916224815</v>
      </c>
      <c r="EZ46" s="2">
        <v>6.7</v>
      </c>
      <c r="FA46" s="164" t="e">
        <f>Tabelle14[[#This Row],[B '[W/(m²K)']]]*Tabelle14[[#This Row],[aB]]*(Tabelle14[[#This Row],[aT]]^Tabelle14[[#This Row],[mT]])*(Tabelle14[[#This Row],[au]]^Tabelle14[[#This Row],[mu]])*(Tabelle14[[#This Row],[aD]]^Tabelle14[[#This Row],[mD]])*Tabelle14[[#This Row],[gewünschte Übertemperatur Δθm]]</f>
        <v>#DIV/0!</v>
      </c>
      <c r="FB46" s="2">
        <f>IFERROR(Tabelle14[[#This Row],[q '[W/m²']]]*(Heizflächen!E50-Heizflächen!F50),0)</f>
        <v>0</v>
      </c>
      <c r="FC46" s="2">
        <f>Heizflächen!H50</f>
        <v>39</v>
      </c>
      <c r="FI46" s="2">
        <v>40</v>
      </c>
    </row>
    <row r="47" spans="2:165">
      <c r="B47" s="31" t="s">
        <v>549</v>
      </c>
      <c r="C47" s="32"/>
      <c r="D47" s="36">
        <f>D46*D44</f>
        <v>0</v>
      </c>
      <c r="E47" s="36">
        <f>IF(E46=0,0,E44*E46)</f>
        <v>0</v>
      </c>
      <c r="F47" s="36">
        <f t="shared" ref="F47:AH47" si="27">IF(F46=0,0,F44*F46)</f>
        <v>0</v>
      </c>
      <c r="G47" s="36">
        <f t="shared" si="27"/>
        <v>0</v>
      </c>
      <c r="H47" s="36">
        <f t="shared" si="27"/>
        <v>0</v>
      </c>
      <c r="I47" s="36">
        <f t="shared" si="27"/>
        <v>0</v>
      </c>
      <c r="J47" s="36">
        <f t="shared" si="27"/>
        <v>0</v>
      </c>
      <c r="K47" s="36">
        <f t="shared" si="27"/>
        <v>0</v>
      </c>
      <c r="L47" s="36">
        <f t="shared" si="27"/>
        <v>0</v>
      </c>
      <c r="M47" s="36">
        <f t="shared" si="27"/>
        <v>0</v>
      </c>
      <c r="N47" s="36">
        <f t="shared" si="27"/>
        <v>0</v>
      </c>
      <c r="O47" s="36">
        <f t="shared" si="27"/>
        <v>0</v>
      </c>
      <c r="P47" s="36">
        <f t="shared" si="27"/>
        <v>0</v>
      </c>
      <c r="Q47" s="36">
        <f t="shared" si="27"/>
        <v>0</v>
      </c>
      <c r="R47" s="36">
        <f t="shared" si="27"/>
        <v>0</v>
      </c>
      <c r="S47" s="36">
        <f t="shared" si="27"/>
        <v>0</v>
      </c>
      <c r="T47" s="36">
        <f t="shared" si="27"/>
        <v>0</v>
      </c>
      <c r="U47" s="36">
        <f t="shared" si="27"/>
        <v>0</v>
      </c>
      <c r="V47" s="36">
        <f t="shared" si="27"/>
        <v>0</v>
      </c>
      <c r="W47" s="36">
        <f t="shared" si="27"/>
        <v>0</v>
      </c>
      <c r="X47" s="36">
        <f t="shared" si="27"/>
        <v>0</v>
      </c>
      <c r="Y47" s="36">
        <f t="shared" si="27"/>
        <v>0</v>
      </c>
      <c r="Z47" s="36">
        <f t="shared" si="27"/>
        <v>0</v>
      </c>
      <c r="AA47" s="36">
        <f t="shared" si="27"/>
        <v>0</v>
      </c>
      <c r="AB47" s="36">
        <f t="shared" si="27"/>
        <v>0</v>
      </c>
      <c r="AC47" s="36">
        <f t="shared" si="27"/>
        <v>0</v>
      </c>
      <c r="AD47" s="36">
        <f t="shared" si="27"/>
        <v>0</v>
      </c>
      <c r="AE47" s="36">
        <f t="shared" si="27"/>
        <v>0</v>
      </c>
      <c r="AF47" s="36">
        <f t="shared" si="27"/>
        <v>0</v>
      </c>
      <c r="AG47" s="36">
        <f t="shared" si="27"/>
        <v>0</v>
      </c>
      <c r="AH47" s="36">
        <f t="shared" si="27"/>
        <v>0</v>
      </c>
      <c r="BH47" s="2" t="s">
        <v>434</v>
      </c>
      <c r="BI47" s="2">
        <v>1200</v>
      </c>
      <c r="BJ47" s="2">
        <v>500</v>
      </c>
      <c r="BN47" s="2">
        <v>1320</v>
      </c>
      <c r="CC47" s="2" t="s">
        <v>561</v>
      </c>
      <c r="CD47" s="2">
        <v>1.3</v>
      </c>
      <c r="CG47" s="2" t="s">
        <v>562</v>
      </c>
      <c r="DF47" s="2">
        <v>0.05</v>
      </c>
      <c r="DG47" s="2">
        <v>0.15</v>
      </c>
      <c r="DH47" s="2">
        <v>1.0369999999999999</v>
      </c>
      <c r="DQ47" s="2">
        <f>Heizflächen!C51</f>
        <v>0</v>
      </c>
      <c r="DR47" s="5">
        <f>Heizflächen!D51</f>
        <v>0</v>
      </c>
      <c r="DS47" s="5">
        <f>Heizflächen!H51</f>
        <v>40</v>
      </c>
      <c r="DT47" s="5">
        <f>Heizflächen!G51</f>
        <v>0</v>
      </c>
      <c r="DU47" s="5">
        <f>_xlfn.XLOOKUP(Heizflächen!$U$64,Tabelle5[Auswählbare Vor-und Rücklauftemperaturen],Tabelle5[Vorlauf],0,0,1)</f>
        <v>35</v>
      </c>
      <c r="DV47" s="5">
        <f>_xlfn.XLOOKUP(Heizflächen!$U$64,Tabelle5[Auswählbare Vor-und Rücklauftemperaturen],Tabelle5[Rücklauf],0,0,1)</f>
        <v>30</v>
      </c>
      <c r="DW47"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47" s="5">
        <f>_xlfn.XLOOKUP($DZ$3,Tabelle6[Systemtemperatur bei Norm-Wärmeleistungsbestimmung],Tabelle6[Vorlauf],0,0,1)</f>
        <v>55</v>
      </c>
      <c r="DY47" s="5">
        <f>_xlfn.XLOOKUP($DZ$3,Tabelle6[Systemtemperatur bei Norm-Wärmeleistungsbestimmung],Tabelle6[Rücklauf],0,0,1)</f>
        <v>45</v>
      </c>
      <c r="DZ47" s="5">
        <f>_xlfn.XLOOKUP($DZ$3,Tabelle6[Systemtemperatur bei Norm-Wärmeleistungsbestimmung],Tabelle6[Norm Innentemperatur],0,0,1)</f>
        <v>20</v>
      </c>
      <c r="EA47" s="147">
        <f>((Tabelle3[[#This Row],[Norm Vorlauftemperatur]]-Tabelle3[[#This Row],[Norm Rücklauftemperatur]])/LN((Tabelle3[[#This Row],[Norm Vorlauftemperatur]]-Tabelle3[[#This Row],[Norm Innentemperatur]])/(Tabelle3[[#This Row],[Norm Rücklauftemperatur]]-Tabelle3[[#This Row],[Norm Innentemperatur]])))</f>
        <v>29.720134119884619</v>
      </c>
      <c r="EB47" s="5">
        <f>_xlfn.XLOOKUP(Heizflächen!I51,Tabelle2[Typ],Tabelle2[Heizkörperexponent],0,1,1)</f>
        <v>0</v>
      </c>
      <c r="EC47" s="148">
        <f>Heizflächen!K51</f>
        <v>0</v>
      </c>
      <c r="ED47" s="5">
        <f>IF(Tabelle3[[#This Row],[Heizkörper in Nische?]]="Nein",1,_xlfn.XLOOKUP(Heizflächen!L51, Tabelle8[Höhe über HK],Tabelle8[Abminderungsfaktor],1,0,1))</f>
        <v>1</v>
      </c>
      <c r="EE47" s="5">
        <f>(DW47/EA47)^Tabelle3[[#This Row],[Heizkörperexponent n]]</f>
        <v>1</v>
      </c>
      <c r="EF47" s="5" cm="1">
        <f t="array" ref="EF47">_xlfn.XLOOKUP(Heizflächen!J51&amp;Heizflächen!M51&amp;Heizflächen!N51&amp;Heizflächen!O51&amp;Heizflächen!P51&amp;Heizflächen!Q51,Tabelle4[Typ]&amp;Tabelle4[Breite '[mm']]&amp;Tabelle4[Höhe '[mm']]&amp;Tabelle4[Bauhöhe Radiator '[mm']]&amp;Tabelle4[Nabenabstand Radiator '[mm']]&amp;Tabelle4[Bautiefe Radiator '[mm']],Tabelle4[Wärmeleistung (Radiatoren je Glied) '[W']],,-1,1)</f>
        <v>0</v>
      </c>
      <c r="EG47" s="5">
        <f>Heizflächen!R51</f>
        <v>0</v>
      </c>
      <c r="EH47" s="150">
        <f>IF(AND(Tabelle3[[#This Row],[Gliederanzahl]]&gt;0,Heizflächen!J51="Radiator"),Tabelle3[[#This Row],[Norm Heizleistung QNorm]]*Tabelle3[[#This Row],[f = (Δθm1/Δθm2)^n]]*Tabelle3[[#This Row],[Abminderungsfaktor]]*Tabelle3[[#This Row],[Gliederanzahl]],Tabelle3[[#This Row],[Abminderungsfaktor]]*Tabelle3[[#This Row],[f = (Δθm1/Δθm2)^n]]*Tabelle3[[#This Row],[Norm Heizleistung QNorm]])</f>
        <v>0</v>
      </c>
      <c r="EI47" s="5"/>
      <c r="EJ47" s="5"/>
      <c r="EK47" s="5"/>
      <c r="EM47" s="2">
        <f>Heizflächen!C51</f>
        <v>0</v>
      </c>
      <c r="EN47" s="2">
        <f>Heizflächen!D51</f>
        <v>0</v>
      </c>
      <c r="EO47" s="2">
        <f>1-(Heizflächen!S51/0.075)</f>
        <v>1</v>
      </c>
      <c r="EP47" s="2">
        <f>100*(0.045-Heizflächen!T51)</f>
        <v>4.5</v>
      </c>
      <c r="EQ47" s="2">
        <f>250*(Heizflächen!U51-0.02)</f>
        <v>-5</v>
      </c>
      <c r="ER47" s="2">
        <f>_xlfn.XLOOKUP(Tabelle14[[#This Row],[Wärmedurchlasswiderstand Bodenbelag]],Tabelle17[Wärmedurchlasswiderstand Rλ,B in '[m²K/W']],Tabelle17[aT],0,-1,1)</f>
        <v>1.23</v>
      </c>
      <c r="ES47" s="2" cm="1">
        <f t="array" ref="ES47">_xlfn.XLOOKUP(Heizflächen!S51&amp;Tabelle14[[#This Row],[Wärmedurchlasswiderstand Bodenbelag]],Tabelle18[T]&amp;Tabelle18[Rλ,B in '[m²K/W']],Tabelle18[au],0,-1,1)</f>
        <v>0</v>
      </c>
      <c r="ET47" s="2" cm="1">
        <f t="array" ref="ET47">_xlfn.XLOOKUP(Heizflächen!S51&amp;Tabelle14[[#This Row],[Wärmedurchlasswiderstand Bodenbelag]],Tabelle19[T]&amp;Tabelle19[Rλ,B in '[m²K/W']],Tabelle19[aD],0,-1,1)</f>
        <v>0</v>
      </c>
      <c r="EU47" s="5">
        <f>_xlfn.XLOOKUP(Heizflächen!$U$64,Tabelle5[Auswählbare Vor-und Rücklauftemperaturen],Tabelle5[Vorlauf],0,0,1)</f>
        <v>35</v>
      </c>
      <c r="EV47" s="5">
        <f>_xlfn.XLOOKUP(Heizflächen!$U$64,Tabelle5[Auswählbare Vor-und Rücklauftemperaturen],Tabelle5[Rücklauf],0,0,1)</f>
        <v>30</v>
      </c>
      <c r="EW47" s="77">
        <f>((Tabelle14[[#This Row],[gewünschte Vorlauftemperatur]]-Tabelle14[[#This Row],[gewünschte Rücklauftemperatur]])/LN((Tabelle14[[#This Row],[gewünschte Vorlauftemperatur]]-Heizflächen!G51)/(Tabelle14[[#This Row],[gewünschte Rücklauftemperatur]]-Heizflächen!G51)))</f>
        <v>32.435795973154399</v>
      </c>
      <c r="EX47" s="2">
        <f>_xlfn.XLOOKUP(Heizflächen!V51,Tabelle13[Bodenbelagsmaterial],Tabelle13[Wärmedurchlasswiderstand Rλ,B in '[m²K/W']],0,0,1)</f>
        <v>0</v>
      </c>
      <c r="EY47" s="163">
        <f>((1/10.8)+(0.045/1))/((1/10.8)+(0.045/1.4)+Tabelle14[[#This Row],[Wärmedurchlasswiderstand Bodenbelag]])</f>
        <v>1.1030752916224815</v>
      </c>
      <c r="EZ47" s="2">
        <v>6.7</v>
      </c>
      <c r="FA47" s="164" t="e">
        <f>Tabelle14[[#This Row],[B '[W/(m²K)']]]*Tabelle14[[#This Row],[aB]]*(Tabelle14[[#This Row],[aT]]^Tabelle14[[#This Row],[mT]])*(Tabelle14[[#This Row],[au]]^Tabelle14[[#This Row],[mu]])*(Tabelle14[[#This Row],[aD]]^Tabelle14[[#This Row],[mD]])*Tabelle14[[#This Row],[gewünschte Übertemperatur Δθm]]</f>
        <v>#DIV/0!</v>
      </c>
      <c r="FB47" s="2">
        <f>IFERROR(Tabelle14[[#This Row],[q '[W/m²']]]*(Heizflächen!E51-Heizflächen!F51),0)</f>
        <v>0</v>
      </c>
      <c r="FC47" s="2">
        <f>Heizflächen!H51</f>
        <v>40</v>
      </c>
      <c r="FI47" s="2">
        <v>41</v>
      </c>
    </row>
    <row r="48" spans="2:165">
      <c r="B48" s="34"/>
      <c r="C48" s="35"/>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BH48" s="2" t="s">
        <v>434</v>
      </c>
      <c r="BI48" s="2">
        <v>1400</v>
      </c>
      <c r="BJ48" s="2">
        <v>500</v>
      </c>
      <c r="BN48" s="2">
        <v>1540</v>
      </c>
      <c r="CC48" s="2" t="s">
        <v>563</v>
      </c>
      <c r="CD48" s="2">
        <v>1.33</v>
      </c>
      <c r="CE48" s="2">
        <v>1.33</v>
      </c>
      <c r="CG48" s="2" t="s">
        <v>564</v>
      </c>
      <c r="DF48" s="2">
        <v>7.4999999999999997E-2</v>
      </c>
      <c r="DG48" s="2">
        <v>0.15</v>
      </c>
      <c r="DH48" s="2">
        <v>1.0349999999999999</v>
      </c>
      <c r="DQ48" s="2">
        <f>Heizflächen!C52</f>
        <v>0</v>
      </c>
      <c r="DR48" s="5">
        <f>Heizflächen!D52</f>
        <v>0</v>
      </c>
      <c r="DS48" s="5">
        <f>Heizflächen!H52</f>
        <v>41</v>
      </c>
      <c r="DT48" s="5">
        <f>Heizflächen!G52</f>
        <v>0</v>
      </c>
      <c r="DU48" s="5">
        <f>_xlfn.XLOOKUP(Heizflächen!$U$64,Tabelle5[Auswählbare Vor-und Rücklauftemperaturen],Tabelle5[Vorlauf],0,0,1)</f>
        <v>35</v>
      </c>
      <c r="DV48" s="5">
        <f>_xlfn.XLOOKUP(Heizflächen!$U$64,Tabelle5[Auswählbare Vor-und Rücklauftemperaturen],Tabelle5[Rücklauf],0,0,1)</f>
        <v>30</v>
      </c>
      <c r="DW48"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48" s="5">
        <f>_xlfn.XLOOKUP($DZ$3,Tabelle6[Systemtemperatur bei Norm-Wärmeleistungsbestimmung],Tabelle6[Vorlauf],0,0,1)</f>
        <v>55</v>
      </c>
      <c r="DY48" s="5">
        <f>_xlfn.XLOOKUP($DZ$3,Tabelle6[Systemtemperatur bei Norm-Wärmeleistungsbestimmung],Tabelle6[Rücklauf],0,0,1)</f>
        <v>45</v>
      </c>
      <c r="DZ48" s="5">
        <f>_xlfn.XLOOKUP($DZ$3,Tabelle6[Systemtemperatur bei Norm-Wärmeleistungsbestimmung],Tabelle6[Norm Innentemperatur],0,0,1)</f>
        <v>20</v>
      </c>
      <c r="EA48" s="147">
        <f>((Tabelle3[[#This Row],[Norm Vorlauftemperatur]]-Tabelle3[[#This Row],[Norm Rücklauftemperatur]])/LN((Tabelle3[[#This Row],[Norm Vorlauftemperatur]]-Tabelle3[[#This Row],[Norm Innentemperatur]])/(Tabelle3[[#This Row],[Norm Rücklauftemperatur]]-Tabelle3[[#This Row],[Norm Innentemperatur]])))</f>
        <v>29.720134119884619</v>
      </c>
      <c r="EB48" s="5">
        <f>_xlfn.XLOOKUP(Heizflächen!I52,Tabelle2[Typ],Tabelle2[Heizkörperexponent],0,1,1)</f>
        <v>0</v>
      </c>
      <c r="EC48" s="148">
        <f>Heizflächen!K52</f>
        <v>0</v>
      </c>
      <c r="ED48" s="5">
        <f>IF(Tabelle3[[#This Row],[Heizkörper in Nische?]]="Nein",1,_xlfn.XLOOKUP(Heizflächen!L52, Tabelle8[Höhe über HK],Tabelle8[Abminderungsfaktor],1,0,1))</f>
        <v>1</v>
      </c>
      <c r="EE48" s="5">
        <f>(DW48/EA48)^Tabelle3[[#This Row],[Heizkörperexponent n]]</f>
        <v>1</v>
      </c>
      <c r="EF48" s="5" cm="1">
        <f t="array" ref="EF48">_xlfn.XLOOKUP(Heizflächen!J52&amp;Heizflächen!M52&amp;Heizflächen!N52&amp;Heizflächen!O52&amp;Heizflächen!P52&amp;Heizflächen!Q52,Tabelle4[Typ]&amp;Tabelle4[Breite '[mm']]&amp;Tabelle4[Höhe '[mm']]&amp;Tabelle4[Bauhöhe Radiator '[mm']]&amp;Tabelle4[Nabenabstand Radiator '[mm']]&amp;Tabelle4[Bautiefe Radiator '[mm']],Tabelle4[Wärmeleistung (Radiatoren je Glied) '[W']],,-1,1)</f>
        <v>0</v>
      </c>
      <c r="EG48" s="5">
        <f>Heizflächen!R52</f>
        <v>0</v>
      </c>
      <c r="EH48" s="150">
        <f>IF(AND(Tabelle3[[#This Row],[Gliederanzahl]]&gt;0,Heizflächen!J52="Radiator"),Tabelle3[[#This Row],[Norm Heizleistung QNorm]]*Tabelle3[[#This Row],[f = (Δθm1/Δθm2)^n]]*Tabelle3[[#This Row],[Abminderungsfaktor]]*Tabelle3[[#This Row],[Gliederanzahl]],Tabelle3[[#This Row],[Abminderungsfaktor]]*Tabelle3[[#This Row],[f = (Δθm1/Δθm2)^n]]*Tabelle3[[#This Row],[Norm Heizleistung QNorm]])</f>
        <v>0</v>
      </c>
      <c r="EI48" s="5"/>
      <c r="EJ48" s="5"/>
      <c r="EK48" s="5"/>
      <c r="EM48" s="2">
        <f>Heizflächen!C52</f>
        <v>0</v>
      </c>
      <c r="EN48" s="2">
        <f>Heizflächen!D52</f>
        <v>0</v>
      </c>
      <c r="EO48" s="2">
        <f>1-(Heizflächen!S52/0.075)</f>
        <v>1</v>
      </c>
      <c r="EP48" s="2">
        <f>100*(0.045-Heizflächen!T52)</f>
        <v>4.5</v>
      </c>
      <c r="EQ48" s="2">
        <f>250*(Heizflächen!U52-0.02)</f>
        <v>-5</v>
      </c>
      <c r="ER48" s="2">
        <f>_xlfn.XLOOKUP(Tabelle14[[#This Row],[Wärmedurchlasswiderstand Bodenbelag]],Tabelle17[Wärmedurchlasswiderstand Rλ,B in '[m²K/W']],Tabelle17[aT],0,-1,1)</f>
        <v>1.23</v>
      </c>
      <c r="ES48" s="2" cm="1">
        <f t="array" ref="ES48">_xlfn.XLOOKUP(Heizflächen!S52&amp;Tabelle14[[#This Row],[Wärmedurchlasswiderstand Bodenbelag]],Tabelle18[T]&amp;Tabelle18[Rλ,B in '[m²K/W']],Tabelle18[au],0,-1,1)</f>
        <v>0</v>
      </c>
      <c r="ET48" s="2" cm="1">
        <f t="array" ref="ET48">_xlfn.XLOOKUP(Heizflächen!S52&amp;Tabelle14[[#This Row],[Wärmedurchlasswiderstand Bodenbelag]],Tabelle19[T]&amp;Tabelle19[Rλ,B in '[m²K/W']],Tabelle19[aD],0,-1,1)</f>
        <v>0</v>
      </c>
      <c r="EU48" s="5">
        <f>_xlfn.XLOOKUP(Heizflächen!$U$64,Tabelle5[Auswählbare Vor-und Rücklauftemperaturen],Tabelle5[Vorlauf],0,0,1)</f>
        <v>35</v>
      </c>
      <c r="EV48" s="5">
        <f>_xlfn.XLOOKUP(Heizflächen!$U$64,Tabelle5[Auswählbare Vor-und Rücklauftemperaturen],Tabelle5[Rücklauf],0,0,1)</f>
        <v>30</v>
      </c>
      <c r="EW48" s="77">
        <f>((Tabelle14[[#This Row],[gewünschte Vorlauftemperatur]]-Tabelle14[[#This Row],[gewünschte Rücklauftemperatur]])/LN((Tabelle14[[#This Row],[gewünschte Vorlauftemperatur]]-Heizflächen!G52)/(Tabelle14[[#This Row],[gewünschte Rücklauftemperatur]]-Heizflächen!G52)))</f>
        <v>32.435795973154399</v>
      </c>
      <c r="EX48" s="2">
        <f>_xlfn.XLOOKUP(Heizflächen!V52,Tabelle13[Bodenbelagsmaterial],Tabelle13[Wärmedurchlasswiderstand Rλ,B in '[m²K/W']],0,0,1)</f>
        <v>0</v>
      </c>
      <c r="EY48" s="163">
        <f>((1/10.8)+(0.045/1))/((1/10.8)+(0.045/1.4)+Tabelle14[[#This Row],[Wärmedurchlasswiderstand Bodenbelag]])</f>
        <v>1.1030752916224815</v>
      </c>
      <c r="EZ48" s="2">
        <v>6.7</v>
      </c>
      <c r="FA48" s="164" t="e">
        <f>Tabelle14[[#This Row],[B '[W/(m²K)']]]*Tabelle14[[#This Row],[aB]]*(Tabelle14[[#This Row],[aT]]^Tabelle14[[#This Row],[mT]])*(Tabelle14[[#This Row],[au]]^Tabelle14[[#This Row],[mu]])*(Tabelle14[[#This Row],[aD]]^Tabelle14[[#This Row],[mD]])*Tabelle14[[#This Row],[gewünschte Übertemperatur Δθm]]</f>
        <v>#DIV/0!</v>
      </c>
      <c r="FB48" s="2">
        <f>IFERROR(Tabelle14[[#This Row],[q '[W/m²']]]*(Heizflächen!E52-Heizflächen!F52),0)</f>
        <v>0</v>
      </c>
      <c r="FC48" s="2">
        <f>Heizflächen!H52</f>
        <v>41</v>
      </c>
      <c r="FI48" s="2">
        <v>42</v>
      </c>
    </row>
    <row r="49" spans="2:170">
      <c r="B49" s="31" t="s">
        <v>550</v>
      </c>
      <c r="C49" s="32"/>
      <c r="D49" s="36"/>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BH49" s="2" t="s">
        <v>434</v>
      </c>
      <c r="BI49" s="2">
        <v>1600</v>
      </c>
      <c r="BJ49" s="2">
        <v>500</v>
      </c>
      <c r="BN49" s="2">
        <v>1760</v>
      </c>
      <c r="CC49" s="2" t="s">
        <v>565</v>
      </c>
      <c r="CD49" s="2">
        <v>1.26</v>
      </c>
      <c r="CE49" s="2">
        <v>1.26</v>
      </c>
      <c r="CG49" s="2" t="s">
        <v>566</v>
      </c>
      <c r="DF49" s="2">
        <v>0.1</v>
      </c>
      <c r="DG49" s="2">
        <v>0.15</v>
      </c>
      <c r="DH49" s="2">
        <v>1.0335000000000001</v>
      </c>
      <c r="DQ49" s="2">
        <f>Heizflächen!C53</f>
        <v>0</v>
      </c>
      <c r="DR49" s="5">
        <f>Heizflächen!D53</f>
        <v>0</v>
      </c>
      <c r="DS49" s="5">
        <f>Heizflächen!H53</f>
        <v>42</v>
      </c>
      <c r="DT49" s="5">
        <f>Heizflächen!G53</f>
        <v>0</v>
      </c>
      <c r="DU49" s="5">
        <f>_xlfn.XLOOKUP(Heizflächen!$U$64,Tabelle5[Auswählbare Vor-und Rücklauftemperaturen],Tabelle5[Vorlauf],0,0,1)</f>
        <v>35</v>
      </c>
      <c r="DV49" s="5">
        <f>_xlfn.XLOOKUP(Heizflächen!$U$64,Tabelle5[Auswählbare Vor-und Rücklauftemperaturen],Tabelle5[Rücklauf],0,0,1)</f>
        <v>30</v>
      </c>
      <c r="DW49"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49" s="5">
        <f>_xlfn.XLOOKUP($DZ$3,Tabelle6[Systemtemperatur bei Norm-Wärmeleistungsbestimmung],Tabelle6[Vorlauf],0,0,1)</f>
        <v>55</v>
      </c>
      <c r="DY49" s="5">
        <f>_xlfn.XLOOKUP($DZ$3,Tabelle6[Systemtemperatur bei Norm-Wärmeleistungsbestimmung],Tabelle6[Rücklauf],0,0,1)</f>
        <v>45</v>
      </c>
      <c r="DZ49" s="5">
        <f>_xlfn.XLOOKUP($DZ$3,Tabelle6[Systemtemperatur bei Norm-Wärmeleistungsbestimmung],Tabelle6[Norm Innentemperatur],0,0,1)</f>
        <v>20</v>
      </c>
      <c r="EA49" s="147">
        <f>((Tabelle3[[#This Row],[Norm Vorlauftemperatur]]-Tabelle3[[#This Row],[Norm Rücklauftemperatur]])/LN((Tabelle3[[#This Row],[Norm Vorlauftemperatur]]-Tabelle3[[#This Row],[Norm Innentemperatur]])/(Tabelle3[[#This Row],[Norm Rücklauftemperatur]]-Tabelle3[[#This Row],[Norm Innentemperatur]])))</f>
        <v>29.720134119884619</v>
      </c>
      <c r="EB49" s="5">
        <f>_xlfn.XLOOKUP(Heizflächen!I53,Tabelle2[Typ],Tabelle2[Heizkörperexponent],0,1,1)</f>
        <v>0</v>
      </c>
      <c r="EC49" s="148">
        <f>Heizflächen!K53</f>
        <v>0</v>
      </c>
      <c r="ED49" s="5">
        <f>IF(Tabelle3[[#This Row],[Heizkörper in Nische?]]="Nein",1,_xlfn.XLOOKUP(Heizflächen!L53, Tabelle8[Höhe über HK],Tabelle8[Abminderungsfaktor],1,0,1))</f>
        <v>1</v>
      </c>
      <c r="EE49" s="5">
        <f>(DW49/EA49)^Tabelle3[[#This Row],[Heizkörperexponent n]]</f>
        <v>1</v>
      </c>
      <c r="EF49" s="5" cm="1">
        <f t="array" ref="EF49">_xlfn.XLOOKUP(Heizflächen!J53&amp;Heizflächen!M53&amp;Heizflächen!N53&amp;Heizflächen!O53&amp;Heizflächen!P53&amp;Heizflächen!Q53,Tabelle4[Typ]&amp;Tabelle4[Breite '[mm']]&amp;Tabelle4[Höhe '[mm']]&amp;Tabelle4[Bauhöhe Radiator '[mm']]&amp;Tabelle4[Nabenabstand Radiator '[mm']]&amp;Tabelle4[Bautiefe Radiator '[mm']],Tabelle4[Wärmeleistung (Radiatoren je Glied) '[W']],,-1,1)</f>
        <v>0</v>
      </c>
      <c r="EG49" s="5">
        <f>Heizflächen!R53</f>
        <v>0</v>
      </c>
      <c r="EH49" s="150">
        <f>IF(AND(Tabelle3[[#This Row],[Gliederanzahl]]&gt;0,Heizflächen!J53="Radiator"),Tabelle3[[#This Row],[Norm Heizleistung QNorm]]*Tabelle3[[#This Row],[f = (Δθm1/Δθm2)^n]]*Tabelle3[[#This Row],[Abminderungsfaktor]]*Tabelle3[[#This Row],[Gliederanzahl]],Tabelle3[[#This Row],[Abminderungsfaktor]]*Tabelle3[[#This Row],[f = (Δθm1/Δθm2)^n]]*Tabelle3[[#This Row],[Norm Heizleistung QNorm]])</f>
        <v>0</v>
      </c>
      <c r="EI49" s="5"/>
      <c r="EJ49" s="5"/>
      <c r="EK49" s="5"/>
      <c r="EM49" s="2">
        <f>Heizflächen!C53</f>
        <v>0</v>
      </c>
      <c r="EN49" s="2">
        <f>Heizflächen!D53</f>
        <v>0</v>
      </c>
      <c r="EO49" s="2">
        <f>1-(Heizflächen!S53/0.075)</f>
        <v>1</v>
      </c>
      <c r="EP49" s="2">
        <f>100*(0.045-Heizflächen!T53)</f>
        <v>4.5</v>
      </c>
      <c r="EQ49" s="2">
        <f>250*(Heizflächen!U53-0.02)</f>
        <v>-5</v>
      </c>
      <c r="ER49" s="2">
        <f>_xlfn.XLOOKUP(Tabelle14[[#This Row],[Wärmedurchlasswiderstand Bodenbelag]],Tabelle17[Wärmedurchlasswiderstand Rλ,B in '[m²K/W']],Tabelle17[aT],0,-1,1)</f>
        <v>1.23</v>
      </c>
      <c r="ES49" s="2" cm="1">
        <f t="array" ref="ES49">_xlfn.XLOOKUP(Heizflächen!S53&amp;Tabelle14[[#This Row],[Wärmedurchlasswiderstand Bodenbelag]],Tabelle18[T]&amp;Tabelle18[Rλ,B in '[m²K/W']],Tabelle18[au],0,-1,1)</f>
        <v>0</v>
      </c>
      <c r="ET49" s="2" cm="1">
        <f t="array" ref="ET49">_xlfn.XLOOKUP(Heizflächen!S53&amp;Tabelle14[[#This Row],[Wärmedurchlasswiderstand Bodenbelag]],Tabelle19[T]&amp;Tabelle19[Rλ,B in '[m²K/W']],Tabelle19[aD],0,-1,1)</f>
        <v>0</v>
      </c>
      <c r="EU49" s="5">
        <f>_xlfn.XLOOKUP(Heizflächen!$U$64,Tabelle5[Auswählbare Vor-und Rücklauftemperaturen],Tabelle5[Vorlauf],0,0,1)</f>
        <v>35</v>
      </c>
      <c r="EV49" s="5">
        <f>_xlfn.XLOOKUP(Heizflächen!$U$64,Tabelle5[Auswählbare Vor-und Rücklauftemperaturen],Tabelle5[Rücklauf],0,0,1)</f>
        <v>30</v>
      </c>
      <c r="EW49" s="77">
        <f>((Tabelle14[[#This Row],[gewünschte Vorlauftemperatur]]-Tabelle14[[#This Row],[gewünschte Rücklauftemperatur]])/LN((Tabelle14[[#This Row],[gewünschte Vorlauftemperatur]]-Heizflächen!G53)/(Tabelle14[[#This Row],[gewünschte Rücklauftemperatur]]-Heizflächen!G53)))</f>
        <v>32.435795973154399</v>
      </c>
      <c r="EX49" s="2">
        <f>_xlfn.XLOOKUP(Heizflächen!V53,Tabelle13[Bodenbelagsmaterial],Tabelle13[Wärmedurchlasswiderstand Rλ,B in '[m²K/W']],0,0,1)</f>
        <v>0</v>
      </c>
      <c r="EY49" s="163">
        <f>((1/10.8)+(0.045/1))/((1/10.8)+(0.045/1.4)+Tabelle14[[#This Row],[Wärmedurchlasswiderstand Bodenbelag]])</f>
        <v>1.1030752916224815</v>
      </c>
      <c r="EZ49" s="2">
        <v>6.7</v>
      </c>
      <c r="FA49" s="164" t="e">
        <f>Tabelle14[[#This Row],[B '[W/(m²K)']]]*Tabelle14[[#This Row],[aB]]*(Tabelle14[[#This Row],[aT]]^Tabelle14[[#This Row],[mT]])*(Tabelle14[[#This Row],[au]]^Tabelle14[[#This Row],[mu]])*(Tabelle14[[#This Row],[aD]]^Tabelle14[[#This Row],[mD]])*Tabelle14[[#This Row],[gewünschte Übertemperatur Δθm]]</f>
        <v>#DIV/0!</v>
      </c>
      <c r="FB49" s="2">
        <f>IFERROR(Tabelle14[[#This Row],[q '[W/m²']]]*(Heizflächen!E53-Heizflächen!F53),0)</f>
        <v>0</v>
      </c>
      <c r="FC49" s="2">
        <f>Heizflächen!H53</f>
        <v>42</v>
      </c>
      <c r="FI49" s="2">
        <v>43</v>
      </c>
    </row>
    <row r="50" spans="2:170">
      <c r="B50" s="31" t="s">
        <v>551</v>
      </c>
      <c r="C50" s="32"/>
      <c r="D50" s="36">
        <f>D51*D46</f>
        <v>0</v>
      </c>
      <c r="E50" s="36">
        <f>IF(D50=0,E51*E46,E53-E47)</f>
        <v>0</v>
      </c>
      <c r="F50" s="36">
        <f>IF(E50=0,F51*F46,F53-F47)</f>
        <v>0</v>
      </c>
      <c r="G50" s="36">
        <f>IF(F50=0,G51*G46,G53-G47)</f>
        <v>0</v>
      </c>
      <c r="H50" s="36">
        <f>IF(G50=0,H51*H46,H53-H47)</f>
        <v>0</v>
      </c>
      <c r="I50" s="36">
        <f t="shared" ref="I50" si="28">IF(H50=0,I51*I46,I53-I47)</f>
        <v>0</v>
      </c>
      <c r="J50" s="36">
        <f>IF(I50=0,J51*J46,J53-J47)</f>
        <v>0</v>
      </c>
      <c r="K50" s="36">
        <f t="shared" ref="K50" si="29">IF(J50=0,K51*K46,K53-K47)</f>
        <v>0</v>
      </c>
      <c r="L50" s="36">
        <f t="shared" ref="L50" si="30">IF(K50=0,L51*L46,L53-L47)</f>
        <v>0</v>
      </c>
      <c r="M50" s="36">
        <f t="shared" ref="M50" si="31">IF(L50=0,M51*M46,M53-M47)</f>
        <v>0</v>
      </c>
      <c r="N50" s="36">
        <f t="shared" ref="N50" si="32">IF(M50=0,N51*N46,N53-N47)</f>
        <v>0</v>
      </c>
      <c r="O50" s="36">
        <f t="shared" ref="O50" si="33">IF(N50=0,O51*O46,O53-O47)</f>
        <v>0</v>
      </c>
      <c r="P50" s="36">
        <f t="shared" ref="P50" si="34">IF(O50=0,P51*P46,P53-P47)</f>
        <v>0</v>
      </c>
      <c r="Q50" s="36">
        <f t="shared" ref="Q50" si="35">IF(P50=0,Q51*Q46,Q53-Q47)</f>
        <v>0</v>
      </c>
      <c r="R50" s="36">
        <f t="shared" ref="R50" si="36">IF(Q50=0,R51*R46,R53-R47)</f>
        <v>0</v>
      </c>
      <c r="S50" s="36">
        <f t="shared" ref="S50" si="37">IF(R50=0,S51*S46,S53-S47)</f>
        <v>0</v>
      </c>
      <c r="T50" s="36">
        <f t="shared" ref="T50" si="38">IF(S50=0,T51*T46,T53-T47)</f>
        <v>0</v>
      </c>
      <c r="U50" s="36">
        <f t="shared" ref="U50" si="39">IF(T50=0,U51*U46,U53-U47)</f>
        <v>0</v>
      </c>
      <c r="V50" s="36">
        <f t="shared" ref="V50" si="40">IF(U50=0,V51*V46,V53-V47)</f>
        <v>0</v>
      </c>
      <c r="W50" s="36">
        <f t="shared" ref="W50" si="41">IF(V50=0,W51*W46,W53-W47)</f>
        <v>0</v>
      </c>
      <c r="X50" s="36">
        <f t="shared" ref="X50" si="42">IF(W50=0,X51*X46,X53-X47)</f>
        <v>0</v>
      </c>
      <c r="Y50" s="36">
        <f t="shared" ref="Y50" si="43">IF(X50=0,Y51*Y46,Y53-Y47)</f>
        <v>0</v>
      </c>
      <c r="Z50" s="36">
        <f t="shared" ref="Z50" si="44">IF(Y50=0,Z51*Z46,Z53-Z47)</f>
        <v>0</v>
      </c>
      <c r="AA50" s="36">
        <f t="shared" ref="AA50" si="45">IF(Z50=0,AA51*AA46,AA53-AA47)</f>
        <v>0</v>
      </c>
      <c r="AB50" s="36">
        <f t="shared" ref="AB50" si="46">IF(AA50=0,AB51*AB46,AB53-AB47)</f>
        <v>0</v>
      </c>
      <c r="AC50" s="36">
        <f t="shared" ref="AC50" si="47">IF(AB50=0,AC51*AC46,AC53-AC47)</f>
        <v>0</v>
      </c>
      <c r="AD50" s="36">
        <f t="shared" ref="AD50" si="48">IF(AC50=0,AD51*AD46,AD53-AD47)</f>
        <v>0</v>
      </c>
      <c r="AE50" s="36">
        <f t="shared" ref="AE50" si="49">IF(AD50=0,AE51*AE46,AE53-AE47)</f>
        <v>0</v>
      </c>
      <c r="AF50" s="36">
        <f t="shared" ref="AF50" si="50">IF(AE50=0,AF51*AF46,AF53-AF47)</f>
        <v>0</v>
      </c>
      <c r="AG50" s="36">
        <f t="shared" ref="AG50" si="51">IF(AF50=0,AG51*AG46,AG53-AG47)</f>
        <v>0</v>
      </c>
      <c r="AH50" s="36">
        <f t="shared" ref="AH50" si="52">IF(AG50=0,AH51*AH46,AH53-AH47)</f>
        <v>0</v>
      </c>
      <c r="BH50" s="2" t="s">
        <v>434</v>
      </c>
      <c r="BI50" s="2">
        <v>1800</v>
      </c>
      <c r="BJ50" s="2">
        <v>500</v>
      </c>
      <c r="BN50" s="2">
        <v>1980</v>
      </c>
      <c r="CC50" s="2" t="s">
        <v>567</v>
      </c>
      <c r="CD50" s="2">
        <v>1.3</v>
      </c>
      <c r="CG50" s="2" t="s">
        <v>568</v>
      </c>
      <c r="DF50" s="2">
        <v>0.15</v>
      </c>
      <c r="DG50" s="2">
        <v>0.15</v>
      </c>
      <c r="DH50" s="2">
        <v>1.0305</v>
      </c>
      <c r="DQ50" s="2">
        <f>Heizflächen!C54</f>
        <v>0</v>
      </c>
      <c r="DR50" s="5">
        <f>Heizflächen!D54</f>
        <v>0</v>
      </c>
      <c r="DS50" s="5">
        <f>Heizflächen!H54</f>
        <v>43</v>
      </c>
      <c r="DT50" s="5">
        <f>Heizflächen!G54</f>
        <v>0</v>
      </c>
      <c r="DU50" s="5">
        <f>_xlfn.XLOOKUP(Heizflächen!$U$64,Tabelle5[Auswählbare Vor-und Rücklauftemperaturen],Tabelle5[Vorlauf],0,0,1)</f>
        <v>35</v>
      </c>
      <c r="DV50" s="5">
        <f>_xlfn.XLOOKUP(Heizflächen!$U$64,Tabelle5[Auswählbare Vor-und Rücklauftemperaturen],Tabelle5[Rücklauf],0,0,1)</f>
        <v>30</v>
      </c>
      <c r="DW50"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50" s="5">
        <f>_xlfn.XLOOKUP($DZ$3,Tabelle6[Systemtemperatur bei Norm-Wärmeleistungsbestimmung],Tabelle6[Vorlauf],0,0,1)</f>
        <v>55</v>
      </c>
      <c r="DY50" s="5">
        <f>_xlfn.XLOOKUP($DZ$3,Tabelle6[Systemtemperatur bei Norm-Wärmeleistungsbestimmung],Tabelle6[Rücklauf],0,0,1)</f>
        <v>45</v>
      </c>
      <c r="DZ50" s="5">
        <f>_xlfn.XLOOKUP($DZ$3,Tabelle6[Systemtemperatur bei Norm-Wärmeleistungsbestimmung],Tabelle6[Norm Innentemperatur],0,0,1)</f>
        <v>20</v>
      </c>
      <c r="EA50" s="147">
        <f>((Tabelle3[[#This Row],[Norm Vorlauftemperatur]]-Tabelle3[[#This Row],[Norm Rücklauftemperatur]])/LN((Tabelle3[[#This Row],[Norm Vorlauftemperatur]]-Tabelle3[[#This Row],[Norm Innentemperatur]])/(Tabelle3[[#This Row],[Norm Rücklauftemperatur]]-Tabelle3[[#This Row],[Norm Innentemperatur]])))</f>
        <v>29.720134119884619</v>
      </c>
      <c r="EB50" s="5">
        <f>_xlfn.XLOOKUP(Heizflächen!I54,Tabelle2[Typ],Tabelle2[Heizkörperexponent],0,1,1)</f>
        <v>0</v>
      </c>
      <c r="EC50" s="148">
        <f>Heizflächen!K54</f>
        <v>0</v>
      </c>
      <c r="ED50" s="5">
        <f>IF(Tabelle3[[#This Row],[Heizkörper in Nische?]]="Nein",1,_xlfn.XLOOKUP(Heizflächen!L54, Tabelle8[Höhe über HK],Tabelle8[Abminderungsfaktor],1,0,1))</f>
        <v>1</v>
      </c>
      <c r="EE50" s="5">
        <f>(DW50/EA50)^Tabelle3[[#This Row],[Heizkörperexponent n]]</f>
        <v>1</v>
      </c>
      <c r="EF50" s="5" cm="1">
        <f t="array" ref="EF50">_xlfn.XLOOKUP(Heizflächen!J54&amp;Heizflächen!M54&amp;Heizflächen!N54&amp;Heizflächen!O54&amp;Heizflächen!P54&amp;Heizflächen!Q54,Tabelle4[Typ]&amp;Tabelle4[Breite '[mm']]&amp;Tabelle4[Höhe '[mm']]&amp;Tabelle4[Bauhöhe Radiator '[mm']]&amp;Tabelle4[Nabenabstand Radiator '[mm']]&amp;Tabelle4[Bautiefe Radiator '[mm']],Tabelle4[Wärmeleistung (Radiatoren je Glied) '[W']],,-1,1)</f>
        <v>0</v>
      </c>
      <c r="EG50" s="5">
        <f>Heizflächen!R54</f>
        <v>0</v>
      </c>
      <c r="EH50" s="150">
        <f>IF(AND(Tabelle3[[#This Row],[Gliederanzahl]]&gt;0,Heizflächen!J54="Radiator"),Tabelle3[[#This Row],[Norm Heizleistung QNorm]]*Tabelle3[[#This Row],[f = (Δθm1/Δθm2)^n]]*Tabelle3[[#This Row],[Abminderungsfaktor]]*Tabelle3[[#This Row],[Gliederanzahl]],Tabelle3[[#This Row],[Abminderungsfaktor]]*Tabelle3[[#This Row],[f = (Δθm1/Δθm2)^n]]*Tabelle3[[#This Row],[Norm Heizleistung QNorm]])</f>
        <v>0</v>
      </c>
      <c r="EI50" s="5"/>
      <c r="EJ50" s="5"/>
      <c r="EK50" s="5"/>
      <c r="EM50" s="2">
        <f>Heizflächen!C54</f>
        <v>0</v>
      </c>
      <c r="EN50" s="2">
        <f>Heizflächen!D54</f>
        <v>0</v>
      </c>
      <c r="EO50" s="2">
        <f>1-(Heizflächen!S54/0.075)</f>
        <v>1</v>
      </c>
      <c r="EP50" s="2">
        <f>100*(0.045-Heizflächen!T54)</f>
        <v>4.5</v>
      </c>
      <c r="EQ50" s="2">
        <f>250*(Heizflächen!U54-0.02)</f>
        <v>-5</v>
      </c>
      <c r="ER50" s="2">
        <f>_xlfn.XLOOKUP(Tabelle14[[#This Row],[Wärmedurchlasswiderstand Bodenbelag]],Tabelle17[Wärmedurchlasswiderstand Rλ,B in '[m²K/W']],Tabelle17[aT],0,-1,1)</f>
        <v>1.23</v>
      </c>
      <c r="ES50" s="2" cm="1">
        <f t="array" ref="ES50">_xlfn.XLOOKUP(Heizflächen!S54&amp;Tabelle14[[#This Row],[Wärmedurchlasswiderstand Bodenbelag]],Tabelle18[T]&amp;Tabelle18[Rλ,B in '[m²K/W']],Tabelle18[au],0,-1,1)</f>
        <v>0</v>
      </c>
      <c r="ET50" s="2" cm="1">
        <f t="array" ref="ET50">_xlfn.XLOOKUP(Heizflächen!S54&amp;Tabelle14[[#This Row],[Wärmedurchlasswiderstand Bodenbelag]],Tabelle19[T]&amp;Tabelle19[Rλ,B in '[m²K/W']],Tabelle19[aD],0,-1,1)</f>
        <v>0</v>
      </c>
      <c r="EU50" s="5">
        <f>_xlfn.XLOOKUP(Heizflächen!$U$64,Tabelle5[Auswählbare Vor-und Rücklauftemperaturen],Tabelle5[Vorlauf],0,0,1)</f>
        <v>35</v>
      </c>
      <c r="EV50" s="5">
        <f>_xlfn.XLOOKUP(Heizflächen!$U$64,Tabelle5[Auswählbare Vor-und Rücklauftemperaturen],Tabelle5[Rücklauf],0,0,1)</f>
        <v>30</v>
      </c>
      <c r="EW50" s="77">
        <f>((Tabelle14[[#This Row],[gewünschte Vorlauftemperatur]]-Tabelle14[[#This Row],[gewünschte Rücklauftemperatur]])/LN((Tabelle14[[#This Row],[gewünschte Vorlauftemperatur]]-Heizflächen!G54)/(Tabelle14[[#This Row],[gewünschte Rücklauftemperatur]]-Heizflächen!G54)))</f>
        <v>32.435795973154399</v>
      </c>
      <c r="EX50" s="2">
        <f>_xlfn.XLOOKUP(Heizflächen!V54,Tabelle13[Bodenbelagsmaterial],Tabelle13[Wärmedurchlasswiderstand Rλ,B in '[m²K/W']],0,0,1)</f>
        <v>0</v>
      </c>
      <c r="EY50" s="163">
        <f>((1/10.8)+(0.045/1))/((1/10.8)+(0.045/1.4)+Tabelle14[[#This Row],[Wärmedurchlasswiderstand Bodenbelag]])</f>
        <v>1.1030752916224815</v>
      </c>
      <c r="EZ50" s="2">
        <v>6.7</v>
      </c>
      <c r="FA50" s="164" t="e">
        <f>Tabelle14[[#This Row],[B '[W/(m²K)']]]*Tabelle14[[#This Row],[aB]]*(Tabelle14[[#This Row],[aT]]^Tabelle14[[#This Row],[mT]])*(Tabelle14[[#This Row],[au]]^Tabelle14[[#This Row],[mu]])*(Tabelle14[[#This Row],[aD]]^Tabelle14[[#This Row],[mD]])*Tabelle14[[#This Row],[gewünschte Übertemperatur Δθm]]</f>
        <v>#DIV/0!</v>
      </c>
      <c r="FB50" s="2">
        <f>IFERROR(Tabelle14[[#This Row],[q '[W/m²']]]*(Heizflächen!E54-Heizflächen!F54),0)</f>
        <v>0</v>
      </c>
      <c r="FC50" s="2">
        <f>Heizflächen!H54</f>
        <v>43</v>
      </c>
      <c r="FI50" s="2">
        <v>44</v>
      </c>
    </row>
    <row r="51" spans="2:170">
      <c r="B51" s="38" t="s">
        <v>554</v>
      </c>
      <c r="C51" s="39"/>
      <c r="D51" s="33">
        <f>IF(Allgemein!$M$50&gt;=D42,0,Allgemein!$M$51)</f>
        <v>0</v>
      </c>
      <c r="E51" s="33">
        <f>IF(Allgemein!$M$50&gt;=E42,0,IF(D50=0,Allgemein!$M$51,IF(E46=0,0,E50/E46)))</f>
        <v>0</v>
      </c>
      <c r="F51" s="33">
        <f>IF(Allgemein!$M$50&gt;=F42,0,IF(E50=0,Allgemein!$M$51,IF(F46=0,0,F50/F46)))</f>
        <v>0</v>
      </c>
      <c r="G51" s="33">
        <f>IF(Allgemein!$M$50&gt;=G42,0,IF(F50=0,Allgemein!$M$51,IF(G46=0,0,G50/G46)))</f>
        <v>0</v>
      </c>
      <c r="H51" s="33">
        <f>IF(Allgemein!$M$50&gt;=H42,0,IF(G50=0,Allgemein!$M$51,IF(H46=0,0,H50/H46)))</f>
        <v>0</v>
      </c>
      <c r="I51" s="33">
        <f>IF(Allgemein!$M$50&gt;=I42,0,IF(H50=0,Allgemein!$M$51,IF(I46=0,0,I50/I46)))</f>
        <v>0</v>
      </c>
      <c r="J51" s="33">
        <f>IF(Allgemein!$M$50&gt;=J42,0,IF(I50=0,Allgemein!$M$51,IF(J46=0,0,J50/J46)))</f>
        <v>0</v>
      </c>
      <c r="K51" s="33">
        <f>IF(Allgemein!$M$50&gt;=K42,0,IF(J50=0,Allgemein!$M$51,IF(K46=0,0,K50/K46)))</f>
        <v>0</v>
      </c>
      <c r="L51" s="33">
        <f>IF(Allgemein!$M$50&gt;=L42,0,IF(K50=0,Allgemein!$M$51,IF(L46=0,0,L50/L46)))</f>
        <v>0</v>
      </c>
      <c r="M51" s="33">
        <f>IF(Allgemein!$M$50&gt;=M42,0,IF(L50=0,Allgemein!$M$51,IF(M46=0,0,M50/M46)))</f>
        <v>0</v>
      </c>
      <c r="N51" s="33">
        <f>IF(Allgemein!$M$50&gt;=N42,0,IF(M50=0,Allgemein!$M$51,IF(N46=0,0,N50/N46)))</f>
        <v>0</v>
      </c>
      <c r="O51" s="33">
        <f>IF(Allgemein!$M$50&gt;=O42,0,IF(N50=0,Allgemein!$M$51,IF(O46=0,0,O50/O46)))</f>
        <v>0</v>
      </c>
      <c r="P51" s="33">
        <f>IF(Allgemein!$M$50&gt;=P42,0,IF(O50=0,Allgemein!$M$51,IF(P46=0,0,P50/P46)))</f>
        <v>0</v>
      </c>
      <c r="Q51" s="33">
        <f>IF(Allgemein!$M$50&gt;=Q42,0,IF(P50=0,Allgemein!$M$51,IF(Q46=0,0,Q50/Q46)))</f>
        <v>0</v>
      </c>
      <c r="R51" s="33">
        <f>IF(Allgemein!$M$50&gt;=R42,0,IF(Q50=0,Allgemein!$M$51,IF(R46=0,0,R50/R46)))</f>
        <v>0</v>
      </c>
      <c r="S51" s="33">
        <f>IF(Allgemein!$M$50&gt;=S42,0,IF(R50=0,Allgemein!$M$51,IF(S46=0,0,S50/S46)))</f>
        <v>0</v>
      </c>
      <c r="T51" s="33">
        <f>IF(Allgemein!$M$50&gt;=T42,0,IF(S50=0,Allgemein!$M$51,IF(T46=0,0,T50/T46)))</f>
        <v>0</v>
      </c>
      <c r="U51" s="33">
        <f>IF(Allgemein!$M$50&gt;=U42,0,IF(T50=0,Allgemein!$M$51,IF(U46=0,0,U50/U46)))</f>
        <v>0</v>
      </c>
      <c r="V51" s="33">
        <f>IF(Allgemein!$M$50&gt;=V42,0,IF(U50=0,Allgemein!$M$51,IF(V46=0,0,V50/V46)))</f>
        <v>0</v>
      </c>
      <c r="W51" s="33">
        <f>IF(Allgemein!$M$50&gt;=W42,0,IF(V50=0,Allgemein!$M$51,IF(W46=0,0,W50/W46)))</f>
        <v>0</v>
      </c>
      <c r="X51" s="33">
        <f>IF(Allgemein!$M$50&gt;=X42,0,IF(W50=0,Allgemein!$M$51,IF(X46=0,0,X50/X46)))</f>
        <v>0</v>
      </c>
      <c r="Y51" s="33">
        <f>IF(Allgemein!$M$50&gt;=Y42,0,IF(X50=0,Allgemein!$M$51,IF(Y46=0,0,Y50/Y46)))</f>
        <v>0</v>
      </c>
      <c r="Z51" s="33">
        <f>IF(Allgemein!$M$50&gt;=Z42,0,IF(Y50=0,Allgemein!$M$51,IF(Z46=0,0,Z50/Z46)))</f>
        <v>0</v>
      </c>
      <c r="AA51" s="33">
        <f>IF(Allgemein!$M$50&gt;=AA42,0,IF(Z50=0,Allgemein!$M$51,IF(AA46=0,0,AA50/AA46)))</f>
        <v>0</v>
      </c>
      <c r="AB51" s="33">
        <f>IF(Allgemein!$M$50&gt;=AB42,0,IF(AA50=0,Allgemein!$M$51,IF(AB46=0,0,AB50/AB46)))</f>
        <v>0</v>
      </c>
      <c r="AC51" s="33">
        <f>IF(Allgemein!$M$50&gt;=AC42,0,IF(AB50=0,Allgemein!$M$51,IF(AC46=0,0,AC50/AC46)))</f>
        <v>0</v>
      </c>
      <c r="AD51" s="33">
        <f>IF(Allgemein!$M$50&gt;=AD42,0,IF(AC50=0,Allgemein!$M$51,IF(AD46=0,0,AD50/AD46)))</f>
        <v>0</v>
      </c>
      <c r="AE51" s="33">
        <f>IF(Allgemein!$M$50&gt;=AE42,0,IF(AD50=0,Allgemein!$M$51,IF(AE46=0,0,AE50/AE46)))</f>
        <v>0</v>
      </c>
      <c r="AF51" s="33">
        <f>IF(Allgemein!$M$50&gt;=AF42,0,IF(AE50=0,Allgemein!$M$51,IF(AF46=0,0,AF50/AF46)))</f>
        <v>0</v>
      </c>
      <c r="AG51" s="33">
        <f>IF(Allgemein!$M$50&gt;=AG42,0,IF(AF50=0,Allgemein!$M$51,IF(AG46=0,0,AG50/AG46)))</f>
        <v>0</v>
      </c>
      <c r="AH51" s="33">
        <f>IF(Allgemein!$M$50&gt;=AH42,0,IF(AG50=0,Allgemein!$M$51,IF(AH46=0,0,AH50/AH46)))</f>
        <v>0</v>
      </c>
      <c r="BH51" s="2" t="s">
        <v>434</v>
      </c>
      <c r="BI51" s="2">
        <v>2000</v>
      </c>
      <c r="BJ51" s="2">
        <v>500</v>
      </c>
      <c r="BN51" s="2">
        <v>2200</v>
      </c>
      <c r="CC51" s="2" t="s">
        <v>569</v>
      </c>
      <c r="CD51" s="2">
        <v>1.3</v>
      </c>
      <c r="CG51" s="2" t="s">
        <v>570</v>
      </c>
      <c r="CK51" s="5"/>
      <c r="CL51" s="5"/>
      <c r="CM51" s="5"/>
      <c r="DF51" s="2">
        <v>0.2</v>
      </c>
      <c r="DG51" s="2">
        <v>0.15</v>
      </c>
      <c r="DH51" s="2">
        <v>1.0275000000000001</v>
      </c>
      <c r="DQ51" s="2">
        <f>Heizflächen!C55</f>
        <v>0</v>
      </c>
      <c r="DR51" s="5">
        <f>Heizflächen!D55</f>
        <v>0</v>
      </c>
      <c r="DS51" s="5">
        <f>Heizflächen!H55</f>
        <v>44</v>
      </c>
      <c r="DT51" s="5">
        <f>Heizflächen!G55</f>
        <v>0</v>
      </c>
      <c r="DU51" s="5">
        <f>_xlfn.XLOOKUP(Heizflächen!$U$64,Tabelle5[Auswählbare Vor-und Rücklauftemperaturen],Tabelle5[Vorlauf],0,0,1)</f>
        <v>35</v>
      </c>
      <c r="DV51" s="5">
        <f>_xlfn.XLOOKUP(Heizflächen!$U$64,Tabelle5[Auswählbare Vor-und Rücklauftemperaturen],Tabelle5[Rücklauf],0,0,1)</f>
        <v>30</v>
      </c>
      <c r="DW51"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51" s="5">
        <f>_xlfn.XLOOKUP($DZ$3,Tabelle6[Systemtemperatur bei Norm-Wärmeleistungsbestimmung],Tabelle6[Vorlauf],0,0,1)</f>
        <v>55</v>
      </c>
      <c r="DY51" s="5">
        <f>_xlfn.XLOOKUP($DZ$3,Tabelle6[Systemtemperatur bei Norm-Wärmeleistungsbestimmung],Tabelle6[Rücklauf],0,0,1)</f>
        <v>45</v>
      </c>
      <c r="DZ51" s="5">
        <f>_xlfn.XLOOKUP($DZ$3,Tabelle6[Systemtemperatur bei Norm-Wärmeleistungsbestimmung],Tabelle6[Norm Innentemperatur],0,0,1)</f>
        <v>20</v>
      </c>
      <c r="EA51" s="147">
        <f>((Tabelle3[[#This Row],[Norm Vorlauftemperatur]]-Tabelle3[[#This Row],[Norm Rücklauftemperatur]])/LN((Tabelle3[[#This Row],[Norm Vorlauftemperatur]]-Tabelle3[[#This Row],[Norm Innentemperatur]])/(Tabelle3[[#This Row],[Norm Rücklauftemperatur]]-Tabelle3[[#This Row],[Norm Innentemperatur]])))</f>
        <v>29.720134119884619</v>
      </c>
      <c r="EB51" s="5">
        <f>_xlfn.XLOOKUP(Heizflächen!I55,Tabelle2[Typ],Tabelle2[Heizkörperexponent],0,1,1)</f>
        <v>0</v>
      </c>
      <c r="EC51" s="148">
        <f>Heizflächen!K55</f>
        <v>0</v>
      </c>
      <c r="ED51" s="5">
        <f>IF(Tabelle3[[#This Row],[Heizkörper in Nische?]]="Nein",1,_xlfn.XLOOKUP(Heizflächen!L55, Tabelle8[Höhe über HK],Tabelle8[Abminderungsfaktor],1,0,1))</f>
        <v>1</v>
      </c>
      <c r="EE51" s="5">
        <f>(DW51/EA51)^Tabelle3[[#This Row],[Heizkörperexponent n]]</f>
        <v>1</v>
      </c>
      <c r="EF51" s="5" cm="1">
        <f t="array" ref="EF51">_xlfn.XLOOKUP(Heizflächen!J55&amp;Heizflächen!M55&amp;Heizflächen!N55&amp;Heizflächen!O55&amp;Heizflächen!P55&amp;Heizflächen!Q55,Tabelle4[Typ]&amp;Tabelle4[Breite '[mm']]&amp;Tabelle4[Höhe '[mm']]&amp;Tabelle4[Bauhöhe Radiator '[mm']]&amp;Tabelle4[Nabenabstand Radiator '[mm']]&amp;Tabelle4[Bautiefe Radiator '[mm']],Tabelle4[Wärmeleistung (Radiatoren je Glied) '[W']],,-1,1)</f>
        <v>0</v>
      </c>
      <c r="EG51" s="5">
        <f>Heizflächen!R55</f>
        <v>0</v>
      </c>
      <c r="EH51" s="150">
        <f>IF(AND(Tabelle3[[#This Row],[Gliederanzahl]]&gt;0,Heizflächen!J55="Radiator"),Tabelle3[[#This Row],[Norm Heizleistung QNorm]]*Tabelle3[[#This Row],[f = (Δθm1/Δθm2)^n]]*Tabelle3[[#This Row],[Abminderungsfaktor]]*Tabelle3[[#This Row],[Gliederanzahl]],Tabelle3[[#This Row],[Abminderungsfaktor]]*Tabelle3[[#This Row],[f = (Δθm1/Δθm2)^n]]*Tabelle3[[#This Row],[Norm Heizleistung QNorm]])</f>
        <v>0</v>
      </c>
      <c r="EI51" s="5"/>
      <c r="EJ51" s="5"/>
      <c r="EK51" s="5"/>
      <c r="EM51" s="2">
        <f>Heizflächen!C55</f>
        <v>0</v>
      </c>
      <c r="EN51" s="2">
        <f>Heizflächen!D55</f>
        <v>0</v>
      </c>
      <c r="EO51" s="2">
        <f>1-(Heizflächen!S55/0.075)</f>
        <v>1</v>
      </c>
      <c r="EP51" s="2">
        <f>100*(0.045-Heizflächen!T55)</f>
        <v>4.5</v>
      </c>
      <c r="EQ51" s="2">
        <f>250*(Heizflächen!U55-0.02)</f>
        <v>-5</v>
      </c>
      <c r="ER51" s="2">
        <f>_xlfn.XLOOKUP(Tabelle14[[#This Row],[Wärmedurchlasswiderstand Bodenbelag]],Tabelle17[Wärmedurchlasswiderstand Rλ,B in '[m²K/W']],Tabelle17[aT],0,-1,1)</f>
        <v>1.23</v>
      </c>
      <c r="ES51" s="2" cm="1">
        <f t="array" ref="ES51">_xlfn.XLOOKUP(Heizflächen!S55&amp;Tabelle14[[#This Row],[Wärmedurchlasswiderstand Bodenbelag]],Tabelle18[T]&amp;Tabelle18[Rλ,B in '[m²K/W']],Tabelle18[au],0,-1,1)</f>
        <v>0</v>
      </c>
      <c r="ET51" s="2" cm="1">
        <f t="array" ref="ET51">_xlfn.XLOOKUP(Heizflächen!S55&amp;Tabelle14[[#This Row],[Wärmedurchlasswiderstand Bodenbelag]],Tabelle19[T]&amp;Tabelle19[Rλ,B in '[m²K/W']],Tabelle19[aD],0,-1,1)</f>
        <v>0</v>
      </c>
      <c r="EU51" s="5">
        <f>_xlfn.XLOOKUP(Heizflächen!$U$64,Tabelle5[Auswählbare Vor-und Rücklauftemperaturen],Tabelle5[Vorlauf],0,0,1)</f>
        <v>35</v>
      </c>
      <c r="EV51" s="5">
        <f>_xlfn.XLOOKUP(Heizflächen!$U$64,Tabelle5[Auswählbare Vor-und Rücklauftemperaturen],Tabelle5[Rücklauf],0,0,1)</f>
        <v>30</v>
      </c>
      <c r="EW51" s="77">
        <f>((Tabelle14[[#This Row],[gewünschte Vorlauftemperatur]]-Tabelle14[[#This Row],[gewünschte Rücklauftemperatur]])/LN((Tabelle14[[#This Row],[gewünschte Vorlauftemperatur]]-Heizflächen!G55)/(Tabelle14[[#This Row],[gewünschte Rücklauftemperatur]]-Heizflächen!G55)))</f>
        <v>32.435795973154399</v>
      </c>
      <c r="EX51" s="2">
        <f>_xlfn.XLOOKUP(Heizflächen!V55,Tabelle13[Bodenbelagsmaterial],Tabelle13[Wärmedurchlasswiderstand Rλ,B in '[m²K/W']],0,0,1)</f>
        <v>0</v>
      </c>
      <c r="EY51" s="163">
        <f>((1/10.8)+(0.045/1))/((1/10.8)+(0.045/1.4)+Tabelle14[[#This Row],[Wärmedurchlasswiderstand Bodenbelag]])</f>
        <v>1.1030752916224815</v>
      </c>
      <c r="EZ51" s="2">
        <v>6.7</v>
      </c>
      <c r="FA51" s="164" t="e">
        <f>Tabelle14[[#This Row],[B '[W/(m²K)']]]*Tabelle14[[#This Row],[aB]]*(Tabelle14[[#This Row],[aT]]^Tabelle14[[#This Row],[mT]])*(Tabelle14[[#This Row],[au]]^Tabelle14[[#This Row],[mu]])*(Tabelle14[[#This Row],[aD]]^Tabelle14[[#This Row],[mD]])*Tabelle14[[#This Row],[gewünschte Übertemperatur Δθm]]</f>
        <v>#DIV/0!</v>
      </c>
      <c r="FB51" s="2">
        <f>IFERROR(Tabelle14[[#This Row],[q '[W/m²']]]*(Heizflächen!E55-Heizflächen!F55),0)</f>
        <v>0</v>
      </c>
      <c r="FC51" s="2">
        <f>Heizflächen!H55</f>
        <v>44</v>
      </c>
      <c r="FI51" s="2">
        <v>45</v>
      </c>
    </row>
    <row r="52" spans="2:170">
      <c r="B52" s="34"/>
      <c r="C52" s="35"/>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BH52" s="2" t="s">
        <v>434</v>
      </c>
      <c r="BI52" s="2">
        <v>2200</v>
      </c>
      <c r="BJ52" s="2">
        <v>500</v>
      </c>
      <c r="BN52" s="2">
        <v>2420</v>
      </c>
      <c r="CC52" s="2" t="s">
        <v>571</v>
      </c>
      <c r="CD52" s="2">
        <v>1.4</v>
      </c>
      <c r="CG52" s="2" t="s">
        <v>572</v>
      </c>
      <c r="CK52" s="5"/>
      <c r="CL52" s="5"/>
      <c r="CM52" s="5"/>
      <c r="DF52" s="2">
        <v>0.22500000000000001</v>
      </c>
      <c r="DG52" s="2">
        <v>0.15</v>
      </c>
      <c r="DH52" s="2">
        <v>1.026</v>
      </c>
      <c r="DQ52" s="2">
        <f>Heizflächen!C56</f>
        <v>0</v>
      </c>
      <c r="DR52" s="5">
        <f>Heizflächen!D56</f>
        <v>0</v>
      </c>
      <c r="DS52" s="5">
        <f>Heizflächen!H56</f>
        <v>45</v>
      </c>
      <c r="DT52" s="5">
        <f>Heizflächen!G56</f>
        <v>0</v>
      </c>
      <c r="DU52" s="5">
        <f>_xlfn.XLOOKUP(Heizflächen!$U$64,Tabelle5[Auswählbare Vor-und Rücklauftemperaturen],Tabelle5[Vorlauf],0,0,1)</f>
        <v>35</v>
      </c>
      <c r="DV52" s="5">
        <f>_xlfn.XLOOKUP(Heizflächen!$U$64,Tabelle5[Auswählbare Vor-und Rücklauftemperaturen],Tabelle5[Rücklauf],0,0,1)</f>
        <v>30</v>
      </c>
      <c r="DW52"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52" s="5">
        <f>_xlfn.XLOOKUP($DZ$3,Tabelle6[Systemtemperatur bei Norm-Wärmeleistungsbestimmung],Tabelle6[Vorlauf],0,0,1)</f>
        <v>55</v>
      </c>
      <c r="DY52" s="5">
        <f>_xlfn.XLOOKUP($DZ$3,Tabelle6[Systemtemperatur bei Norm-Wärmeleistungsbestimmung],Tabelle6[Rücklauf],0,0,1)</f>
        <v>45</v>
      </c>
      <c r="DZ52" s="5">
        <f>_xlfn.XLOOKUP($DZ$3,Tabelle6[Systemtemperatur bei Norm-Wärmeleistungsbestimmung],Tabelle6[Norm Innentemperatur],0,0,1)</f>
        <v>20</v>
      </c>
      <c r="EA52" s="147">
        <f>((Tabelle3[[#This Row],[Norm Vorlauftemperatur]]-Tabelle3[[#This Row],[Norm Rücklauftemperatur]])/LN((Tabelle3[[#This Row],[Norm Vorlauftemperatur]]-Tabelle3[[#This Row],[Norm Innentemperatur]])/(Tabelle3[[#This Row],[Norm Rücklauftemperatur]]-Tabelle3[[#This Row],[Norm Innentemperatur]])))</f>
        <v>29.720134119884619</v>
      </c>
      <c r="EB52" s="5">
        <f>_xlfn.XLOOKUP(Heizflächen!I56,Tabelle2[Typ],Tabelle2[Heizkörperexponent],0,1,1)</f>
        <v>0</v>
      </c>
      <c r="EC52" s="148">
        <f>Heizflächen!K56</f>
        <v>0</v>
      </c>
      <c r="ED52" s="5">
        <f>IF(Tabelle3[[#This Row],[Heizkörper in Nische?]]="Nein",1,_xlfn.XLOOKUP(Heizflächen!L56, Tabelle8[Höhe über HK],Tabelle8[Abminderungsfaktor],1,0,1))</f>
        <v>1</v>
      </c>
      <c r="EE52" s="5">
        <f>(DW52/EA52)^Tabelle3[[#This Row],[Heizkörperexponent n]]</f>
        <v>1</v>
      </c>
      <c r="EF52" s="5" cm="1">
        <f t="array" ref="EF52">_xlfn.XLOOKUP(Heizflächen!J56&amp;Heizflächen!M56&amp;Heizflächen!N56&amp;Heizflächen!O56&amp;Heizflächen!P56&amp;Heizflächen!Q56,Tabelle4[Typ]&amp;Tabelle4[Breite '[mm']]&amp;Tabelle4[Höhe '[mm']]&amp;Tabelle4[Bauhöhe Radiator '[mm']]&amp;Tabelle4[Nabenabstand Radiator '[mm']]&amp;Tabelle4[Bautiefe Radiator '[mm']],Tabelle4[Wärmeleistung (Radiatoren je Glied) '[W']],,-1,1)</f>
        <v>0</v>
      </c>
      <c r="EG52" s="5">
        <f>Heizflächen!R56</f>
        <v>0</v>
      </c>
      <c r="EH52" s="150">
        <f>IF(AND(Tabelle3[[#This Row],[Gliederanzahl]]&gt;0,Heizflächen!J56="Radiator"),Tabelle3[[#This Row],[Norm Heizleistung QNorm]]*Tabelle3[[#This Row],[f = (Δθm1/Δθm2)^n]]*Tabelle3[[#This Row],[Abminderungsfaktor]]*Tabelle3[[#This Row],[Gliederanzahl]],Tabelle3[[#This Row],[Abminderungsfaktor]]*Tabelle3[[#This Row],[f = (Δθm1/Δθm2)^n]]*Tabelle3[[#This Row],[Norm Heizleistung QNorm]])</f>
        <v>0</v>
      </c>
      <c r="EI52" s="5"/>
      <c r="EJ52" s="5"/>
      <c r="EK52" s="5"/>
      <c r="EM52" s="2">
        <f>Heizflächen!C56</f>
        <v>0</v>
      </c>
      <c r="EN52" s="2">
        <f>Heizflächen!D56</f>
        <v>0</v>
      </c>
      <c r="EO52" s="2">
        <f>1-(Heizflächen!S56/0.075)</f>
        <v>1</v>
      </c>
      <c r="EP52" s="2">
        <f>100*(0.045-Heizflächen!T56)</f>
        <v>4.5</v>
      </c>
      <c r="EQ52" s="2">
        <f>250*(Heizflächen!U56-0.02)</f>
        <v>-5</v>
      </c>
      <c r="ER52" s="2">
        <f>_xlfn.XLOOKUP(Tabelle14[[#This Row],[Wärmedurchlasswiderstand Bodenbelag]],Tabelle17[Wärmedurchlasswiderstand Rλ,B in '[m²K/W']],Tabelle17[aT],0,-1,1)</f>
        <v>1.23</v>
      </c>
      <c r="ES52" s="2" cm="1">
        <f t="array" ref="ES52">_xlfn.XLOOKUP(Heizflächen!S56&amp;Tabelle14[[#This Row],[Wärmedurchlasswiderstand Bodenbelag]],Tabelle18[T]&amp;Tabelle18[Rλ,B in '[m²K/W']],Tabelle18[au],0,-1,1)</f>
        <v>0</v>
      </c>
      <c r="ET52" s="2" cm="1">
        <f t="array" ref="ET52">_xlfn.XLOOKUP(Heizflächen!S56&amp;Tabelle14[[#This Row],[Wärmedurchlasswiderstand Bodenbelag]],Tabelle19[T]&amp;Tabelle19[Rλ,B in '[m²K/W']],Tabelle19[aD],0,-1,1)</f>
        <v>0</v>
      </c>
      <c r="EU52" s="5">
        <f>_xlfn.XLOOKUP(Heizflächen!$U$64,Tabelle5[Auswählbare Vor-und Rücklauftemperaturen],Tabelle5[Vorlauf],0,0,1)</f>
        <v>35</v>
      </c>
      <c r="EV52" s="5">
        <f>_xlfn.XLOOKUP(Heizflächen!$U$64,Tabelle5[Auswählbare Vor-und Rücklauftemperaturen],Tabelle5[Rücklauf],0,0,1)</f>
        <v>30</v>
      </c>
      <c r="EW52" s="77">
        <f>((Tabelle14[[#This Row],[gewünschte Vorlauftemperatur]]-Tabelle14[[#This Row],[gewünschte Rücklauftemperatur]])/LN((Tabelle14[[#This Row],[gewünschte Vorlauftemperatur]]-Heizflächen!G56)/(Tabelle14[[#This Row],[gewünschte Rücklauftemperatur]]-Heizflächen!G56)))</f>
        <v>32.435795973154399</v>
      </c>
      <c r="EX52" s="2">
        <f>_xlfn.XLOOKUP(Heizflächen!V56,Tabelle13[Bodenbelagsmaterial],Tabelle13[Wärmedurchlasswiderstand Rλ,B in '[m²K/W']],0,0,1)</f>
        <v>0</v>
      </c>
      <c r="EY52" s="163">
        <f>((1/10.8)+(0.045/1))/((1/10.8)+(0.045/1.4)+Tabelle14[[#This Row],[Wärmedurchlasswiderstand Bodenbelag]])</f>
        <v>1.1030752916224815</v>
      </c>
      <c r="EZ52" s="2">
        <v>6.7</v>
      </c>
      <c r="FA52" s="164" t="e">
        <f>Tabelle14[[#This Row],[B '[W/(m²K)']]]*Tabelle14[[#This Row],[aB]]*(Tabelle14[[#This Row],[aT]]^Tabelle14[[#This Row],[mT]])*(Tabelle14[[#This Row],[au]]^Tabelle14[[#This Row],[mu]])*(Tabelle14[[#This Row],[aD]]^Tabelle14[[#This Row],[mD]])*Tabelle14[[#This Row],[gewünschte Übertemperatur Δθm]]</f>
        <v>#DIV/0!</v>
      </c>
      <c r="FB52" s="2">
        <f>IFERROR(Tabelle14[[#This Row],[q '[W/m²']]]*(Heizflächen!E56-Heizflächen!F56),0)</f>
        <v>0</v>
      </c>
      <c r="FC52" s="2">
        <f>Heizflächen!H56</f>
        <v>45</v>
      </c>
      <c r="FI52" s="2">
        <v>46</v>
      </c>
    </row>
    <row r="53" spans="2:170">
      <c r="B53" s="31" t="s">
        <v>555</v>
      </c>
      <c r="C53" s="32"/>
      <c r="D53" s="36">
        <f>D50+D47</f>
        <v>0</v>
      </c>
      <c r="E53" s="36">
        <f>IF(D50=0,E47+E50,IF(E46=0,0,IF(E46&lt;D53,E46+E47,IF(E49=0,D53,E49+E47))))</f>
        <v>0</v>
      </c>
      <c r="F53" s="36">
        <f>IF(E50=0,F47+F50,IF(F46=0,0,IF(F46&lt;E53,F46+F47,IF(F49=0,E53,F49+F47))))</f>
        <v>0</v>
      </c>
      <c r="G53" s="36">
        <f>IF(F50=0,G47+G50,IF(G46=0,0,IF(G46&lt;F53,G46+G47,IF(G49=0,F53,G49+G47))))</f>
        <v>0</v>
      </c>
      <c r="H53" s="36">
        <f>IF(G50=0,H47+H50,IF(H46=0,0,IF(H46&lt;G53,H46+H47,IF(H49=0,G53,H49+H47))))</f>
        <v>0</v>
      </c>
      <c r="I53" s="36">
        <f t="shared" ref="I53" si="53">IF(H50=0,I47+I50,IF(I46=0,0,IF(I46&lt;H53,I46+I47,IF(I49=0,H53,I49+I47))))</f>
        <v>0</v>
      </c>
      <c r="J53" s="36">
        <f>IF(I50=0,J47+J50,IF(J46=0,0,IF(J46&lt;I53,J46+J47,IF(J49=0,I53,J49+J47))))</f>
        <v>0</v>
      </c>
      <c r="K53" s="36">
        <f t="shared" ref="K53" si="54">IF(J50=0,K47+K50,IF(K46=0,0,IF(K46&lt;J53,K46+K47,IF(K49=0,J53,K49+K47))))</f>
        <v>0</v>
      </c>
      <c r="L53" s="36">
        <f t="shared" ref="L53" si="55">IF(K50=0,L47+L50,IF(L46=0,0,IF(L46&lt;K53,L46+L47,IF(L49=0,K53,L49+L47))))</f>
        <v>0</v>
      </c>
      <c r="M53" s="36">
        <f t="shared" ref="M53" si="56">IF(L50=0,M47+M50,IF(M46=0,0,IF(M46&lt;L53,M46+M47,IF(M49=0,L53,M49+M47))))</f>
        <v>0</v>
      </c>
      <c r="N53" s="36">
        <f t="shared" ref="N53" si="57">IF(M50=0,N47+N50,IF(N46=0,0,IF(N46&lt;M53,N46+N47,IF(N49=0,M53,N49+N47))))</f>
        <v>0</v>
      </c>
      <c r="O53" s="36">
        <f t="shared" ref="O53" si="58">IF(N50=0,O47+O50,IF(O46=0,0,IF(O46&lt;N53,O46+O47,IF(O49=0,N53,O49+O47))))</f>
        <v>0</v>
      </c>
      <c r="P53" s="36">
        <f t="shared" ref="P53" si="59">IF(O50=0,P47+P50,IF(P46=0,0,IF(P46&lt;O53,P46+P47,IF(P49=0,O53,P49+P47))))</f>
        <v>0</v>
      </c>
      <c r="Q53" s="36">
        <f t="shared" ref="Q53" si="60">IF(P50=0,Q47+Q50,IF(Q46=0,0,IF(Q46&lt;P53,Q46+Q47,IF(Q49=0,P53,Q49+Q47))))</f>
        <v>0</v>
      </c>
      <c r="R53" s="36">
        <f t="shared" ref="R53" si="61">IF(Q50=0,R47+R50,IF(R46=0,0,IF(R46&lt;Q53,R46+R47,IF(R49=0,Q53,R49+R47))))</f>
        <v>0</v>
      </c>
      <c r="S53" s="36">
        <f t="shared" ref="S53" si="62">IF(R50=0,S47+S50,IF(S46=0,0,IF(S46&lt;R53,S46+S47,IF(S49=0,R53,S49+S47))))</f>
        <v>0</v>
      </c>
      <c r="T53" s="36">
        <f t="shared" ref="T53" si="63">IF(S50=0,T47+T50,IF(T46=0,0,IF(T46&lt;S53,T46+T47,IF(T49=0,S53,T49+T47))))</f>
        <v>0</v>
      </c>
      <c r="U53" s="36">
        <f t="shared" ref="U53" si="64">IF(T50=0,U47+U50,IF(U46=0,0,IF(U46&lt;T53,U46+U47,IF(U49=0,T53,U49+U47))))</f>
        <v>0</v>
      </c>
      <c r="V53" s="36">
        <f t="shared" ref="V53" si="65">IF(U50=0,V47+V50,IF(V46=0,0,IF(V46&lt;U53,V46+V47,IF(V49=0,U53,V49+V47))))</f>
        <v>0</v>
      </c>
      <c r="W53" s="36">
        <f t="shared" ref="W53" si="66">IF(V50=0,W47+W50,IF(W46=0,0,IF(W46&lt;V53,W46+W47,IF(W49=0,V53,W49+W47))))</f>
        <v>0</v>
      </c>
      <c r="X53" s="36">
        <f t="shared" ref="X53" si="67">IF(W50=0,X47+X50,IF(X46=0,0,IF(X46&lt;W53,X46+X47,IF(X49=0,W53,X49+X47))))</f>
        <v>0</v>
      </c>
      <c r="Y53" s="36">
        <f t="shared" ref="Y53" si="68">IF(X50=0,Y47+Y50,IF(Y46=0,0,IF(Y46&lt;X53,Y46+Y47,IF(Y49=0,X53,Y49+Y47))))</f>
        <v>0</v>
      </c>
      <c r="Z53" s="36">
        <f t="shared" ref="Z53" si="69">IF(Y50=0,Z47+Z50,IF(Z46=0,0,IF(Z46&lt;Y53,Z46+Z47,IF(Z49=0,Y53,Z49+Z47))))</f>
        <v>0</v>
      </c>
      <c r="AA53" s="36">
        <f t="shared" ref="AA53" si="70">IF(Z50=0,AA47+AA50,IF(AA46=0,0,IF(AA46&lt;Z53,AA46+AA47,IF(AA49=0,Z53,AA49+AA47))))</f>
        <v>0</v>
      </c>
      <c r="AB53" s="36">
        <f t="shared" ref="AB53" si="71">IF(AA50=0,AB47+AB50,IF(AB46=0,0,IF(AB46&lt;AA53,AB46+AB47,IF(AB49=0,AA53,AB49+AB47))))</f>
        <v>0</v>
      </c>
      <c r="AC53" s="36">
        <f t="shared" ref="AC53" si="72">IF(AB50=0,AC47+AC50,IF(AC46=0,0,IF(AC46&lt;AB53,AC46+AC47,IF(AC49=0,AB53,AC49+AC47))))</f>
        <v>0</v>
      </c>
      <c r="AD53" s="36">
        <f t="shared" ref="AD53" si="73">IF(AC50=0,AD47+AD50,IF(AD46=0,0,IF(AD46&lt;AC53,AD46+AD47,IF(AD49=0,AC53,AD49+AD47))))</f>
        <v>0</v>
      </c>
      <c r="AE53" s="36">
        <f t="shared" ref="AE53" si="74">IF(AD50=0,AE47+AE50,IF(AE46=0,0,IF(AE46&lt;AD53,AE46+AE47,IF(AE49=0,AD53,AE49+AE47))))</f>
        <v>0</v>
      </c>
      <c r="AF53" s="36">
        <f t="shared" ref="AF53" si="75">IF(AE50=0,AF47+AF50,IF(AF46=0,0,IF(AF46&lt;AE53,AF46+AF47,IF(AF49=0,AE53,AF49+AF47))))</f>
        <v>0</v>
      </c>
      <c r="AG53" s="36">
        <f t="shared" ref="AG53" si="76">IF(AF50=0,AG47+AG50,IF(AG46=0,0,IF(AG46&lt;AF53,AG46+AG47,IF(AG49=0,AF53,AG49+AG47))))</f>
        <v>0</v>
      </c>
      <c r="AH53" s="36">
        <f t="shared" ref="AH53" si="77">IF(AG50=0,AH47+AH50,IF(AH46=0,0,IF(AH46&lt;AG53,AH46+AH47,IF(AH49=0,AG53,AH49+AH47))))</f>
        <v>0</v>
      </c>
      <c r="BH53" s="2" t="s">
        <v>434</v>
      </c>
      <c r="BI53" s="2">
        <v>2300</v>
      </c>
      <c r="BJ53" s="2">
        <v>500</v>
      </c>
      <c r="BN53" s="2">
        <v>2466</v>
      </c>
      <c r="CC53" s="2" t="s">
        <v>573</v>
      </c>
      <c r="CD53" s="2">
        <v>1</v>
      </c>
      <c r="CK53" s="5"/>
      <c r="CL53" s="5"/>
      <c r="CM53" s="5"/>
      <c r="DF53" s="2">
        <v>0.3</v>
      </c>
      <c r="DG53" s="2">
        <v>0.15</v>
      </c>
      <c r="DH53" s="2">
        <v>1.0209999999999999</v>
      </c>
      <c r="DQ53" s="2">
        <f>Heizflächen!C57</f>
        <v>0</v>
      </c>
      <c r="DR53" s="5">
        <f>Heizflächen!D57</f>
        <v>0</v>
      </c>
      <c r="DS53" s="5">
        <f>Heizflächen!H57</f>
        <v>46</v>
      </c>
      <c r="DT53" s="5">
        <f>Heizflächen!G57</f>
        <v>0</v>
      </c>
      <c r="DU53" s="5">
        <f>_xlfn.XLOOKUP(Heizflächen!$U$64,Tabelle5[Auswählbare Vor-und Rücklauftemperaturen],Tabelle5[Vorlauf],0,0,1)</f>
        <v>35</v>
      </c>
      <c r="DV53" s="5">
        <f>_xlfn.XLOOKUP(Heizflächen!$U$64,Tabelle5[Auswählbare Vor-und Rücklauftemperaturen],Tabelle5[Rücklauf],0,0,1)</f>
        <v>30</v>
      </c>
      <c r="DW53"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53" s="5">
        <f>_xlfn.XLOOKUP($DZ$3,Tabelle6[Systemtemperatur bei Norm-Wärmeleistungsbestimmung],Tabelle6[Vorlauf],0,0,1)</f>
        <v>55</v>
      </c>
      <c r="DY53" s="5">
        <f>_xlfn.XLOOKUP($DZ$3,Tabelle6[Systemtemperatur bei Norm-Wärmeleistungsbestimmung],Tabelle6[Rücklauf],0,0,1)</f>
        <v>45</v>
      </c>
      <c r="DZ53" s="5">
        <f>_xlfn.XLOOKUP($DZ$3,Tabelle6[Systemtemperatur bei Norm-Wärmeleistungsbestimmung],Tabelle6[Norm Innentemperatur],0,0,1)</f>
        <v>20</v>
      </c>
      <c r="EA53" s="147">
        <f>((Tabelle3[[#This Row],[Norm Vorlauftemperatur]]-Tabelle3[[#This Row],[Norm Rücklauftemperatur]])/LN((Tabelle3[[#This Row],[Norm Vorlauftemperatur]]-Tabelle3[[#This Row],[Norm Innentemperatur]])/(Tabelle3[[#This Row],[Norm Rücklauftemperatur]]-Tabelle3[[#This Row],[Norm Innentemperatur]])))</f>
        <v>29.720134119884619</v>
      </c>
      <c r="EB53" s="5">
        <f>_xlfn.XLOOKUP(Heizflächen!I57,Tabelle2[Typ],Tabelle2[Heizkörperexponent],0,1,1)</f>
        <v>0</v>
      </c>
      <c r="EC53" s="148">
        <f>Heizflächen!K57</f>
        <v>0</v>
      </c>
      <c r="ED53" s="5">
        <f>IF(Tabelle3[[#This Row],[Heizkörper in Nische?]]="Nein",1,_xlfn.XLOOKUP(Heizflächen!L57, Tabelle8[Höhe über HK],Tabelle8[Abminderungsfaktor],1,0,1))</f>
        <v>1</v>
      </c>
      <c r="EE53" s="5">
        <f>(DW53/EA53)^Tabelle3[[#This Row],[Heizkörperexponent n]]</f>
        <v>1</v>
      </c>
      <c r="EF53" s="5" cm="1">
        <f t="array" ref="EF53">_xlfn.XLOOKUP(Heizflächen!J57&amp;Heizflächen!M57&amp;Heizflächen!N57&amp;Heizflächen!O57&amp;Heizflächen!P57&amp;Heizflächen!Q57,Tabelle4[Typ]&amp;Tabelle4[Breite '[mm']]&amp;Tabelle4[Höhe '[mm']]&amp;Tabelle4[Bauhöhe Radiator '[mm']]&amp;Tabelle4[Nabenabstand Radiator '[mm']]&amp;Tabelle4[Bautiefe Radiator '[mm']],Tabelle4[Wärmeleistung (Radiatoren je Glied) '[W']],,-1,1)</f>
        <v>0</v>
      </c>
      <c r="EG53" s="5">
        <f>Heizflächen!R57</f>
        <v>0</v>
      </c>
      <c r="EH53" s="150">
        <f>IF(AND(Tabelle3[[#This Row],[Gliederanzahl]]&gt;0,Heizflächen!J57="Radiator"),Tabelle3[[#This Row],[Norm Heizleistung QNorm]]*Tabelle3[[#This Row],[f = (Δθm1/Δθm2)^n]]*Tabelle3[[#This Row],[Abminderungsfaktor]]*Tabelle3[[#This Row],[Gliederanzahl]],Tabelle3[[#This Row],[Abminderungsfaktor]]*Tabelle3[[#This Row],[f = (Δθm1/Δθm2)^n]]*Tabelle3[[#This Row],[Norm Heizleistung QNorm]])</f>
        <v>0</v>
      </c>
      <c r="EI53" s="5"/>
      <c r="EJ53" s="5"/>
      <c r="EK53" s="5"/>
      <c r="EM53" s="2">
        <f>Heizflächen!C57</f>
        <v>0</v>
      </c>
      <c r="EN53" s="2">
        <f>Heizflächen!D57</f>
        <v>0</v>
      </c>
      <c r="EO53" s="2">
        <f>1-(Heizflächen!S57/0.075)</f>
        <v>1</v>
      </c>
      <c r="EP53" s="2">
        <f>100*(0.045-Heizflächen!T57)</f>
        <v>4.5</v>
      </c>
      <c r="EQ53" s="2">
        <f>250*(Heizflächen!U57-0.02)</f>
        <v>-5</v>
      </c>
      <c r="ER53" s="2">
        <f>_xlfn.XLOOKUP(Tabelle14[[#This Row],[Wärmedurchlasswiderstand Bodenbelag]],Tabelle17[Wärmedurchlasswiderstand Rλ,B in '[m²K/W']],Tabelle17[aT],0,-1,1)</f>
        <v>1.23</v>
      </c>
      <c r="ES53" s="2" cm="1">
        <f t="array" ref="ES53">_xlfn.XLOOKUP(Heizflächen!S57&amp;Tabelle14[[#This Row],[Wärmedurchlasswiderstand Bodenbelag]],Tabelle18[T]&amp;Tabelle18[Rλ,B in '[m²K/W']],Tabelle18[au],0,-1,1)</f>
        <v>0</v>
      </c>
      <c r="ET53" s="2" cm="1">
        <f t="array" ref="ET53">_xlfn.XLOOKUP(Heizflächen!S57&amp;Tabelle14[[#This Row],[Wärmedurchlasswiderstand Bodenbelag]],Tabelle19[T]&amp;Tabelle19[Rλ,B in '[m²K/W']],Tabelle19[aD],0,-1,1)</f>
        <v>0</v>
      </c>
      <c r="EU53" s="5">
        <f>_xlfn.XLOOKUP(Heizflächen!$U$64,Tabelle5[Auswählbare Vor-und Rücklauftemperaturen],Tabelle5[Vorlauf],0,0,1)</f>
        <v>35</v>
      </c>
      <c r="EV53" s="5">
        <f>_xlfn.XLOOKUP(Heizflächen!$U$64,Tabelle5[Auswählbare Vor-und Rücklauftemperaturen],Tabelle5[Rücklauf],0,0,1)</f>
        <v>30</v>
      </c>
      <c r="EW53" s="77">
        <f>((Tabelle14[[#This Row],[gewünschte Vorlauftemperatur]]-Tabelle14[[#This Row],[gewünschte Rücklauftemperatur]])/LN((Tabelle14[[#This Row],[gewünschte Vorlauftemperatur]]-Heizflächen!G57)/(Tabelle14[[#This Row],[gewünschte Rücklauftemperatur]]-Heizflächen!G57)))</f>
        <v>32.435795973154399</v>
      </c>
      <c r="EX53" s="2">
        <f>_xlfn.XLOOKUP(Heizflächen!V57,Tabelle13[Bodenbelagsmaterial],Tabelle13[Wärmedurchlasswiderstand Rλ,B in '[m²K/W']],0,0,1)</f>
        <v>0</v>
      </c>
      <c r="EY53" s="163">
        <f>((1/10.8)+(0.045/1))/((1/10.8)+(0.045/1.4)+Tabelle14[[#This Row],[Wärmedurchlasswiderstand Bodenbelag]])</f>
        <v>1.1030752916224815</v>
      </c>
      <c r="EZ53" s="2">
        <v>6.7</v>
      </c>
      <c r="FA53" s="164" t="e">
        <f>Tabelle14[[#This Row],[B '[W/(m²K)']]]*Tabelle14[[#This Row],[aB]]*(Tabelle14[[#This Row],[aT]]^Tabelle14[[#This Row],[mT]])*(Tabelle14[[#This Row],[au]]^Tabelle14[[#This Row],[mu]])*(Tabelle14[[#This Row],[aD]]^Tabelle14[[#This Row],[mD]])*Tabelle14[[#This Row],[gewünschte Übertemperatur Δθm]]</f>
        <v>#DIV/0!</v>
      </c>
      <c r="FB53" s="2">
        <f>IFERROR(Tabelle14[[#This Row],[q '[W/m²']]]*(Heizflächen!E57-Heizflächen!F57),0)</f>
        <v>0</v>
      </c>
      <c r="FC53" s="2">
        <f>Heizflächen!H57</f>
        <v>46</v>
      </c>
      <c r="FI53" s="2">
        <v>47</v>
      </c>
    </row>
    <row r="54" spans="2:170">
      <c r="B54" s="31" t="s">
        <v>556</v>
      </c>
      <c r="C54" s="32"/>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BH54" s="2" t="s">
        <v>434</v>
      </c>
      <c r="BI54" s="2">
        <v>2600</v>
      </c>
      <c r="BJ54" s="2">
        <v>500</v>
      </c>
      <c r="BN54" s="2">
        <v>2787</v>
      </c>
      <c r="CK54" s="5"/>
      <c r="CL54" s="5"/>
      <c r="CM54" s="5"/>
      <c r="DF54" s="2">
        <v>0.375</v>
      </c>
      <c r="DG54" s="2">
        <v>0.15</v>
      </c>
      <c r="DH54" s="2">
        <v>1.0149999999999999</v>
      </c>
      <c r="DQ54" s="2">
        <f>Heizflächen!C58</f>
        <v>0</v>
      </c>
      <c r="DR54" s="5">
        <f>Heizflächen!D58</f>
        <v>0</v>
      </c>
      <c r="DS54" s="5">
        <f>Heizflächen!H58</f>
        <v>47</v>
      </c>
      <c r="DT54" s="5">
        <f>Heizflächen!G58</f>
        <v>0</v>
      </c>
      <c r="DU54" s="5">
        <f>_xlfn.XLOOKUP(Heizflächen!$U$64,Tabelle5[Auswählbare Vor-und Rücklauftemperaturen],Tabelle5[Vorlauf],0,0,1)</f>
        <v>35</v>
      </c>
      <c r="DV54" s="5">
        <f>_xlfn.XLOOKUP(Heizflächen!$U$64,Tabelle5[Auswählbare Vor-und Rücklauftemperaturen],Tabelle5[Rücklauf],0,0,1)</f>
        <v>30</v>
      </c>
      <c r="DW54"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54" s="5">
        <f>_xlfn.XLOOKUP($DZ$3,Tabelle6[Systemtemperatur bei Norm-Wärmeleistungsbestimmung],Tabelle6[Vorlauf],0,0,1)</f>
        <v>55</v>
      </c>
      <c r="DY54" s="5">
        <f>_xlfn.XLOOKUP($DZ$3,Tabelle6[Systemtemperatur bei Norm-Wärmeleistungsbestimmung],Tabelle6[Rücklauf],0,0,1)</f>
        <v>45</v>
      </c>
      <c r="DZ54" s="5">
        <f>_xlfn.XLOOKUP($DZ$3,Tabelle6[Systemtemperatur bei Norm-Wärmeleistungsbestimmung],Tabelle6[Norm Innentemperatur],0,0,1)</f>
        <v>20</v>
      </c>
      <c r="EA54" s="147">
        <f>((Tabelle3[[#This Row],[Norm Vorlauftemperatur]]-Tabelle3[[#This Row],[Norm Rücklauftemperatur]])/LN((Tabelle3[[#This Row],[Norm Vorlauftemperatur]]-Tabelle3[[#This Row],[Norm Innentemperatur]])/(Tabelle3[[#This Row],[Norm Rücklauftemperatur]]-Tabelle3[[#This Row],[Norm Innentemperatur]])))</f>
        <v>29.720134119884619</v>
      </c>
      <c r="EB54" s="5">
        <f>_xlfn.XLOOKUP(Heizflächen!I58,Tabelle2[Typ],Tabelle2[Heizkörperexponent],0,1,1)</f>
        <v>0</v>
      </c>
      <c r="EC54" s="148">
        <f>Heizflächen!K58</f>
        <v>0</v>
      </c>
      <c r="ED54" s="5">
        <f>IF(Tabelle3[[#This Row],[Heizkörper in Nische?]]="Nein",1,_xlfn.XLOOKUP(Heizflächen!L58, Tabelle8[Höhe über HK],Tabelle8[Abminderungsfaktor],1,0,1))</f>
        <v>1</v>
      </c>
      <c r="EE54" s="5">
        <f>(DW54/EA54)^Tabelle3[[#This Row],[Heizkörperexponent n]]</f>
        <v>1</v>
      </c>
      <c r="EF54" s="5" cm="1">
        <f t="array" ref="EF54">_xlfn.XLOOKUP(Heizflächen!J58&amp;Heizflächen!M58&amp;Heizflächen!N58&amp;Heizflächen!O58&amp;Heizflächen!P58&amp;Heizflächen!Q58,Tabelle4[Typ]&amp;Tabelle4[Breite '[mm']]&amp;Tabelle4[Höhe '[mm']]&amp;Tabelle4[Bauhöhe Radiator '[mm']]&amp;Tabelle4[Nabenabstand Radiator '[mm']]&amp;Tabelle4[Bautiefe Radiator '[mm']],Tabelle4[Wärmeleistung (Radiatoren je Glied) '[W']],,-1,1)</f>
        <v>0</v>
      </c>
      <c r="EG54" s="5">
        <f>Heizflächen!R58</f>
        <v>0</v>
      </c>
      <c r="EH54" s="150">
        <f>IF(AND(Tabelle3[[#This Row],[Gliederanzahl]]&gt;0,Heizflächen!J58="Radiator"),Tabelle3[[#This Row],[Norm Heizleistung QNorm]]*Tabelle3[[#This Row],[f = (Δθm1/Δθm2)^n]]*Tabelle3[[#This Row],[Abminderungsfaktor]]*Tabelle3[[#This Row],[Gliederanzahl]],Tabelle3[[#This Row],[Abminderungsfaktor]]*Tabelle3[[#This Row],[f = (Δθm1/Δθm2)^n]]*Tabelle3[[#This Row],[Norm Heizleistung QNorm]])</f>
        <v>0</v>
      </c>
      <c r="EI54" s="5"/>
      <c r="EJ54" s="5"/>
      <c r="EK54" s="5"/>
      <c r="EM54" s="2">
        <f>Heizflächen!C58</f>
        <v>0</v>
      </c>
      <c r="EN54" s="2">
        <f>Heizflächen!D58</f>
        <v>0</v>
      </c>
      <c r="EO54" s="2">
        <f>1-(Heizflächen!S58/0.075)</f>
        <v>1</v>
      </c>
      <c r="EP54" s="2">
        <f>100*(0.045-Heizflächen!T58)</f>
        <v>4.5</v>
      </c>
      <c r="EQ54" s="2">
        <f>250*(Heizflächen!U58-0.02)</f>
        <v>-5</v>
      </c>
      <c r="ER54" s="2">
        <f>_xlfn.XLOOKUP(Tabelle14[[#This Row],[Wärmedurchlasswiderstand Bodenbelag]],Tabelle17[Wärmedurchlasswiderstand Rλ,B in '[m²K/W']],Tabelle17[aT],0,-1,1)</f>
        <v>1.23</v>
      </c>
      <c r="ES54" s="2" cm="1">
        <f t="array" ref="ES54">_xlfn.XLOOKUP(Heizflächen!S58&amp;Tabelle14[[#This Row],[Wärmedurchlasswiderstand Bodenbelag]],Tabelle18[T]&amp;Tabelle18[Rλ,B in '[m²K/W']],Tabelle18[au],0,-1,1)</f>
        <v>0</v>
      </c>
      <c r="ET54" s="2" cm="1">
        <f t="array" ref="ET54">_xlfn.XLOOKUP(Heizflächen!S58&amp;Tabelle14[[#This Row],[Wärmedurchlasswiderstand Bodenbelag]],Tabelle19[T]&amp;Tabelle19[Rλ,B in '[m²K/W']],Tabelle19[aD],0,-1,1)</f>
        <v>0</v>
      </c>
      <c r="EU54" s="5">
        <f>_xlfn.XLOOKUP(Heizflächen!$U$64,Tabelle5[Auswählbare Vor-und Rücklauftemperaturen],Tabelle5[Vorlauf],0,0,1)</f>
        <v>35</v>
      </c>
      <c r="EV54" s="5">
        <f>_xlfn.XLOOKUP(Heizflächen!$U$64,Tabelle5[Auswählbare Vor-und Rücklauftemperaturen],Tabelle5[Rücklauf],0,0,1)</f>
        <v>30</v>
      </c>
      <c r="EW54" s="77">
        <f>((Tabelle14[[#This Row],[gewünschte Vorlauftemperatur]]-Tabelle14[[#This Row],[gewünschte Rücklauftemperatur]])/LN((Tabelle14[[#This Row],[gewünschte Vorlauftemperatur]]-Heizflächen!G58)/(Tabelle14[[#This Row],[gewünschte Rücklauftemperatur]]-Heizflächen!G58)))</f>
        <v>32.435795973154399</v>
      </c>
      <c r="EX54" s="2">
        <f>_xlfn.XLOOKUP(Heizflächen!V58,Tabelle13[Bodenbelagsmaterial],Tabelle13[Wärmedurchlasswiderstand Rλ,B in '[m²K/W']],0,0,1)</f>
        <v>0</v>
      </c>
      <c r="EY54" s="163">
        <f>((1/10.8)+(0.045/1))/((1/10.8)+(0.045/1.4)+Tabelle14[[#This Row],[Wärmedurchlasswiderstand Bodenbelag]])</f>
        <v>1.1030752916224815</v>
      </c>
      <c r="EZ54" s="2">
        <v>6.7</v>
      </c>
      <c r="FA54" s="164" t="e">
        <f>Tabelle14[[#This Row],[B '[W/(m²K)']]]*Tabelle14[[#This Row],[aB]]*(Tabelle14[[#This Row],[aT]]^Tabelle14[[#This Row],[mT]])*(Tabelle14[[#This Row],[au]]^Tabelle14[[#This Row],[mu]])*(Tabelle14[[#This Row],[aD]]^Tabelle14[[#This Row],[mD]])*Tabelle14[[#This Row],[gewünschte Übertemperatur Δθm]]</f>
        <v>#DIV/0!</v>
      </c>
      <c r="FB54" s="2">
        <f>IFERROR(Tabelle14[[#This Row],[q '[W/m²']]]*(Heizflächen!E58-Heizflächen!F58),0)</f>
        <v>0</v>
      </c>
      <c r="FC54" s="2">
        <f>Heizflächen!H58</f>
        <v>47</v>
      </c>
      <c r="FI54" s="2">
        <v>48</v>
      </c>
    </row>
    <row r="55" spans="2:170">
      <c r="B55" s="31" t="s">
        <v>557</v>
      </c>
      <c r="C55" s="32"/>
      <c r="D55" s="36">
        <f>D46-D50</f>
        <v>0</v>
      </c>
      <c r="E55" s="36">
        <f t="shared" ref="E55:AH55" si="78">E46-E50</f>
        <v>0</v>
      </c>
      <c r="F55" s="36">
        <f t="shared" si="78"/>
        <v>0</v>
      </c>
      <c r="G55" s="36">
        <f t="shared" si="78"/>
        <v>0</v>
      </c>
      <c r="H55" s="36">
        <f t="shared" si="78"/>
        <v>0</v>
      </c>
      <c r="I55" s="36">
        <f t="shared" si="78"/>
        <v>0</v>
      </c>
      <c r="J55" s="36">
        <f t="shared" si="78"/>
        <v>0</v>
      </c>
      <c r="K55" s="36">
        <f t="shared" si="78"/>
        <v>0</v>
      </c>
      <c r="L55" s="36">
        <f t="shared" si="78"/>
        <v>0</v>
      </c>
      <c r="M55" s="36">
        <f t="shared" si="78"/>
        <v>0</v>
      </c>
      <c r="N55" s="36">
        <f t="shared" si="78"/>
        <v>0</v>
      </c>
      <c r="O55" s="36">
        <f t="shared" si="78"/>
        <v>0</v>
      </c>
      <c r="P55" s="36">
        <f t="shared" si="78"/>
        <v>0</v>
      </c>
      <c r="Q55" s="36">
        <f t="shared" si="78"/>
        <v>0</v>
      </c>
      <c r="R55" s="36">
        <f t="shared" si="78"/>
        <v>0</v>
      </c>
      <c r="S55" s="36">
        <f t="shared" si="78"/>
        <v>0</v>
      </c>
      <c r="T55" s="36">
        <f t="shared" si="78"/>
        <v>0</v>
      </c>
      <c r="U55" s="36">
        <f t="shared" si="78"/>
        <v>0</v>
      </c>
      <c r="V55" s="36">
        <f t="shared" si="78"/>
        <v>0</v>
      </c>
      <c r="W55" s="36">
        <f t="shared" si="78"/>
        <v>0</v>
      </c>
      <c r="X55" s="36">
        <f t="shared" si="78"/>
        <v>0</v>
      </c>
      <c r="Y55" s="36">
        <f t="shared" si="78"/>
        <v>0</v>
      </c>
      <c r="Z55" s="36">
        <f t="shared" si="78"/>
        <v>0</v>
      </c>
      <c r="AA55" s="36">
        <f t="shared" si="78"/>
        <v>0</v>
      </c>
      <c r="AB55" s="36">
        <f t="shared" si="78"/>
        <v>0</v>
      </c>
      <c r="AC55" s="36">
        <f t="shared" si="78"/>
        <v>0</v>
      </c>
      <c r="AD55" s="36">
        <f t="shared" si="78"/>
        <v>0</v>
      </c>
      <c r="AE55" s="36">
        <f t="shared" si="78"/>
        <v>0</v>
      </c>
      <c r="AF55" s="36">
        <f t="shared" si="78"/>
        <v>0</v>
      </c>
      <c r="AG55" s="36">
        <f t="shared" si="78"/>
        <v>0</v>
      </c>
      <c r="AH55" s="36">
        <f t="shared" si="78"/>
        <v>0</v>
      </c>
      <c r="BH55" s="2" t="s">
        <v>434</v>
      </c>
      <c r="BI55" s="2">
        <v>3000</v>
      </c>
      <c r="BJ55" s="2">
        <v>500</v>
      </c>
      <c r="BN55" s="2">
        <v>3216</v>
      </c>
      <c r="CK55" s="5"/>
      <c r="CM55" s="5"/>
      <c r="DQ55" s="2">
        <f>Heizflächen!C59</f>
        <v>0</v>
      </c>
      <c r="DR55" s="5">
        <f>Heizflächen!D59</f>
        <v>0</v>
      </c>
      <c r="DS55" s="5">
        <f>Heizflächen!H59</f>
        <v>48</v>
      </c>
      <c r="DT55" s="5">
        <f>Heizflächen!G59</f>
        <v>0</v>
      </c>
      <c r="DU55" s="5">
        <f>_xlfn.XLOOKUP(Heizflächen!$U$64,Tabelle5[Auswählbare Vor-und Rücklauftemperaturen],Tabelle5[Vorlauf],0,0,1)</f>
        <v>35</v>
      </c>
      <c r="DV55" s="5">
        <f>_xlfn.XLOOKUP(Heizflächen!$U$64,Tabelle5[Auswählbare Vor-und Rücklauftemperaturen],Tabelle5[Rücklauf],0,0,1)</f>
        <v>30</v>
      </c>
      <c r="DW55"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55" s="5">
        <f>_xlfn.XLOOKUP($DZ$3,Tabelle6[Systemtemperatur bei Norm-Wärmeleistungsbestimmung],Tabelle6[Vorlauf],0,0,1)</f>
        <v>55</v>
      </c>
      <c r="DY55" s="5">
        <f>_xlfn.XLOOKUP($DZ$3,Tabelle6[Systemtemperatur bei Norm-Wärmeleistungsbestimmung],Tabelle6[Rücklauf],0,0,1)</f>
        <v>45</v>
      </c>
      <c r="DZ55" s="5">
        <f>_xlfn.XLOOKUP($DZ$3,Tabelle6[Systemtemperatur bei Norm-Wärmeleistungsbestimmung],Tabelle6[Norm Innentemperatur],0,0,1)</f>
        <v>20</v>
      </c>
      <c r="EA55" s="147">
        <f>((Tabelle3[[#This Row],[Norm Vorlauftemperatur]]-Tabelle3[[#This Row],[Norm Rücklauftemperatur]])/LN((Tabelle3[[#This Row],[Norm Vorlauftemperatur]]-Tabelle3[[#This Row],[Norm Innentemperatur]])/(Tabelle3[[#This Row],[Norm Rücklauftemperatur]]-Tabelle3[[#This Row],[Norm Innentemperatur]])))</f>
        <v>29.720134119884619</v>
      </c>
      <c r="EB55" s="5">
        <f>_xlfn.XLOOKUP(Heizflächen!I59,Tabelle2[Typ],Tabelle2[Heizkörperexponent],0,1,1)</f>
        <v>0</v>
      </c>
      <c r="EC55" s="148">
        <f>Heizflächen!K59</f>
        <v>0</v>
      </c>
      <c r="ED55" s="5">
        <f>IF(Tabelle3[[#This Row],[Heizkörper in Nische?]]="Nein",1,_xlfn.XLOOKUP(Heizflächen!L59, Tabelle8[Höhe über HK],Tabelle8[Abminderungsfaktor],1,0,1))</f>
        <v>1</v>
      </c>
      <c r="EE55" s="5">
        <f>(DW55/EA55)^Tabelle3[[#This Row],[Heizkörperexponent n]]</f>
        <v>1</v>
      </c>
      <c r="EF55" s="5" cm="1">
        <f t="array" ref="EF55">_xlfn.XLOOKUP(Heizflächen!J59&amp;Heizflächen!M59&amp;Heizflächen!N59&amp;Heizflächen!O59&amp;Heizflächen!P59&amp;Heizflächen!Q59,Tabelle4[Typ]&amp;Tabelle4[Breite '[mm']]&amp;Tabelle4[Höhe '[mm']]&amp;Tabelle4[Bauhöhe Radiator '[mm']]&amp;Tabelle4[Nabenabstand Radiator '[mm']]&amp;Tabelle4[Bautiefe Radiator '[mm']],Tabelle4[Wärmeleistung (Radiatoren je Glied) '[W']],,-1,1)</f>
        <v>0</v>
      </c>
      <c r="EG55" s="5">
        <f>Heizflächen!R59</f>
        <v>0</v>
      </c>
      <c r="EH55" s="150">
        <f>IF(AND(Tabelle3[[#This Row],[Gliederanzahl]]&gt;0,Heizflächen!J59="Radiator"),Tabelle3[[#This Row],[Norm Heizleistung QNorm]]*Tabelle3[[#This Row],[f = (Δθm1/Δθm2)^n]]*Tabelle3[[#This Row],[Abminderungsfaktor]]*Tabelle3[[#This Row],[Gliederanzahl]],Tabelle3[[#This Row],[Abminderungsfaktor]]*Tabelle3[[#This Row],[f = (Δθm1/Δθm2)^n]]*Tabelle3[[#This Row],[Norm Heizleistung QNorm]])</f>
        <v>0</v>
      </c>
      <c r="EI55" s="5"/>
      <c r="EJ55" s="5"/>
      <c r="EK55" s="5"/>
      <c r="EM55" s="2">
        <f>Heizflächen!C59</f>
        <v>0</v>
      </c>
      <c r="EN55" s="2">
        <f>Heizflächen!D59</f>
        <v>0</v>
      </c>
      <c r="EO55" s="2">
        <f>1-(Heizflächen!S59/0.075)</f>
        <v>1</v>
      </c>
      <c r="EP55" s="2">
        <f>100*(0.045-Heizflächen!T59)</f>
        <v>4.5</v>
      </c>
      <c r="EQ55" s="2">
        <f>250*(Heizflächen!U59-0.02)</f>
        <v>-5</v>
      </c>
      <c r="ER55" s="2">
        <f>_xlfn.XLOOKUP(Tabelle14[[#This Row],[Wärmedurchlasswiderstand Bodenbelag]],Tabelle17[Wärmedurchlasswiderstand Rλ,B in '[m²K/W']],Tabelle17[aT],0,-1,1)</f>
        <v>1.23</v>
      </c>
      <c r="ES55" s="2" cm="1">
        <f t="array" ref="ES55">_xlfn.XLOOKUP(Heizflächen!S59&amp;Tabelle14[[#This Row],[Wärmedurchlasswiderstand Bodenbelag]],Tabelle18[T]&amp;Tabelle18[Rλ,B in '[m²K/W']],Tabelle18[au],0,-1,1)</f>
        <v>0</v>
      </c>
      <c r="ET55" s="2" cm="1">
        <f t="array" ref="ET55">_xlfn.XLOOKUP(Heizflächen!S59&amp;Tabelle14[[#This Row],[Wärmedurchlasswiderstand Bodenbelag]],Tabelle19[T]&amp;Tabelle19[Rλ,B in '[m²K/W']],Tabelle19[aD],0,-1,1)</f>
        <v>0</v>
      </c>
      <c r="EU55" s="5">
        <f>_xlfn.XLOOKUP(Heizflächen!$U$64,Tabelle5[Auswählbare Vor-und Rücklauftemperaturen],Tabelle5[Vorlauf],0,0,1)</f>
        <v>35</v>
      </c>
      <c r="EV55" s="5">
        <f>_xlfn.XLOOKUP(Heizflächen!$U$64,Tabelle5[Auswählbare Vor-und Rücklauftemperaturen],Tabelle5[Rücklauf],0,0,1)</f>
        <v>30</v>
      </c>
      <c r="EW55" s="77">
        <f>((Tabelle14[[#This Row],[gewünschte Vorlauftemperatur]]-Tabelle14[[#This Row],[gewünschte Rücklauftemperatur]])/LN((Tabelle14[[#This Row],[gewünschte Vorlauftemperatur]]-Heizflächen!G59)/(Tabelle14[[#This Row],[gewünschte Rücklauftemperatur]]-Heizflächen!G59)))</f>
        <v>32.435795973154399</v>
      </c>
      <c r="EX55" s="2">
        <f>_xlfn.XLOOKUP(Heizflächen!V59,Tabelle13[Bodenbelagsmaterial],Tabelle13[Wärmedurchlasswiderstand Rλ,B in '[m²K/W']],0,0,1)</f>
        <v>0</v>
      </c>
      <c r="EY55" s="163">
        <f>((1/10.8)+(0.045/1))/((1/10.8)+(0.045/1.4)+Tabelle14[[#This Row],[Wärmedurchlasswiderstand Bodenbelag]])</f>
        <v>1.1030752916224815</v>
      </c>
      <c r="EZ55" s="2">
        <v>6.7</v>
      </c>
      <c r="FA55" s="164" t="e">
        <f>Tabelle14[[#This Row],[B '[W/(m²K)']]]*Tabelle14[[#This Row],[aB]]*(Tabelle14[[#This Row],[aT]]^Tabelle14[[#This Row],[mT]])*(Tabelle14[[#This Row],[au]]^Tabelle14[[#This Row],[mu]])*(Tabelle14[[#This Row],[aD]]^Tabelle14[[#This Row],[mD]])*Tabelle14[[#This Row],[gewünschte Übertemperatur Δθm]]</f>
        <v>#DIV/0!</v>
      </c>
      <c r="FB55" s="2">
        <f>IFERROR(Tabelle14[[#This Row],[q '[W/m²']]]*(Heizflächen!E59-Heizflächen!F59),0)</f>
        <v>0</v>
      </c>
      <c r="FC55" s="2">
        <f>Heizflächen!H59</f>
        <v>48</v>
      </c>
      <c r="FI55" s="2">
        <v>49</v>
      </c>
    </row>
    <row r="56" spans="2:170" ht="17.399999999999999" thickBot="1">
      <c r="B56" s="40" t="s">
        <v>558</v>
      </c>
      <c r="C56" s="41"/>
      <c r="D56" s="42">
        <f>D53/12</f>
        <v>0</v>
      </c>
      <c r="E56" s="42">
        <f t="shared" ref="E56:AH56" si="79">E53/12</f>
        <v>0</v>
      </c>
      <c r="F56" s="42">
        <f t="shared" si="79"/>
        <v>0</v>
      </c>
      <c r="G56" s="42">
        <f t="shared" si="79"/>
        <v>0</v>
      </c>
      <c r="H56" s="42">
        <f t="shared" si="79"/>
        <v>0</v>
      </c>
      <c r="I56" s="42">
        <f t="shared" si="79"/>
        <v>0</v>
      </c>
      <c r="J56" s="42">
        <f t="shared" si="79"/>
        <v>0</v>
      </c>
      <c r="K56" s="42">
        <f t="shared" si="79"/>
        <v>0</v>
      </c>
      <c r="L56" s="42">
        <f t="shared" si="79"/>
        <v>0</v>
      </c>
      <c r="M56" s="42">
        <f t="shared" si="79"/>
        <v>0</v>
      </c>
      <c r="N56" s="42">
        <f t="shared" si="79"/>
        <v>0</v>
      </c>
      <c r="O56" s="42">
        <f t="shared" si="79"/>
        <v>0</v>
      </c>
      <c r="P56" s="42">
        <f t="shared" si="79"/>
        <v>0</v>
      </c>
      <c r="Q56" s="42">
        <f t="shared" si="79"/>
        <v>0</v>
      </c>
      <c r="R56" s="42">
        <f t="shared" si="79"/>
        <v>0</v>
      </c>
      <c r="S56" s="42">
        <f t="shared" si="79"/>
        <v>0</v>
      </c>
      <c r="T56" s="42">
        <f t="shared" si="79"/>
        <v>0</v>
      </c>
      <c r="U56" s="42">
        <f t="shared" si="79"/>
        <v>0</v>
      </c>
      <c r="V56" s="42">
        <f t="shared" si="79"/>
        <v>0</v>
      </c>
      <c r="W56" s="42">
        <f t="shared" si="79"/>
        <v>0</v>
      </c>
      <c r="X56" s="42">
        <f t="shared" si="79"/>
        <v>0</v>
      </c>
      <c r="Y56" s="42">
        <f t="shared" si="79"/>
        <v>0</v>
      </c>
      <c r="Z56" s="42">
        <f t="shared" si="79"/>
        <v>0</v>
      </c>
      <c r="AA56" s="42">
        <f t="shared" si="79"/>
        <v>0</v>
      </c>
      <c r="AB56" s="42">
        <f t="shared" si="79"/>
        <v>0</v>
      </c>
      <c r="AC56" s="42">
        <f t="shared" si="79"/>
        <v>0</v>
      </c>
      <c r="AD56" s="42">
        <f t="shared" si="79"/>
        <v>0</v>
      </c>
      <c r="AE56" s="42">
        <f t="shared" si="79"/>
        <v>0</v>
      </c>
      <c r="AF56" s="42">
        <f t="shared" si="79"/>
        <v>0</v>
      </c>
      <c r="AG56" s="42">
        <f t="shared" si="79"/>
        <v>0</v>
      </c>
      <c r="AH56" s="42">
        <f t="shared" si="79"/>
        <v>0</v>
      </c>
      <c r="BH56" s="2" t="s">
        <v>434</v>
      </c>
      <c r="BI56" s="2">
        <v>400</v>
      </c>
      <c r="BJ56" s="2">
        <v>600</v>
      </c>
      <c r="BN56" s="2">
        <v>505</v>
      </c>
      <c r="CK56" s="5"/>
      <c r="CL56" s="5"/>
      <c r="CM56" s="5"/>
      <c r="DQ56" s="2">
        <f>Heizflächen!C60</f>
        <v>0</v>
      </c>
      <c r="DR56" s="5">
        <f>Heizflächen!D60</f>
        <v>0</v>
      </c>
      <c r="DS56" s="5">
        <f>Heizflächen!H60</f>
        <v>49</v>
      </c>
      <c r="DT56" s="5">
        <f>Heizflächen!G60</f>
        <v>0</v>
      </c>
      <c r="DU56" s="5">
        <f>_xlfn.XLOOKUP(Heizflächen!$U$64,Tabelle5[Auswählbare Vor-und Rücklauftemperaturen],Tabelle5[Vorlauf],0,0,1)</f>
        <v>35</v>
      </c>
      <c r="DV56" s="5">
        <f>_xlfn.XLOOKUP(Heizflächen!$U$64,Tabelle5[Auswählbare Vor-und Rücklauftemperaturen],Tabelle5[Rücklauf],0,0,1)</f>
        <v>30</v>
      </c>
      <c r="DW56"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56" s="5">
        <f>_xlfn.XLOOKUP($DZ$3,Tabelle6[Systemtemperatur bei Norm-Wärmeleistungsbestimmung],Tabelle6[Vorlauf],0,0,1)</f>
        <v>55</v>
      </c>
      <c r="DY56" s="5">
        <f>_xlfn.XLOOKUP($DZ$3,Tabelle6[Systemtemperatur bei Norm-Wärmeleistungsbestimmung],Tabelle6[Rücklauf],0,0,1)</f>
        <v>45</v>
      </c>
      <c r="DZ56" s="5">
        <f>_xlfn.XLOOKUP($DZ$3,Tabelle6[Systemtemperatur bei Norm-Wärmeleistungsbestimmung],Tabelle6[Norm Innentemperatur],0,0,1)</f>
        <v>20</v>
      </c>
      <c r="EA56" s="147">
        <f>((Tabelle3[[#This Row],[Norm Vorlauftemperatur]]-Tabelle3[[#This Row],[Norm Rücklauftemperatur]])/LN((Tabelle3[[#This Row],[Norm Vorlauftemperatur]]-Tabelle3[[#This Row],[Norm Innentemperatur]])/(Tabelle3[[#This Row],[Norm Rücklauftemperatur]]-Tabelle3[[#This Row],[Norm Innentemperatur]])))</f>
        <v>29.720134119884619</v>
      </c>
      <c r="EB56" s="5">
        <f>_xlfn.XLOOKUP(Heizflächen!I60,Tabelle2[Typ],Tabelle2[Heizkörperexponent],0,1,1)</f>
        <v>0</v>
      </c>
      <c r="EC56" s="148">
        <f>Heizflächen!K60</f>
        <v>0</v>
      </c>
      <c r="ED56" s="5">
        <f>IF(Tabelle3[[#This Row],[Heizkörper in Nische?]]="Nein",1,_xlfn.XLOOKUP(Heizflächen!L60, Tabelle8[Höhe über HK],Tabelle8[Abminderungsfaktor],1,0,1))</f>
        <v>1</v>
      </c>
      <c r="EE56" s="5">
        <f>(DW56/EA56)^Tabelle3[[#This Row],[Heizkörperexponent n]]</f>
        <v>1</v>
      </c>
      <c r="EF56" s="5" cm="1">
        <f t="array" ref="EF56">_xlfn.XLOOKUP(Heizflächen!J60&amp;Heizflächen!M60&amp;Heizflächen!N60&amp;Heizflächen!O60&amp;Heizflächen!P60&amp;Heizflächen!Q60,Tabelle4[Typ]&amp;Tabelle4[Breite '[mm']]&amp;Tabelle4[Höhe '[mm']]&amp;Tabelle4[Bauhöhe Radiator '[mm']]&amp;Tabelle4[Nabenabstand Radiator '[mm']]&amp;Tabelle4[Bautiefe Radiator '[mm']],Tabelle4[Wärmeleistung (Radiatoren je Glied) '[W']],,-1,1)</f>
        <v>0</v>
      </c>
      <c r="EG56" s="5">
        <f>Heizflächen!R60</f>
        <v>0</v>
      </c>
      <c r="EH56" s="150">
        <f>IF(AND(Tabelle3[[#This Row],[Gliederanzahl]]&gt;0,Heizflächen!J60="Radiator"),Tabelle3[[#This Row],[Norm Heizleistung QNorm]]*Tabelle3[[#This Row],[f = (Δθm1/Δθm2)^n]]*Tabelle3[[#This Row],[Abminderungsfaktor]]*Tabelle3[[#This Row],[Gliederanzahl]],Tabelle3[[#This Row],[Abminderungsfaktor]]*Tabelle3[[#This Row],[f = (Δθm1/Δθm2)^n]]*Tabelle3[[#This Row],[Norm Heizleistung QNorm]])</f>
        <v>0</v>
      </c>
      <c r="EI56" s="5"/>
      <c r="EJ56" s="5"/>
      <c r="EK56" s="5"/>
      <c r="EM56" s="2">
        <f>Heizflächen!C60</f>
        <v>0</v>
      </c>
      <c r="EN56" s="2">
        <f>Heizflächen!D60</f>
        <v>0</v>
      </c>
      <c r="EO56" s="2">
        <f>1-(Heizflächen!S60/0.075)</f>
        <v>1</v>
      </c>
      <c r="EP56" s="2">
        <f>100*(0.045-Heizflächen!T60)</f>
        <v>4.5</v>
      </c>
      <c r="EQ56" s="2">
        <f>250*(Heizflächen!U60-0.02)</f>
        <v>-5</v>
      </c>
      <c r="ER56" s="2">
        <f>_xlfn.XLOOKUP(Tabelle14[[#This Row],[Wärmedurchlasswiderstand Bodenbelag]],Tabelle17[Wärmedurchlasswiderstand Rλ,B in '[m²K/W']],Tabelle17[aT],0,-1,1)</f>
        <v>1.23</v>
      </c>
      <c r="ES56" s="2" cm="1">
        <f t="array" ref="ES56">_xlfn.XLOOKUP(Heizflächen!S60&amp;Tabelle14[[#This Row],[Wärmedurchlasswiderstand Bodenbelag]],Tabelle18[T]&amp;Tabelle18[Rλ,B in '[m²K/W']],Tabelle18[au],0,-1,1)</f>
        <v>0</v>
      </c>
      <c r="ET56" s="2" cm="1">
        <f t="array" ref="ET56">_xlfn.XLOOKUP(Heizflächen!S60&amp;Tabelle14[[#This Row],[Wärmedurchlasswiderstand Bodenbelag]],Tabelle19[T]&amp;Tabelle19[Rλ,B in '[m²K/W']],Tabelle19[aD],0,-1,1)</f>
        <v>0</v>
      </c>
      <c r="EU56" s="5">
        <f>_xlfn.XLOOKUP(Heizflächen!$U$64,Tabelle5[Auswählbare Vor-und Rücklauftemperaturen],Tabelle5[Vorlauf],0,0,1)</f>
        <v>35</v>
      </c>
      <c r="EV56" s="5">
        <f>_xlfn.XLOOKUP(Heizflächen!$U$64,Tabelle5[Auswählbare Vor-und Rücklauftemperaturen],Tabelle5[Rücklauf],0,0,1)</f>
        <v>30</v>
      </c>
      <c r="EW56" s="77">
        <f>((Tabelle14[[#This Row],[gewünschte Vorlauftemperatur]]-Tabelle14[[#This Row],[gewünschte Rücklauftemperatur]])/LN((Tabelle14[[#This Row],[gewünschte Vorlauftemperatur]]-Heizflächen!G60)/(Tabelle14[[#This Row],[gewünschte Rücklauftemperatur]]-Heizflächen!G60)))</f>
        <v>32.435795973154399</v>
      </c>
      <c r="EX56" s="2">
        <f>_xlfn.XLOOKUP(Heizflächen!V60,Tabelle13[Bodenbelagsmaterial],Tabelle13[Wärmedurchlasswiderstand Rλ,B in '[m²K/W']],0,0,1)</f>
        <v>0</v>
      </c>
      <c r="EY56" s="163">
        <f>((1/10.8)+(0.045/1))/((1/10.8)+(0.045/1.4)+Tabelle14[[#This Row],[Wärmedurchlasswiderstand Bodenbelag]])</f>
        <v>1.1030752916224815</v>
      </c>
      <c r="EZ56" s="2">
        <v>6.7</v>
      </c>
      <c r="FA56" s="164" t="e">
        <f>Tabelle14[[#This Row],[B '[W/(m²K)']]]*Tabelle14[[#This Row],[aB]]*(Tabelle14[[#This Row],[aT]]^Tabelle14[[#This Row],[mT]])*(Tabelle14[[#This Row],[au]]^Tabelle14[[#This Row],[mu]])*(Tabelle14[[#This Row],[aD]]^Tabelle14[[#This Row],[mD]])*Tabelle14[[#This Row],[gewünschte Übertemperatur Δθm]]</f>
        <v>#DIV/0!</v>
      </c>
      <c r="FB56" s="2">
        <f>IFERROR(Tabelle14[[#This Row],[q '[W/m²']]]*(Heizflächen!E60-Heizflächen!F60),0)</f>
        <v>0</v>
      </c>
      <c r="FC56" s="2">
        <f>Heizflächen!H60</f>
        <v>49</v>
      </c>
      <c r="FI56" s="2">
        <v>50</v>
      </c>
    </row>
    <row r="57" spans="2:170" ht="17.399999999999999" thickBot="1">
      <c r="B57" s="30"/>
      <c r="C57" s="30"/>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BH57" s="2" t="s">
        <v>434</v>
      </c>
      <c r="BI57" s="2">
        <v>500</v>
      </c>
      <c r="BJ57" s="2">
        <v>600</v>
      </c>
      <c r="BN57" s="2">
        <v>631</v>
      </c>
      <c r="CK57" s="5"/>
      <c r="CL57" s="5"/>
      <c r="CM57" s="5"/>
      <c r="DQ57" s="2">
        <f>Heizflächen!C61</f>
        <v>0</v>
      </c>
      <c r="DR57" s="5">
        <f>Heizflächen!D61</f>
        <v>0</v>
      </c>
      <c r="DS57" s="5">
        <f>Heizflächen!H61</f>
        <v>50</v>
      </c>
      <c r="DT57" s="5">
        <f>Heizflächen!G61</f>
        <v>0</v>
      </c>
      <c r="DU57" s="5">
        <f>_xlfn.XLOOKUP(Heizflächen!$U$64,Tabelle5[Auswählbare Vor-und Rücklauftemperaturen],Tabelle5[Vorlauf],0,0,1)</f>
        <v>35</v>
      </c>
      <c r="DV57" s="5">
        <f>_xlfn.XLOOKUP(Heizflächen!$U$64,Tabelle5[Auswählbare Vor-und Rücklauftemperaturen],Tabelle5[Rücklauf],0,0,1)</f>
        <v>30</v>
      </c>
      <c r="DW57" s="147">
        <f>((Tabelle3[[#This Row],[gewünschte Vorlauftemperatur]]-Tabelle3[[#This Row],[gewünschte Rücklauftemperatur]])/LN((Tabelle3[[#This Row],[gewünschte Vorlauftemperatur]]-Tabelle3[[#This Row],[Auslegungsinnentemperatur '[°C']]])/(Tabelle3[[#This Row],[gewünschte Rücklauftemperatur]]-Tabelle3[[#This Row],[Auslegungsinnentemperatur '[°C']]])))</f>
        <v>32.435795973154399</v>
      </c>
      <c r="DX57" s="5">
        <f>_xlfn.XLOOKUP($DZ$3,Tabelle6[Systemtemperatur bei Norm-Wärmeleistungsbestimmung],Tabelle6[Vorlauf],0,0,1)</f>
        <v>55</v>
      </c>
      <c r="DY57" s="5">
        <f>_xlfn.XLOOKUP($DZ$3,Tabelle6[Systemtemperatur bei Norm-Wärmeleistungsbestimmung],Tabelle6[Rücklauf],0,0,1)</f>
        <v>45</v>
      </c>
      <c r="DZ57" s="5">
        <f>_xlfn.XLOOKUP($DZ$3,Tabelle6[Systemtemperatur bei Norm-Wärmeleistungsbestimmung],Tabelle6[Norm Innentemperatur],0,0,1)</f>
        <v>20</v>
      </c>
      <c r="EA57" s="147">
        <f>((Tabelle3[[#This Row],[Norm Vorlauftemperatur]]-Tabelle3[[#This Row],[Norm Rücklauftemperatur]])/LN((Tabelle3[[#This Row],[Norm Vorlauftemperatur]]-Tabelle3[[#This Row],[Norm Innentemperatur]])/(Tabelle3[[#This Row],[Norm Rücklauftemperatur]]-Tabelle3[[#This Row],[Norm Innentemperatur]])))</f>
        <v>29.720134119884619</v>
      </c>
      <c r="EB57" s="5">
        <f>_xlfn.XLOOKUP(Heizflächen!I61,Tabelle2[Typ],Tabelle2[Heizkörperexponent],0,1,1)</f>
        <v>0</v>
      </c>
      <c r="EC57" s="148">
        <f>Heizflächen!K61</f>
        <v>0</v>
      </c>
      <c r="ED57" s="5">
        <f>IF(Tabelle3[[#This Row],[Heizkörper in Nische?]]="Nein",1,_xlfn.XLOOKUP(Heizflächen!L61, Tabelle8[Höhe über HK],Tabelle8[Abminderungsfaktor],1,0,1))</f>
        <v>1</v>
      </c>
      <c r="EE57" s="5">
        <f>(DW57/EA57)^Tabelle3[[#This Row],[Heizkörperexponent n]]</f>
        <v>1</v>
      </c>
      <c r="EF57" s="5" cm="1">
        <f t="array" ref="EF57">_xlfn.XLOOKUP(Heizflächen!J61&amp;Heizflächen!M61&amp;Heizflächen!N61&amp;Heizflächen!O61&amp;Heizflächen!P61&amp;Heizflächen!Q61,Tabelle4[Typ]&amp;Tabelle4[Breite '[mm']]&amp;Tabelle4[Höhe '[mm']]&amp;Tabelle4[Bauhöhe Radiator '[mm']]&amp;Tabelle4[Nabenabstand Radiator '[mm']]&amp;Tabelle4[Bautiefe Radiator '[mm']],Tabelle4[Wärmeleistung (Radiatoren je Glied) '[W']],,-1,1)</f>
        <v>0</v>
      </c>
      <c r="EG57" s="5">
        <f>Heizflächen!R61</f>
        <v>0</v>
      </c>
      <c r="EH57" s="150">
        <f>IF(AND(Tabelle3[[#This Row],[Gliederanzahl]]&gt;0,Heizflächen!J61="Radiator"),Tabelle3[[#This Row],[Norm Heizleistung QNorm]]*Tabelle3[[#This Row],[f = (Δθm1/Δθm2)^n]]*Tabelle3[[#This Row],[Abminderungsfaktor]]*Tabelle3[[#This Row],[Gliederanzahl]],Tabelle3[[#This Row],[Abminderungsfaktor]]*Tabelle3[[#This Row],[f = (Δθm1/Δθm2)^n]]*Tabelle3[[#This Row],[Norm Heizleistung QNorm]])</f>
        <v>0</v>
      </c>
      <c r="EI57" s="5"/>
      <c r="EJ57" s="5"/>
      <c r="EK57" s="5"/>
      <c r="EM57" s="2">
        <f>Heizflächen!C61</f>
        <v>0</v>
      </c>
      <c r="EN57" s="2">
        <f>Heizflächen!D61</f>
        <v>0</v>
      </c>
      <c r="EO57" s="2">
        <f>1-(Heizflächen!S61/0.075)</f>
        <v>1</v>
      </c>
      <c r="EP57" s="2">
        <f>100*(0.045-Heizflächen!T61)</f>
        <v>4.5</v>
      </c>
      <c r="EQ57" s="2">
        <f>250*(Heizflächen!U61-0.02)</f>
        <v>-5</v>
      </c>
      <c r="ER57" s="2">
        <f>_xlfn.XLOOKUP(Tabelle14[[#This Row],[Wärmedurchlasswiderstand Bodenbelag]],Tabelle17[Wärmedurchlasswiderstand Rλ,B in '[m²K/W']],Tabelle17[aT],0,-1,1)</f>
        <v>1.23</v>
      </c>
      <c r="ES57" s="2" cm="1">
        <f t="array" ref="ES57">_xlfn.XLOOKUP(Heizflächen!S61&amp;Tabelle14[[#This Row],[Wärmedurchlasswiderstand Bodenbelag]],Tabelle18[T]&amp;Tabelle18[Rλ,B in '[m²K/W']],Tabelle18[au],0,-1,1)</f>
        <v>0</v>
      </c>
      <c r="ET57" s="2" cm="1">
        <f t="array" ref="ET57">_xlfn.XLOOKUP(Heizflächen!S61&amp;Tabelle14[[#This Row],[Wärmedurchlasswiderstand Bodenbelag]],Tabelle19[T]&amp;Tabelle19[Rλ,B in '[m²K/W']],Tabelle19[aD],0,-1,1)</f>
        <v>0</v>
      </c>
      <c r="EU57" s="5">
        <f>_xlfn.XLOOKUP(Heizflächen!$U$64,Tabelle5[Auswählbare Vor-und Rücklauftemperaturen],Tabelle5[Vorlauf],0,0,1)</f>
        <v>35</v>
      </c>
      <c r="EV57" s="5">
        <f>_xlfn.XLOOKUP(Heizflächen!$U$64,Tabelle5[Auswählbare Vor-und Rücklauftemperaturen],Tabelle5[Rücklauf],0,0,1)</f>
        <v>30</v>
      </c>
      <c r="EW57" s="77">
        <f>((Tabelle14[[#This Row],[gewünschte Vorlauftemperatur]]-Tabelle14[[#This Row],[gewünschte Rücklauftemperatur]])/LN((Tabelle14[[#This Row],[gewünschte Vorlauftemperatur]]-Heizflächen!G61)/(Tabelle14[[#This Row],[gewünschte Rücklauftemperatur]]-Heizflächen!G61)))</f>
        <v>32.435795973154399</v>
      </c>
      <c r="EX57" s="2">
        <f>_xlfn.XLOOKUP(Heizflächen!V61,Tabelle13[Bodenbelagsmaterial],Tabelle13[Wärmedurchlasswiderstand Rλ,B in '[m²K/W']],0,0,1)</f>
        <v>0</v>
      </c>
      <c r="EY57" s="163">
        <f>((1/10.8)+(0.045/1))/((1/10.8)+(0.045/1.4)+Tabelle14[[#This Row],[Wärmedurchlasswiderstand Bodenbelag]])</f>
        <v>1.1030752916224815</v>
      </c>
      <c r="EZ57" s="2">
        <v>6.7</v>
      </c>
      <c r="FA57" s="164" t="e">
        <f>Tabelle14[[#This Row],[B '[W/(m²K)']]]*Tabelle14[[#This Row],[aB]]*(Tabelle14[[#This Row],[aT]]^Tabelle14[[#This Row],[mT]])*(Tabelle14[[#This Row],[au]]^Tabelle14[[#This Row],[mu]])*(Tabelle14[[#This Row],[aD]]^Tabelle14[[#This Row],[mD]])*Tabelle14[[#This Row],[gewünschte Übertemperatur Δθm]]</f>
        <v>#DIV/0!</v>
      </c>
      <c r="FB57" s="2">
        <f>IFERROR(Tabelle14[[#This Row],[q '[W/m²']]]*(Heizflächen!E61-Heizflächen!F61),0)</f>
        <v>0</v>
      </c>
      <c r="FC57" s="2">
        <f>Heizflächen!H61</f>
        <v>50</v>
      </c>
      <c r="FI57" s="1438" t="s">
        <v>187</v>
      </c>
      <c r="FJ57" s="1438"/>
      <c r="FK57" s="1438"/>
      <c r="FL57" s="1438"/>
      <c r="FM57" s="1438"/>
      <c r="FN57" s="1438">
        <f>SUM(FN7:FN56)</f>
        <v>0</v>
      </c>
    </row>
    <row r="58" spans="2:170" ht="20.399999999999999" thickTop="1" thickBot="1">
      <c r="B58" s="61" t="str">
        <f>Allgemein!N43</f>
        <v>Zusatz Darlehen</v>
      </c>
      <c r="C58" s="29"/>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BH58" s="2" t="s">
        <v>434</v>
      </c>
      <c r="BI58" s="2">
        <v>600</v>
      </c>
      <c r="BJ58" s="2">
        <v>600</v>
      </c>
      <c r="BN58" s="2">
        <v>758</v>
      </c>
      <c r="CK58" s="5"/>
      <c r="CL58" s="5"/>
      <c r="CM58" s="5"/>
      <c r="DF58" s="155" t="s">
        <v>540</v>
      </c>
      <c r="DG58" s="156" t="s">
        <v>541</v>
      </c>
      <c r="DH58" s="157" t="s">
        <v>465</v>
      </c>
      <c r="DR58" s="5"/>
      <c r="DS58" s="5"/>
      <c r="DT58" s="5"/>
      <c r="DW58" s="147"/>
      <c r="EA58" s="147"/>
      <c r="EC58" s="148"/>
      <c r="EH58" s="150"/>
      <c r="EI58" s="5"/>
      <c r="EJ58" s="5"/>
      <c r="EK58" s="5"/>
      <c r="EU58" s="5"/>
      <c r="EV58" s="5"/>
      <c r="EW58" s="77"/>
      <c r="EY58" s="163"/>
      <c r="FA58" s="164"/>
    </row>
    <row r="59" spans="2:170" ht="17.399999999999999" thickBot="1">
      <c r="B59" s="56" t="s">
        <v>339</v>
      </c>
      <c r="C59" s="57"/>
      <c r="D59" s="58">
        <v>1</v>
      </c>
      <c r="E59" s="59">
        <v>2</v>
      </c>
      <c r="F59" s="59">
        <v>3</v>
      </c>
      <c r="G59" s="58">
        <v>4</v>
      </c>
      <c r="H59" s="58">
        <v>5</v>
      </c>
      <c r="I59" s="59">
        <v>6</v>
      </c>
      <c r="J59" s="59">
        <v>7</v>
      </c>
      <c r="K59" s="58">
        <v>8</v>
      </c>
      <c r="L59" s="58">
        <v>9</v>
      </c>
      <c r="M59" s="59">
        <v>10</v>
      </c>
      <c r="N59" s="59">
        <v>11</v>
      </c>
      <c r="O59" s="58">
        <v>12</v>
      </c>
      <c r="P59" s="58">
        <v>13</v>
      </c>
      <c r="Q59" s="59">
        <v>14</v>
      </c>
      <c r="R59" s="59">
        <v>15</v>
      </c>
      <c r="S59" s="58">
        <v>16</v>
      </c>
      <c r="T59" s="58">
        <v>17</v>
      </c>
      <c r="U59" s="59">
        <v>18</v>
      </c>
      <c r="V59" s="59">
        <v>19</v>
      </c>
      <c r="W59" s="58">
        <v>20</v>
      </c>
      <c r="X59" s="58">
        <v>21</v>
      </c>
      <c r="Y59" s="59">
        <v>22</v>
      </c>
      <c r="Z59" s="59">
        <v>23</v>
      </c>
      <c r="AA59" s="58">
        <v>24</v>
      </c>
      <c r="AB59" s="58">
        <v>25</v>
      </c>
      <c r="AC59" s="59">
        <v>26</v>
      </c>
      <c r="AD59" s="59">
        <v>27</v>
      </c>
      <c r="AE59" s="58">
        <v>28</v>
      </c>
      <c r="AF59" s="58">
        <v>29</v>
      </c>
      <c r="AG59" s="59">
        <v>30</v>
      </c>
      <c r="AH59" s="74">
        <v>31</v>
      </c>
      <c r="BH59" s="2" t="s">
        <v>434</v>
      </c>
      <c r="BI59" s="2">
        <v>700</v>
      </c>
      <c r="BJ59" s="2">
        <v>600</v>
      </c>
      <c r="BN59" s="2">
        <v>884</v>
      </c>
      <c r="CK59" s="5"/>
      <c r="CL59" s="5"/>
      <c r="CM59" s="5"/>
      <c r="DF59" s="158">
        <v>0.05</v>
      </c>
      <c r="DG59" s="159">
        <v>0</v>
      </c>
      <c r="DH59" s="2">
        <v>1.0129999999999999</v>
      </c>
      <c r="DR59" s="5"/>
      <c r="DS59" s="5"/>
      <c r="DT59" s="5"/>
      <c r="DW59" s="147"/>
      <c r="EA59" s="147"/>
      <c r="EC59" s="148"/>
      <c r="EH59" s="150"/>
      <c r="EI59" s="5"/>
      <c r="EJ59" s="5"/>
      <c r="EK59" s="5"/>
      <c r="EU59" s="5"/>
      <c r="EV59" s="5"/>
      <c r="EW59" s="77"/>
      <c r="EY59" s="163"/>
      <c r="FA59" s="164"/>
    </row>
    <row r="60" spans="2:170">
      <c r="B60" s="69" t="s">
        <v>545</v>
      </c>
      <c r="C60" s="70"/>
      <c r="D60" s="71"/>
      <c r="E60" s="72"/>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BH60" s="2" t="s">
        <v>434</v>
      </c>
      <c r="BI60" s="2">
        <v>800</v>
      </c>
      <c r="BJ60" s="2">
        <v>600</v>
      </c>
      <c r="BN60" s="2">
        <v>1010</v>
      </c>
      <c r="CK60" s="5"/>
      <c r="CL60" s="5"/>
      <c r="CM60" s="5"/>
      <c r="DF60" s="160">
        <v>7.4999999999999997E-2</v>
      </c>
      <c r="DG60" s="161">
        <v>0</v>
      </c>
      <c r="DH60" s="2">
        <v>1.0209999999999999</v>
      </c>
      <c r="DR60" s="5"/>
      <c r="DS60" s="5"/>
      <c r="DT60" s="5"/>
      <c r="DW60" s="147"/>
      <c r="EA60" s="147"/>
      <c r="EC60" s="148"/>
      <c r="EH60" s="150"/>
      <c r="EI60" s="5"/>
      <c r="EJ60" s="5"/>
      <c r="EK60" s="5"/>
      <c r="EU60" s="5"/>
      <c r="EV60" s="5"/>
      <c r="EW60" s="77"/>
      <c r="EY60" s="163"/>
      <c r="FA60" s="164"/>
    </row>
    <row r="61" spans="2:170">
      <c r="B61" s="31" t="s">
        <v>546</v>
      </c>
      <c r="C61" s="32"/>
      <c r="D61" s="33">
        <f>Allgemein!$N$48</f>
        <v>0</v>
      </c>
      <c r="E61" s="33">
        <f t="shared" ref="E61:N61" si="80">IF(E60=0,D61,E60)</f>
        <v>0</v>
      </c>
      <c r="F61" s="33">
        <f t="shared" si="80"/>
        <v>0</v>
      </c>
      <c r="G61" s="33">
        <f t="shared" si="80"/>
        <v>0</v>
      </c>
      <c r="H61" s="33">
        <f t="shared" si="80"/>
        <v>0</v>
      </c>
      <c r="I61" s="33">
        <f t="shared" si="80"/>
        <v>0</v>
      </c>
      <c r="J61" s="33">
        <f t="shared" si="80"/>
        <v>0</v>
      </c>
      <c r="K61" s="33">
        <f t="shared" si="80"/>
        <v>0</v>
      </c>
      <c r="L61" s="33">
        <f t="shared" si="80"/>
        <v>0</v>
      </c>
      <c r="M61" s="33">
        <f t="shared" si="80"/>
        <v>0</v>
      </c>
      <c r="N61" s="33">
        <f t="shared" si="80"/>
        <v>0</v>
      </c>
      <c r="O61" s="33">
        <f t="shared" ref="O61" si="81">IF(O60=0,N61,O60)</f>
        <v>0</v>
      </c>
      <c r="P61" s="33">
        <f t="shared" ref="P61" si="82">IF(P60=0,O61,P60)</f>
        <v>0</v>
      </c>
      <c r="Q61" s="33">
        <f t="shared" ref="Q61" si="83">IF(Q60=0,P61,Q60)</f>
        <v>0</v>
      </c>
      <c r="R61" s="33">
        <f t="shared" ref="R61" si="84">IF(R60=0,Q61,R60)</f>
        <v>0</v>
      </c>
      <c r="S61" s="33">
        <f t="shared" ref="S61" si="85">IF(S60=0,R61,S60)</f>
        <v>0</v>
      </c>
      <c r="T61" s="33">
        <f t="shared" ref="T61" si="86">IF(T60=0,S61,T60)</f>
        <v>0</v>
      </c>
      <c r="U61" s="33">
        <f t="shared" ref="U61" si="87">IF(U60=0,T61,U60)</f>
        <v>0</v>
      </c>
      <c r="V61" s="33">
        <f t="shared" ref="V61" si="88">IF(V60=0,U61,V60)</f>
        <v>0</v>
      </c>
      <c r="W61" s="33">
        <f t="shared" ref="W61" si="89">IF(W60=0,V61,W60)</f>
        <v>0</v>
      </c>
      <c r="X61" s="33">
        <f t="shared" ref="X61" si="90">IF(X60=0,W61,X60)</f>
        <v>0</v>
      </c>
      <c r="Y61" s="33">
        <f t="shared" ref="Y61" si="91">IF(Y60=0,X61,Y60)</f>
        <v>0</v>
      </c>
      <c r="Z61" s="33">
        <f t="shared" ref="Z61" si="92">IF(Z60=0,Y61,Z60)</f>
        <v>0</v>
      </c>
      <c r="AA61" s="33">
        <f t="shared" ref="AA61" si="93">IF(AA60=0,Z61,AA60)</f>
        <v>0</v>
      </c>
      <c r="AB61" s="33">
        <f t="shared" ref="AB61" si="94">IF(AB60=0,AA61,AB60)</f>
        <v>0</v>
      </c>
      <c r="AC61" s="33">
        <f t="shared" ref="AC61" si="95">IF(AC60=0,AB61,AC60)</f>
        <v>0</v>
      </c>
      <c r="AD61" s="33">
        <f t="shared" ref="AD61" si="96">IF(AD60=0,AC61,AD60)</f>
        <v>0</v>
      </c>
      <c r="AE61" s="33">
        <f t="shared" ref="AE61" si="97">IF(AE60=0,AD61,AE60)</f>
        <v>0</v>
      </c>
      <c r="AF61" s="33">
        <f t="shared" ref="AF61" si="98">IF(AF60=0,AE61,AF60)</f>
        <v>0</v>
      </c>
      <c r="AG61" s="33">
        <f t="shared" ref="AG61" si="99">IF(AG60=0,AF61,AG60)</f>
        <v>0</v>
      </c>
      <c r="AH61" s="33">
        <f t="shared" ref="AH61" si="100">IF(AH60=0,AG61,AH60)</f>
        <v>0</v>
      </c>
      <c r="BH61" s="2" t="s">
        <v>434</v>
      </c>
      <c r="BI61" s="2">
        <v>900</v>
      </c>
      <c r="BJ61" s="2">
        <v>600</v>
      </c>
      <c r="BN61" s="2">
        <v>1137</v>
      </c>
      <c r="CK61" s="5"/>
      <c r="CL61" s="5"/>
      <c r="CM61" s="5"/>
      <c r="DF61" s="158">
        <v>0.1</v>
      </c>
      <c r="DG61" s="159">
        <v>0</v>
      </c>
      <c r="DH61" s="2">
        <v>1.0289999999999999</v>
      </c>
      <c r="DR61" s="5"/>
      <c r="DS61" s="5"/>
      <c r="DT61" s="5"/>
      <c r="DW61" s="147"/>
      <c r="EA61" s="147"/>
      <c r="EC61" s="148"/>
      <c r="EH61" s="150"/>
      <c r="EI61" s="5"/>
      <c r="EJ61" s="5"/>
      <c r="EK61" s="5"/>
      <c r="EU61" s="5"/>
      <c r="EV61" s="5"/>
      <c r="EW61" s="77"/>
      <c r="EY61" s="163"/>
      <c r="FA61" s="164"/>
    </row>
    <row r="62" spans="2:170">
      <c r="B62" s="34"/>
      <c r="C62" s="35"/>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BH62" s="2" t="s">
        <v>434</v>
      </c>
      <c r="BI62" s="2">
        <v>1000</v>
      </c>
      <c r="BJ62" s="2">
        <v>600</v>
      </c>
      <c r="BN62" s="2">
        <v>1263</v>
      </c>
      <c r="CK62" s="5"/>
      <c r="CL62" s="5"/>
      <c r="CM62" s="5"/>
      <c r="DF62" s="160">
        <v>0.15</v>
      </c>
      <c r="DG62" s="161">
        <v>0</v>
      </c>
      <c r="DH62" s="2">
        <v>1.04</v>
      </c>
      <c r="DR62" s="5"/>
      <c r="DS62" s="5"/>
      <c r="DT62" s="5"/>
      <c r="DW62" s="147"/>
      <c r="EA62" s="147"/>
      <c r="EC62" s="148"/>
      <c r="EH62" s="150"/>
      <c r="EI62" s="5"/>
      <c r="EJ62" s="5"/>
      <c r="EK62" s="5"/>
      <c r="EU62" s="5"/>
      <c r="EV62" s="5"/>
      <c r="EW62" s="77"/>
      <c r="EY62" s="163"/>
      <c r="FA62" s="164"/>
    </row>
    <row r="63" spans="2:170">
      <c r="B63" s="31" t="s">
        <v>548</v>
      </c>
      <c r="C63" s="32"/>
      <c r="D63" s="36">
        <f>Allgemein!$N$46</f>
        <v>0</v>
      </c>
      <c r="E63" s="36">
        <f>IF(D72&lt;0,0,D72)</f>
        <v>0</v>
      </c>
      <c r="F63" s="36">
        <f>IF(E72&lt;0,0,E72)</f>
        <v>0</v>
      </c>
      <c r="G63" s="36">
        <f>IF(F72&lt;0,0,F72)</f>
        <v>0</v>
      </c>
      <c r="H63" s="36">
        <f>IF(G72&lt;0,0,G72)</f>
        <v>0</v>
      </c>
      <c r="I63" s="36">
        <f t="shared" ref="I63:AH63" si="101">IF(H72&lt;0,0,H72)</f>
        <v>0</v>
      </c>
      <c r="J63" s="36">
        <f>IF(I72&lt;0,0,I72)</f>
        <v>0</v>
      </c>
      <c r="K63" s="36">
        <f t="shared" si="101"/>
        <v>0</v>
      </c>
      <c r="L63" s="36">
        <f t="shared" si="101"/>
        <v>0</v>
      </c>
      <c r="M63" s="36">
        <f t="shared" si="101"/>
        <v>0</v>
      </c>
      <c r="N63" s="36">
        <f t="shared" si="101"/>
        <v>0</v>
      </c>
      <c r="O63" s="36">
        <f t="shared" si="101"/>
        <v>0</v>
      </c>
      <c r="P63" s="36">
        <f t="shared" si="101"/>
        <v>0</v>
      </c>
      <c r="Q63" s="36">
        <f t="shared" si="101"/>
        <v>0</v>
      </c>
      <c r="R63" s="36">
        <f t="shared" si="101"/>
        <v>0</v>
      </c>
      <c r="S63" s="36">
        <f t="shared" si="101"/>
        <v>0</v>
      </c>
      <c r="T63" s="36">
        <f t="shared" si="101"/>
        <v>0</v>
      </c>
      <c r="U63" s="36">
        <f t="shared" si="101"/>
        <v>0</v>
      </c>
      <c r="V63" s="36">
        <f t="shared" si="101"/>
        <v>0</v>
      </c>
      <c r="W63" s="36">
        <f t="shared" si="101"/>
        <v>0</v>
      </c>
      <c r="X63" s="36">
        <f t="shared" si="101"/>
        <v>0</v>
      </c>
      <c r="Y63" s="36">
        <f t="shared" si="101"/>
        <v>0</v>
      </c>
      <c r="Z63" s="36">
        <f t="shared" si="101"/>
        <v>0</v>
      </c>
      <c r="AA63" s="36">
        <f t="shared" si="101"/>
        <v>0</v>
      </c>
      <c r="AB63" s="36">
        <f t="shared" si="101"/>
        <v>0</v>
      </c>
      <c r="AC63" s="36">
        <f t="shared" si="101"/>
        <v>0</v>
      </c>
      <c r="AD63" s="36">
        <f t="shared" si="101"/>
        <v>0</v>
      </c>
      <c r="AE63" s="36">
        <f t="shared" si="101"/>
        <v>0</v>
      </c>
      <c r="AF63" s="36">
        <f t="shared" si="101"/>
        <v>0</v>
      </c>
      <c r="AG63" s="36">
        <f t="shared" si="101"/>
        <v>0</v>
      </c>
      <c r="AH63" s="36">
        <f t="shared" si="101"/>
        <v>0</v>
      </c>
      <c r="BH63" s="2" t="s">
        <v>434</v>
      </c>
      <c r="BI63" s="2">
        <v>1100</v>
      </c>
      <c r="BJ63" s="2">
        <v>600</v>
      </c>
      <c r="BN63" s="2">
        <v>1389</v>
      </c>
      <c r="CK63" s="5"/>
      <c r="CL63" s="5"/>
      <c r="CM63" s="5"/>
      <c r="DF63" s="158">
        <v>0.2</v>
      </c>
      <c r="DG63" s="159">
        <v>0</v>
      </c>
      <c r="DH63" s="2">
        <v>1.046</v>
      </c>
      <c r="DR63" s="5"/>
      <c r="DS63" s="5"/>
      <c r="DT63" s="5"/>
      <c r="DW63" s="147"/>
      <c r="EA63" s="147"/>
      <c r="EC63" s="148"/>
      <c r="EH63" s="150"/>
      <c r="EI63" s="5"/>
      <c r="EJ63" s="5"/>
      <c r="EK63" s="5"/>
      <c r="EU63" s="5"/>
      <c r="EV63" s="5"/>
      <c r="EW63" s="77"/>
      <c r="EY63" s="163"/>
      <c r="FA63" s="164"/>
    </row>
    <row r="64" spans="2:170">
      <c r="B64" s="31" t="s">
        <v>549</v>
      </c>
      <c r="C64" s="32"/>
      <c r="D64" s="36">
        <f>D63*D61</f>
        <v>0</v>
      </c>
      <c r="E64" s="36">
        <f>IF(E63=0,0,E61*E63)</f>
        <v>0</v>
      </c>
      <c r="F64" s="36">
        <f t="shared" ref="F64:AH64" si="102">IF(F63=0,0,F61*F63)</f>
        <v>0</v>
      </c>
      <c r="G64" s="36">
        <f t="shared" si="102"/>
        <v>0</v>
      </c>
      <c r="H64" s="36">
        <f t="shared" si="102"/>
        <v>0</v>
      </c>
      <c r="I64" s="36">
        <f t="shared" si="102"/>
        <v>0</v>
      </c>
      <c r="J64" s="36">
        <f t="shared" si="102"/>
        <v>0</v>
      </c>
      <c r="K64" s="36">
        <f t="shared" si="102"/>
        <v>0</v>
      </c>
      <c r="L64" s="36">
        <f t="shared" si="102"/>
        <v>0</v>
      </c>
      <c r="M64" s="36">
        <f t="shared" si="102"/>
        <v>0</v>
      </c>
      <c r="N64" s="36">
        <f t="shared" si="102"/>
        <v>0</v>
      </c>
      <c r="O64" s="36">
        <f t="shared" si="102"/>
        <v>0</v>
      </c>
      <c r="P64" s="36">
        <f t="shared" si="102"/>
        <v>0</v>
      </c>
      <c r="Q64" s="36">
        <f t="shared" si="102"/>
        <v>0</v>
      </c>
      <c r="R64" s="36">
        <f t="shared" si="102"/>
        <v>0</v>
      </c>
      <c r="S64" s="36">
        <f t="shared" si="102"/>
        <v>0</v>
      </c>
      <c r="T64" s="36">
        <f t="shared" si="102"/>
        <v>0</v>
      </c>
      <c r="U64" s="36">
        <f t="shared" si="102"/>
        <v>0</v>
      </c>
      <c r="V64" s="36">
        <f t="shared" si="102"/>
        <v>0</v>
      </c>
      <c r="W64" s="36">
        <f t="shared" si="102"/>
        <v>0</v>
      </c>
      <c r="X64" s="36">
        <f t="shared" si="102"/>
        <v>0</v>
      </c>
      <c r="Y64" s="36">
        <f t="shared" si="102"/>
        <v>0</v>
      </c>
      <c r="Z64" s="36">
        <f t="shared" si="102"/>
        <v>0</v>
      </c>
      <c r="AA64" s="36">
        <f t="shared" si="102"/>
        <v>0</v>
      </c>
      <c r="AB64" s="36">
        <f t="shared" si="102"/>
        <v>0</v>
      </c>
      <c r="AC64" s="36">
        <f t="shared" si="102"/>
        <v>0</v>
      </c>
      <c r="AD64" s="36">
        <f t="shared" si="102"/>
        <v>0</v>
      </c>
      <c r="AE64" s="36">
        <f t="shared" si="102"/>
        <v>0</v>
      </c>
      <c r="AF64" s="36">
        <f t="shared" si="102"/>
        <v>0</v>
      </c>
      <c r="AG64" s="36">
        <f t="shared" si="102"/>
        <v>0</v>
      </c>
      <c r="AH64" s="36">
        <f t="shared" si="102"/>
        <v>0</v>
      </c>
      <c r="BH64" s="2" t="s">
        <v>434</v>
      </c>
      <c r="BI64" s="2">
        <v>1200</v>
      </c>
      <c r="BJ64" s="2">
        <v>600</v>
      </c>
      <c r="BN64" s="2">
        <v>1516</v>
      </c>
      <c r="CK64" s="5"/>
      <c r="CL64" s="5"/>
      <c r="CM64" s="5"/>
      <c r="DF64" s="160">
        <v>0.22500000000000001</v>
      </c>
      <c r="DG64" s="161">
        <v>0</v>
      </c>
      <c r="DH64" s="2">
        <v>1.0489999999999999</v>
      </c>
      <c r="DR64" s="5"/>
      <c r="DS64" s="5"/>
      <c r="DT64" s="5"/>
      <c r="DW64" s="147"/>
      <c r="EA64" s="147"/>
      <c r="EC64" s="148"/>
      <c r="EH64" s="150"/>
      <c r="EI64" s="5"/>
      <c r="EJ64" s="5"/>
      <c r="EK64" s="5"/>
      <c r="EU64" s="5"/>
      <c r="EV64" s="5"/>
      <c r="EW64" s="77"/>
      <c r="EY64" s="163"/>
      <c r="FA64" s="164"/>
    </row>
    <row r="65" spans="2:157">
      <c r="B65" s="34"/>
      <c r="C65" s="35"/>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BH65" s="2" t="s">
        <v>434</v>
      </c>
      <c r="BI65" s="2">
        <v>1400</v>
      </c>
      <c r="BJ65" s="2">
        <v>600</v>
      </c>
      <c r="BN65" s="2">
        <v>1768</v>
      </c>
      <c r="CK65" s="5"/>
      <c r="CL65" s="5"/>
      <c r="CM65" s="5"/>
      <c r="DF65" s="158">
        <v>0.3</v>
      </c>
      <c r="DG65" s="159">
        <v>0</v>
      </c>
      <c r="DH65" s="2">
        <v>1.0529999999999999</v>
      </c>
      <c r="DR65" s="5"/>
      <c r="DS65" s="5"/>
      <c r="DT65" s="5"/>
      <c r="DW65" s="147"/>
      <c r="EA65" s="147"/>
      <c r="EC65" s="148"/>
      <c r="EH65" s="150"/>
      <c r="EI65" s="5"/>
      <c r="EU65" s="5"/>
      <c r="EV65" s="5"/>
      <c r="EW65" s="77"/>
      <c r="EY65" s="163"/>
      <c r="FA65" s="164"/>
    </row>
    <row r="66" spans="2:157">
      <c r="B66" s="31" t="s">
        <v>550</v>
      </c>
      <c r="C66" s="32"/>
      <c r="D66" s="36"/>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BH66" s="2" t="s">
        <v>434</v>
      </c>
      <c r="BI66" s="2">
        <v>1600</v>
      </c>
      <c r="BJ66" s="2">
        <v>600</v>
      </c>
      <c r="BN66" s="2">
        <v>2021</v>
      </c>
      <c r="CK66" s="5"/>
      <c r="CL66" s="5"/>
      <c r="CM66" s="5"/>
      <c r="DF66" s="160">
        <v>0.375</v>
      </c>
      <c r="DG66" s="161">
        <v>0</v>
      </c>
      <c r="DH66" s="2">
        <v>1.056</v>
      </c>
      <c r="DR66" s="5"/>
      <c r="DS66" s="5"/>
      <c r="DT66" s="5"/>
      <c r="DW66" s="147"/>
      <c r="EA66" s="147"/>
      <c r="EC66" s="148"/>
      <c r="EH66" s="150"/>
      <c r="EI66" s="5"/>
      <c r="EU66" s="5"/>
      <c r="EV66" s="5"/>
      <c r="EW66" s="77"/>
      <c r="EY66" s="163"/>
      <c r="FA66" s="164"/>
    </row>
    <row r="67" spans="2:157">
      <c r="B67" s="31" t="s">
        <v>551</v>
      </c>
      <c r="C67" s="32"/>
      <c r="D67" s="36">
        <f>D68*D63</f>
        <v>0</v>
      </c>
      <c r="E67" s="36">
        <f>IF(D67=0,E68*E63,E70-E64)</f>
        <v>0</v>
      </c>
      <c r="F67" s="36">
        <f>IF(E67=0,F68*F63,F70-F64)</f>
        <v>0</v>
      </c>
      <c r="G67" s="36">
        <f>IF(F67=0,G68*G63,G70-G64)</f>
        <v>0</v>
      </c>
      <c r="H67" s="36">
        <f>IF(G67=0,H68*H63,H70-H64)</f>
        <v>0</v>
      </c>
      <c r="I67" s="36">
        <f t="shared" ref="I67" si="103">IF(H67=0,I68*I63,I70-I64)</f>
        <v>0</v>
      </c>
      <c r="J67" s="36">
        <f>IF(I67=0,J68*J63,J70-J64)</f>
        <v>0</v>
      </c>
      <c r="K67" s="36">
        <f t="shared" ref="K67" si="104">IF(J67=0,K68*K63,K70-K64)</f>
        <v>0</v>
      </c>
      <c r="L67" s="36">
        <f t="shared" ref="L67" si="105">IF(K67=0,L68*L63,L70-L64)</f>
        <v>0</v>
      </c>
      <c r="M67" s="36">
        <f t="shared" ref="M67" si="106">IF(L67=0,M68*M63,M70-M64)</f>
        <v>0</v>
      </c>
      <c r="N67" s="36">
        <f t="shared" ref="N67" si="107">IF(M67=0,N68*N63,N70-N64)</f>
        <v>0</v>
      </c>
      <c r="O67" s="36">
        <f t="shared" ref="O67" si="108">IF(N67=0,O68*O63,O70-O64)</f>
        <v>0</v>
      </c>
      <c r="P67" s="36">
        <f t="shared" ref="P67" si="109">IF(O67=0,P68*P63,P70-P64)</f>
        <v>0</v>
      </c>
      <c r="Q67" s="36">
        <f t="shared" ref="Q67" si="110">IF(P67=0,Q68*Q63,Q70-Q64)</f>
        <v>0</v>
      </c>
      <c r="R67" s="36">
        <f t="shared" ref="R67" si="111">IF(Q67=0,R68*R63,R70-R64)</f>
        <v>0</v>
      </c>
      <c r="S67" s="36">
        <f t="shared" ref="S67" si="112">IF(R67=0,S68*S63,S70-S64)</f>
        <v>0</v>
      </c>
      <c r="T67" s="36">
        <f t="shared" ref="T67" si="113">IF(S67=0,T68*T63,T70-T64)</f>
        <v>0</v>
      </c>
      <c r="U67" s="36">
        <f t="shared" ref="U67" si="114">IF(T67=0,U68*U63,U70-U64)</f>
        <v>0</v>
      </c>
      <c r="V67" s="36">
        <f t="shared" ref="V67" si="115">IF(U67=0,V68*V63,V70-V64)</f>
        <v>0</v>
      </c>
      <c r="W67" s="36">
        <f t="shared" ref="W67" si="116">IF(V67=0,W68*W63,W70-W64)</f>
        <v>0</v>
      </c>
      <c r="X67" s="36">
        <f t="shared" ref="X67" si="117">IF(W67=0,X68*X63,X70-X64)</f>
        <v>0</v>
      </c>
      <c r="Y67" s="36">
        <f t="shared" ref="Y67" si="118">IF(X67=0,Y68*Y63,Y70-Y64)</f>
        <v>0</v>
      </c>
      <c r="Z67" s="36">
        <f t="shared" ref="Z67" si="119">IF(Y67=0,Z68*Z63,Z70-Z64)</f>
        <v>0</v>
      </c>
      <c r="AA67" s="36">
        <f t="shared" ref="AA67" si="120">IF(Z67=0,AA68*AA63,AA70-AA64)</f>
        <v>0</v>
      </c>
      <c r="AB67" s="36">
        <f t="shared" ref="AB67" si="121">IF(AA67=0,AB68*AB63,AB70-AB64)</f>
        <v>0</v>
      </c>
      <c r="AC67" s="36">
        <f t="shared" ref="AC67" si="122">IF(AB67=0,AC68*AC63,AC70-AC64)</f>
        <v>0</v>
      </c>
      <c r="AD67" s="36">
        <f t="shared" ref="AD67" si="123">IF(AC67=0,AD68*AD63,AD70-AD64)</f>
        <v>0</v>
      </c>
      <c r="AE67" s="36">
        <f t="shared" ref="AE67" si="124">IF(AD67=0,AE68*AE63,AE70-AE64)</f>
        <v>0</v>
      </c>
      <c r="AF67" s="36">
        <f t="shared" ref="AF67" si="125">IF(AE67=0,AF68*AF63,AF70-AF64)</f>
        <v>0</v>
      </c>
      <c r="AG67" s="36">
        <f t="shared" ref="AG67" si="126">IF(AF67=0,AG68*AG63,AG70-AG64)</f>
        <v>0</v>
      </c>
      <c r="AH67" s="36">
        <f t="shared" ref="AH67" si="127">IF(AG67=0,AH68*AH63,AH70-AH64)</f>
        <v>0</v>
      </c>
      <c r="BH67" s="2" t="s">
        <v>434</v>
      </c>
      <c r="BI67" s="2">
        <v>1800</v>
      </c>
      <c r="BJ67" s="2">
        <v>600</v>
      </c>
      <c r="BN67" s="2">
        <v>2273</v>
      </c>
      <c r="CK67" s="5"/>
      <c r="CL67" s="5"/>
      <c r="CM67" s="5"/>
      <c r="DF67" s="158">
        <v>0.05</v>
      </c>
      <c r="DG67" s="159">
        <v>0.05</v>
      </c>
      <c r="DH67" s="2">
        <v>1.0129999999999999</v>
      </c>
      <c r="DR67" s="5"/>
      <c r="DS67" s="5"/>
      <c r="DT67" s="5"/>
      <c r="DW67" s="147"/>
      <c r="EA67" s="147"/>
      <c r="EC67" s="148"/>
      <c r="EH67" s="150"/>
      <c r="EI67" s="5"/>
      <c r="EU67" s="5"/>
      <c r="EV67" s="5"/>
      <c r="EW67" s="77"/>
      <c r="EY67" s="163"/>
      <c r="FA67" s="164"/>
    </row>
    <row r="68" spans="2:157">
      <c r="B68" s="38" t="s">
        <v>554</v>
      </c>
      <c r="C68" s="39"/>
      <c r="D68" s="33">
        <f>IF(Allgemein!$N$50&gt;=D59,0,Allgemein!$N$51)</f>
        <v>0</v>
      </c>
      <c r="E68" s="33">
        <f>IF(Allgemein!$N$50&gt;=E59,0,IF(D67=0,Allgemein!$N$51,IF(E63=0,0,E67/E63)))</f>
        <v>0</v>
      </c>
      <c r="F68" s="33">
        <f>IF(Allgemein!$N$50&gt;=F59,0,IF(E67=0,Allgemein!$N$51,IF(F63=0,0,F67/F63)))</f>
        <v>0</v>
      </c>
      <c r="G68" s="33">
        <f>IF(Allgemein!$N$50&gt;=G59,0,IF(F67=0,Allgemein!$N$51,IF(G63=0,0,G67/G63)))</f>
        <v>0</v>
      </c>
      <c r="H68" s="33">
        <f>IF(Allgemein!$N$50&gt;=H59,0,IF(G67=0,Allgemein!$N$51,IF(H63=0,0,H67/H63)))</f>
        <v>0</v>
      </c>
      <c r="I68" s="33">
        <f>IF(Allgemein!$N$50&gt;=I59,0,IF(H67=0,Allgemein!$N$51,IF(I63=0,0,I67/I63)))</f>
        <v>0</v>
      </c>
      <c r="J68" s="33">
        <f>IF(Allgemein!$N$50&gt;=J59,0,IF(I67=0,Allgemein!$N$51,IF(J63=0,0,J67/J63)))</f>
        <v>0</v>
      </c>
      <c r="K68" s="33">
        <f>IF(Allgemein!$N$50&gt;=K59,0,IF(J67=0,Allgemein!$N$51,IF(K63=0,0,K67/K63)))</f>
        <v>0</v>
      </c>
      <c r="L68" s="33">
        <f>IF(Allgemein!$N$50&gt;=L59,0,IF(K67=0,Allgemein!$N$51,IF(L63=0,0,L67/L63)))</f>
        <v>0</v>
      </c>
      <c r="M68" s="33">
        <f>IF(Allgemein!$N$50&gt;=M59,0,IF(L67=0,Allgemein!$N$51,IF(M63=0,0,M67/M63)))</f>
        <v>0</v>
      </c>
      <c r="N68" s="33">
        <f>IF(Allgemein!$N$50&gt;=N59,0,IF(M67=0,Allgemein!$N$51,IF(N63=0,0,N67/N63)))</f>
        <v>0</v>
      </c>
      <c r="O68" s="33">
        <f>IF(Allgemein!$N$50&gt;=O59,0,IF(N67=0,Allgemein!$N$51,IF(O63=0,0,O67/O63)))</f>
        <v>0</v>
      </c>
      <c r="P68" s="33">
        <f>IF(Allgemein!$N$50&gt;=P59,0,IF(O67=0,Allgemein!$N$51,IF(P63=0,0,P67/P63)))</f>
        <v>0</v>
      </c>
      <c r="Q68" s="33">
        <f>IF(Allgemein!$N$50&gt;=Q59,0,IF(P67=0,Allgemein!$N$51,IF(Q63=0,0,Q67/Q63)))</f>
        <v>0</v>
      </c>
      <c r="R68" s="33">
        <f>IF(Allgemein!$N$50&gt;=R59,0,IF(Q67=0,Allgemein!$N$51,IF(R63=0,0,R67/R63)))</f>
        <v>0</v>
      </c>
      <c r="S68" s="33">
        <f>IF(Allgemein!$N$50&gt;=S59,0,IF(R67=0,Allgemein!$N$51,IF(S63=0,0,S67/S63)))</f>
        <v>0</v>
      </c>
      <c r="T68" s="33">
        <f>IF(Allgemein!$N$50&gt;=T59,0,IF(S67=0,Allgemein!$N$51,IF(T63=0,0,T67/T63)))</f>
        <v>0</v>
      </c>
      <c r="U68" s="33">
        <f>IF(Allgemein!$N$50&gt;=U59,0,IF(T67=0,Allgemein!$N$51,IF(U63=0,0,U67/U63)))</f>
        <v>0</v>
      </c>
      <c r="V68" s="33">
        <f>IF(Allgemein!$N$50&gt;=V59,0,IF(U67=0,Allgemein!$N$51,IF(V63=0,0,V67/V63)))</f>
        <v>0</v>
      </c>
      <c r="W68" s="33">
        <f>IF(Allgemein!$N$50&gt;=W59,0,IF(V67=0,Allgemein!$N$51,IF(W63=0,0,W67/W63)))</f>
        <v>0</v>
      </c>
      <c r="X68" s="33">
        <f>IF(Allgemein!$N$50&gt;=X59,0,IF(W67=0,Allgemein!$N$51,IF(X63=0,0,X67/X63)))</f>
        <v>0</v>
      </c>
      <c r="Y68" s="33">
        <f>IF(Allgemein!$N$50&gt;=Y59,0,IF(X67=0,Allgemein!$N$51,IF(Y63=0,0,Y67/Y63)))</f>
        <v>0</v>
      </c>
      <c r="Z68" s="33">
        <f>IF(Allgemein!$N$50&gt;=Z59,0,IF(Y67=0,Allgemein!$N$51,IF(Z63=0,0,Z67/Z63)))</f>
        <v>0</v>
      </c>
      <c r="AA68" s="33">
        <f>IF(Allgemein!$N$50&gt;=AA59,0,IF(Z67=0,Allgemein!$N$51,IF(AA63=0,0,AA67/AA63)))</f>
        <v>0</v>
      </c>
      <c r="AB68" s="33">
        <f>IF(Allgemein!$N$50&gt;=AB59,0,IF(AA67=0,Allgemein!$N$51,IF(AB63=0,0,AB67/AB63)))</f>
        <v>0</v>
      </c>
      <c r="AC68" s="33">
        <f>IF(Allgemein!$N$50&gt;=AC59,0,IF(AB67=0,Allgemein!$N$51,IF(AC63=0,0,AC67/AC63)))</f>
        <v>0</v>
      </c>
      <c r="AD68" s="33">
        <f>IF(Allgemein!$N$50&gt;=AD59,0,IF(AC67=0,Allgemein!$N$51,IF(AD63=0,0,AD67/AD63)))</f>
        <v>0</v>
      </c>
      <c r="AE68" s="33">
        <f>IF(Allgemein!$N$50&gt;=AE59,0,IF(AD67=0,Allgemein!$N$51,IF(AE63=0,0,AE67/AE63)))</f>
        <v>0</v>
      </c>
      <c r="AF68" s="33">
        <f>IF(Allgemein!$N$50&gt;=AF59,0,IF(AE67=0,Allgemein!$N$51,IF(AF63=0,0,AF67/AF63)))</f>
        <v>0</v>
      </c>
      <c r="AG68" s="33">
        <f>IF(Allgemein!$N$50&gt;=AG59,0,IF(AF67=0,Allgemein!$N$51,IF(AG63=0,0,AG67/AG63)))</f>
        <v>0</v>
      </c>
      <c r="AH68" s="33">
        <f>IF(Allgemein!$N$50&gt;=AH59,0,IF(AG67=0,Allgemein!$N$51,IF(AH63=0,0,AH67/AH63)))</f>
        <v>0</v>
      </c>
      <c r="BH68" s="2" t="s">
        <v>434</v>
      </c>
      <c r="BI68" s="2">
        <v>2000</v>
      </c>
      <c r="BJ68" s="2">
        <v>600</v>
      </c>
      <c r="BN68" s="2">
        <v>2526</v>
      </c>
      <c r="CK68" s="5"/>
      <c r="CL68" s="5"/>
      <c r="CM68" s="5"/>
      <c r="DF68" s="160">
        <v>7.4999999999999997E-2</v>
      </c>
      <c r="DG68" s="161">
        <v>0.05</v>
      </c>
      <c r="DH68" s="2">
        <v>1.0189999999999999</v>
      </c>
      <c r="DR68" s="5"/>
      <c r="DS68" s="5"/>
      <c r="DT68" s="5"/>
      <c r="DW68" s="147"/>
      <c r="EA68" s="147"/>
      <c r="EC68" s="148"/>
      <c r="EH68" s="150"/>
      <c r="EI68" s="5"/>
      <c r="EU68" s="5"/>
      <c r="EV68" s="5"/>
      <c r="EW68" s="77"/>
      <c r="EY68" s="163"/>
      <c r="FA68" s="164"/>
    </row>
    <row r="69" spans="2:157">
      <c r="B69" s="34"/>
      <c r="C69" s="35"/>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BH69" s="2" t="s">
        <v>434</v>
      </c>
      <c r="BI69" s="2">
        <v>2200</v>
      </c>
      <c r="BJ69" s="2">
        <v>600</v>
      </c>
      <c r="BN69" s="2">
        <v>2779</v>
      </c>
      <c r="CC69" s="2" t="s">
        <v>295</v>
      </c>
      <c r="CK69" s="5"/>
      <c r="CL69" s="5"/>
      <c r="CM69" s="5"/>
      <c r="DF69" s="158">
        <v>0.1</v>
      </c>
      <c r="DG69" s="159">
        <v>0.05</v>
      </c>
      <c r="DH69" s="2">
        <v>1.0249999999999999</v>
      </c>
      <c r="DR69" s="5"/>
      <c r="DS69" s="5"/>
      <c r="DT69" s="5"/>
      <c r="DW69" s="147"/>
      <c r="EA69" s="147"/>
      <c r="EC69" s="148"/>
      <c r="EH69" s="150"/>
      <c r="EI69" s="5"/>
      <c r="EU69" s="5"/>
      <c r="EV69" s="5"/>
      <c r="EW69" s="77"/>
      <c r="EY69" s="163"/>
      <c r="FA69" s="164"/>
    </row>
    <row r="70" spans="2:157">
      <c r="B70" s="31" t="s">
        <v>555</v>
      </c>
      <c r="C70" s="32"/>
      <c r="D70" s="36">
        <f>D67+D64</f>
        <v>0</v>
      </c>
      <c r="E70" s="36">
        <f>IF(D67=0,E64+E67,IF(E63=0,0,IF(E63&lt;D70,E63+E64,IF(E66=0,D70,E66+E64))))</f>
        <v>0</v>
      </c>
      <c r="F70" s="36">
        <f>IF(E67=0,F64+F67,IF(F63=0,0,IF(F63&lt;E70,F63+F64,IF(F66=0,E70,F66+F64))))</f>
        <v>0</v>
      </c>
      <c r="G70" s="36">
        <f>IF(F67=0,G64+G67,IF(G63=0,0,IF(G63&lt;F70,G63+G64,IF(G66=0,F70,G66+G64))))</f>
        <v>0</v>
      </c>
      <c r="H70" s="36">
        <f>IF(G67=0,H64+H67,IF(H63=0,0,IF(H63&lt;G70,H63+H64,IF(H66=0,G70,H66+H64))))</f>
        <v>0</v>
      </c>
      <c r="I70" s="36">
        <f t="shared" ref="I70" si="128">IF(H67=0,I64+I67,IF(I63=0,0,IF(I63&lt;H70,I63+I64,IF(I66=0,H70,I66+I64))))</f>
        <v>0</v>
      </c>
      <c r="J70" s="36">
        <f>IF(I67=0,J64+J67,IF(J63=0,0,IF(J63&lt;I70,J63+J64,IF(J66=0,I70,J66+J64))))</f>
        <v>0</v>
      </c>
      <c r="K70" s="36">
        <f t="shared" ref="K70" si="129">IF(J67=0,K64+K67,IF(K63=0,0,IF(K63&lt;J70,K63+K64,IF(K66=0,J70,K66+K64))))</f>
        <v>0</v>
      </c>
      <c r="L70" s="36">
        <f t="shared" ref="L70" si="130">IF(K67=0,L64+L67,IF(L63=0,0,IF(L63&lt;K70,L63+L64,IF(L66=0,K70,L66+L64))))</f>
        <v>0</v>
      </c>
      <c r="M70" s="36">
        <f t="shared" ref="M70" si="131">IF(L67=0,M64+M67,IF(M63=0,0,IF(M63&lt;L70,M63+M64,IF(M66=0,L70,M66+M64))))</f>
        <v>0</v>
      </c>
      <c r="N70" s="36">
        <f t="shared" ref="N70" si="132">IF(M67=0,N64+N67,IF(N63=0,0,IF(N63&lt;M70,N63+N64,IF(N66=0,M70,N66+N64))))</f>
        <v>0</v>
      </c>
      <c r="O70" s="36">
        <f t="shared" ref="O70" si="133">IF(N67=0,O64+O67,IF(O63=0,0,IF(O63&lt;N70,O63+O64,IF(O66=0,N70,O66+O64))))</f>
        <v>0</v>
      </c>
      <c r="P70" s="36">
        <f t="shared" ref="P70" si="134">IF(O67=0,P64+P67,IF(P63=0,0,IF(P63&lt;O70,P63+P64,IF(P66=0,O70,P66+P64))))</f>
        <v>0</v>
      </c>
      <c r="Q70" s="36">
        <f t="shared" ref="Q70" si="135">IF(P67=0,Q64+Q67,IF(Q63=0,0,IF(Q63&lt;P70,Q63+Q64,IF(Q66=0,P70,Q66+Q64))))</f>
        <v>0</v>
      </c>
      <c r="R70" s="36">
        <f t="shared" ref="R70" si="136">IF(Q67=0,R64+R67,IF(R63=0,0,IF(R63&lt;Q70,R63+R64,IF(R66=0,Q70,R66+R64))))</f>
        <v>0</v>
      </c>
      <c r="S70" s="36">
        <f t="shared" ref="S70" si="137">IF(R67=0,S64+S67,IF(S63=0,0,IF(S63&lt;R70,S63+S64,IF(S66=0,R70,S66+S64))))</f>
        <v>0</v>
      </c>
      <c r="T70" s="36">
        <f t="shared" ref="T70" si="138">IF(S67=0,T64+T67,IF(T63=0,0,IF(T63&lt;S70,T63+T64,IF(T66=0,S70,T66+T64))))</f>
        <v>0</v>
      </c>
      <c r="U70" s="36">
        <f t="shared" ref="U70" si="139">IF(T67=0,U64+U67,IF(U63=0,0,IF(U63&lt;T70,U63+U64,IF(U66=0,T70,U66+U64))))</f>
        <v>0</v>
      </c>
      <c r="V70" s="36">
        <f t="shared" ref="V70" si="140">IF(U67=0,V64+V67,IF(V63=0,0,IF(V63&lt;U70,V63+V64,IF(V66=0,U70,V66+V64))))</f>
        <v>0</v>
      </c>
      <c r="W70" s="36">
        <f t="shared" ref="W70" si="141">IF(V67=0,W64+W67,IF(W63=0,0,IF(W63&lt;V70,W63+W64,IF(W66=0,V70,W66+W64))))</f>
        <v>0</v>
      </c>
      <c r="X70" s="36">
        <f t="shared" ref="X70" si="142">IF(W67=0,X64+X67,IF(X63=0,0,IF(X63&lt;W70,X63+X64,IF(X66=0,W70,X66+X64))))</f>
        <v>0</v>
      </c>
      <c r="Y70" s="36">
        <f t="shared" ref="Y70" si="143">IF(X67=0,Y64+Y67,IF(Y63=0,0,IF(Y63&lt;X70,Y63+Y64,IF(Y66=0,X70,Y66+Y64))))</f>
        <v>0</v>
      </c>
      <c r="Z70" s="36">
        <f t="shared" ref="Z70" si="144">IF(Y67=0,Z64+Z67,IF(Z63=0,0,IF(Z63&lt;Y70,Z63+Z64,IF(Z66=0,Y70,Z66+Z64))))</f>
        <v>0</v>
      </c>
      <c r="AA70" s="36">
        <f t="shared" ref="AA70" si="145">IF(Z67=0,AA64+AA67,IF(AA63=0,0,IF(AA63&lt;Z70,AA63+AA64,IF(AA66=0,Z70,AA66+AA64))))</f>
        <v>0</v>
      </c>
      <c r="AB70" s="36">
        <f t="shared" ref="AB70" si="146">IF(AA67=0,AB64+AB67,IF(AB63=0,0,IF(AB63&lt;AA70,AB63+AB64,IF(AB66=0,AA70,AB66+AB64))))</f>
        <v>0</v>
      </c>
      <c r="AC70" s="36">
        <f t="shared" ref="AC70" si="147">IF(AB67=0,AC64+AC67,IF(AC63=0,0,IF(AC63&lt;AB70,AC63+AC64,IF(AC66=0,AB70,AC66+AC64))))</f>
        <v>0</v>
      </c>
      <c r="AD70" s="36">
        <f t="shared" ref="AD70" si="148">IF(AC67=0,AD64+AD67,IF(AD63=0,0,IF(AD63&lt;AC70,AD63+AD64,IF(AD66=0,AC70,AD66+AD64))))</f>
        <v>0</v>
      </c>
      <c r="AE70" s="36">
        <f t="shared" ref="AE70" si="149">IF(AD67=0,AE64+AE67,IF(AE63=0,0,IF(AE63&lt;AD70,AE63+AE64,IF(AE66=0,AD70,AE66+AE64))))</f>
        <v>0</v>
      </c>
      <c r="AF70" s="36">
        <f t="shared" ref="AF70" si="150">IF(AE67=0,AF64+AF67,IF(AF63=0,0,IF(AF63&lt;AE70,AF63+AF64,IF(AF66=0,AE70,AF66+AF64))))</f>
        <v>0</v>
      </c>
      <c r="AG70" s="36">
        <f t="shared" ref="AG70" si="151">IF(AF67=0,AG64+AG67,IF(AG63=0,0,IF(AG63&lt;AF70,AG63+AG64,IF(AG66=0,AF70,AG66+AG64))))</f>
        <v>0</v>
      </c>
      <c r="AH70" s="36">
        <f t="shared" ref="AH70" si="152">IF(AG67=0,AH64+AH67,IF(AH63=0,0,IF(AH63&lt;AG70,AH63+AH64,IF(AH66=0,AG70,AH66+AH64))))</f>
        <v>0</v>
      </c>
      <c r="BH70" s="2" t="s">
        <v>434</v>
      </c>
      <c r="BI70" s="2">
        <v>2300</v>
      </c>
      <c r="BJ70" s="2">
        <v>600</v>
      </c>
      <c r="BN70" s="2">
        <v>2824</v>
      </c>
      <c r="CC70" s="2" t="s">
        <v>574</v>
      </c>
      <c r="CK70" s="5"/>
      <c r="CL70" s="5"/>
      <c r="CM70" s="5"/>
      <c r="DF70" s="160">
        <v>0.15</v>
      </c>
      <c r="DG70" s="161">
        <v>0.05</v>
      </c>
      <c r="DH70" s="2">
        <v>1.034</v>
      </c>
      <c r="DR70" s="5"/>
      <c r="DS70" s="5"/>
      <c r="DT70" s="5"/>
      <c r="DW70" s="147"/>
      <c r="EA70" s="147"/>
      <c r="EC70" s="148"/>
      <c r="EH70" s="150"/>
      <c r="EI70" s="5"/>
      <c r="EU70" s="5"/>
      <c r="EV70" s="5"/>
      <c r="EW70" s="77"/>
      <c r="EY70" s="163"/>
      <c r="FA70" s="164"/>
    </row>
    <row r="71" spans="2:157">
      <c r="B71" s="31" t="s">
        <v>556</v>
      </c>
      <c r="C71" s="32"/>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BH71" s="2" t="s">
        <v>434</v>
      </c>
      <c r="BI71" s="2">
        <v>2600</v>
      </c>
      <c r="BJ71" s="2">
        <v>600</v>
      </c>
      <c r="BN71" s="2">
        <v>3192</v>
      </c>
      <c r="CC71" s="2" t="s">
        <v>575</v>
      </c>
      <c r="CK71" s="5"/>
      <c r="CL71" s="5"/>
      <c r="CM71" s="5"/>
      <c r="DF71" s="158">
        <v>0.2</v>
      </c>
      <c r="DG71" s="159">
        <v>0.05</v>
      </c>
      <c r="DH71" s="2">
        <v>1.04</v>
      </c>
      <c r="DR71" s="5"/>
      <c r="DS71" s="5"/>
      <c r="DT71" s="5"/>
      <c r="DW71" s="147"/>
      <c r="EA71" s="147"/>
      <c r="EC71" s="148"/>
      <c r="EH71" s="150"/>
      <c r="EI71" s="5"/>
      <c r="EU71" s="5"/>
      <c r="EV71" s="5"/>
      <c r="EW71" s="77"/>
      <c r="EY71" s="163"/>
      <c r="FA71" s="164"/>
    </row>
    <row r="72" spans="2:157">
      <c r="B72" s="31" t="s">
        <v>557</v>
      </c>
      <c r="C72" s="32"/>
      <c r="D72" s="36">
        <f>D63-D67</f>
        <v>0</v>
      </c>
      <c r="E72" s="36">
        <f t="shared" ref="E72:AH72" si="153">E63-E67</f>
        <v>0</v>
      </c>
      <c r="F72" s="36">
        <f t="shared" si="153"/>
        <v>0</v>
      </c>
      <c r="G72" s="36">
        <f t="shared" si="153"/>
        <v>0</v>
      </c>
      <c r="H72" s="36">
        <f t="shared" si="153"/>
        <v>0</v>
      </c>
      <c r="I72" s="36">
        <f t="shared" si="153"/>
        <v>0</v>
      </c>
      <c r="J72" s="36">
        <f t="shared" si="153"/>
        <v>0</v>
      </c>
      <c r="K72" s="36">
        <f t="shared" si="153"/>
        <v>0</v>
      </c>
      <c r="L72" s="36">
        <f t="shared" si="153"/>
        <v>0</v>
      </c>
      <c r="M72" s="36">
        <f t="shared" si="153"/>
        <v>0</v>
      </c>
      <c r="N72" s="36">
        <f t="shared" si="153"/>
        <v>0</v>
      </c>
      <c r="O72" s="36">
        <f t="shared" si="153"/>
        <v>0</v>
      </c>
      <c r="P72" s="36">
        <f t="shared" si="153"/>
        <v>0</v>
      </c>
      <c r="Q72" s="36">
        <f t="shared" si="153"/>
        <v>0</v>
      </c>
      <c r="R72" s="36">
        <f t="shared" si="153"/>
        <v>0</v>
      </c>
      <c r="S72" s="36">
        <f t="shared" si="153"/>
        <v>0</v>
      </c>
      <c r="T72" s="36">
        <f t="shared" si="153"/>
        <v>0</v>
      </c>
      <c r="U72" s="36">
        <f t="shared" si="153"/>
        <v>0</v>
      </c>
      <c r="V72" s="36">
        <f t="shared" si="153"/>
        <v>0</v>
      </c>
      <c r="W72" s="36">
        <f t="shared" si="153"/>
        <v>0</v>
      </c>
      <c r="X72" s="36">
        <f t="shared" si="153"/>
        <v>0</v>
      </c>
      <c r="Y72" s="36">
        <f t="shared" si="153"/>
        <v>0</v>
      </c>
      <c r="Z72" s="36">
        <f t="shared" si="153"/>
        <v>0</v>
      </c>
      <c r="AA72" s="36">
        <f t="shared" si="153"/>
        <v>0</v>
      </c>
      <c r="AB72" s="36">
        <f t="shared" si="153"/>
        <v>0</v>
      </c>
      <c r="AC72" s="36">
        <f t="shared" si="153"/>
        <v>0</v>
      </c>
      <c r="AD72" s="36">
        <f t="shared" si="153"/>
        <v>0</v>
      </c>
      <c r="AE72" s="36">
        <f t="shared" si="153"/>
        <v>0</v>
      </c>
      <c r="AF72" s="36">
        <f t="shared" si="153"/>
        <v>0</v>
      </c>
      <c r="AG72" s="36">
        <f t="shared" si="153"/>
        <v>0</v>
      </c>
      <c r="AH72" s="36">
        <f t="shared" si="153"/>
        <v>0</v>
      </c>
      <c r="BH72" s="2" t="s">
        <v>434</v>
      </c>
      <c r="BI72" s="2">
        <v>3000</v>
      </c>
      <c r="BJ72" s="2">
        <v>600</v>
      </c>
      <c r="BN72" s="2">
        <v>3683</v>
      </c>
      <c r="CC72" s="2" t="s">
        <v>576</v>
      </c>
      <c r="CK72" s="5"/>
      <c r="CL72" s="5"/>
      <c r="CM72" s="5"/>
      <c r="DF72" s="160">
        <v>0.22500000000000001</v>
      </c>
      <c r="DG72" s="161">
        <v>0.05</v>
      </c>
      <c r="DH72" s="2">
        <v>1.0429999999999999</v>
      </c>
      <c r="DR72" s="5"/>
      <c r="DS72" s="5"/>
      <c r="DT72" s="5"/>
      <c r="DW72" s="147"/>
      <c r="EA72" s="147"/>
      <c r="EC72" s="148"/>
      <c r="EH72" s="150"/>
      <c r="EI72" s="5"/>
      <c r="EU72" s="5"/>
      <c r="EV72" s="5"/>
      <c r="EW72" s="77"/>
      <c r="EY72" s="163"/>
      <c r="FA72" s="164"/>
    </row>
    <row r="73" spans="2:157" ht="17.399999999999999" thickBot="1">
      <c r="B73" s="40" t="s">
        <v>558</v>
      </c>
      <c r="C73" s="41"/>
      <c r="D73" s="42">
        <f>D70/12</f>
        <v>0</v>
      </c>
      <c r="E73" s="42">
        <f t="shared" ref="E73:AH73" si="154">E70/12</f>
        <v>0</v>
      </c>
      <c r="F73" s="42">
        <f t="shared" si="154"/>
        <v>0</v>
      </c>
      <c r="G73" s="42">
        <f t="shared" si="154"/>
        <v>0</v>
      </c>
      <c r="H73" s="42">
        <f t="shared" si="154"/>
        <v>0</v>
      </c>
      <c r="I73" s="42">
        <f t="shared" si="154"/>
        <v>0</v>
      </c>
      <c r="J73" s="42">
        <f t="shared" si="154"/>
        <v>0</v>
      </c>
      <c r="K73" s="42">
        <f t="shared" si="154"/>
        <v>0</v>
      </c>
      <c r="L73" s="42">
        <f t="shared" si="154"/>
        <v>0</v>
      </c>
      <c r="M73" s="42">
        <f t="shared" si="154"/>
        <v>0</v>
      </c>
      <c r="N73" s="42">
        <f t="shared" si="154"/>
        <v>0</v>
      </c>
      <c r="O73" s="42">
        <f t="shared" si="154"/>
        <v>0</v>
      </c>
      <c r="P73" s="42">
        <f t="shared" si="154"/>
        <v>0</v>
      </c>
      <c r="Q73" s="42">
        <f t="shared" si="154"/>
        <v>0</v>
      </c>
      <c r="R73" s="42">
        <f t="shared" si="154"/>
        <v>0</v>
      </c>
      <c r="S73" s="42">
        <f t="shared" si="154"/>
        <v>0</v>
      </c>
      <c r="T73" s="42">
        <f t="shared" si="154"/>
        <v>0</v>
      </c>
      <c r="U73" s="42">
        <f t="shared" si="154"/>
        <v>0</v>
      </c>
      <c r="V73" s="42">
        <f t="shared" si="154"/>
        <v>0</v>
      </c>
      <c r="W73" s="42">
        <f t="shared" si="154"/>
        <v>0</v>
      </c>
      <c r="X73" s="42">
        <f t="shared" si="154"/>
        <v>0</v>
      </c>
      <c r="Y73" s="42">
        <f t="shared" si="154"/>
        <v>0</v>
      </c>
      <c r="Z73" s="42">
        <f t="shared" si="154"/>
        <v>0</v>
      </c>
      <c r="AA73" s="42">
        <f t="shared" si="154"/>
        <v>0</v>
      </c>
      <c r="AB73" s="42">
        <f t="shared" si="154"/>
        <v>0</v>
      </c>
      <c r="AC73" s="42">
        <f t="shared" si="154"/>
        <v>0</v>
      </c>
      <c r="AD73" s="42">
        <f t="shared" si="154"/>
        <v>0</v>
      </c>
      <c r="AE73" s="42">
        <f t="shared" si="154"/>
        <v>0</v>
      </c>
      <c r="AF73" s="42">
        <f t="shared" si="154"/>
        <v>0</v>
      </c>
      <c r="AG73" s="42">
        <f t="shared" si="154"/>
        <v>0</v>
      </c>
      <c r="AH73" s="42">
        <f t="shared" si="154"/>
        <v>0</v>
      </c>
      <c r="BH73" s="2" t="s">
        <v>434</v>
      </c>
      <c r="BI73" s="2">
        <v>400</v>
      </c>
      <c r="BJ73" s="2">
        <v>900</v>
      </c>
      <c r="BN73" s="2">
        <v>688</v>
      </c>
      <c r="CC73" s="2" t="s">
        <v>577</v>
      </c>
      <c r="CK73" s="5"/>
      <c r="CL73" s="5"/>
      <c r="CM73" s="5"/>
      <c r="DF73" s="158">
        <v>0.3</v>
      </c>
      <c r="DG73" s="159">
        <v>0.05</v>
      </c>
      <c r="DH73" s="2">
        <v>1.0489999999999999</v>
      </c>
      <c r="DR73" s="5"/>
      <c r="DS73" s="5"/>
      <c r="DT73" s="5"/>
      <c r="DW73" s="147"/>
      <c r="EA73" s="147"/>
      <c r="EC73" s="148"/>
      <c r="EH73" s="150"/>
      <c r="EI73" s="5"/>
      <c r="EU73" s="5"/>
      <c r="EV73" s="5"/>
      <c r="EW73" s="77"/>
      <c r="EY73" s="163"/>
      <c r="FA73" s="164"/>
    </row>
    <row r="74" spans="2:157">
      <c r="BH74" s="2" t="s">
        <v>434</v>
      </c>
      <c r="BI74" s="2">
        <v>500</v>
      </c>
      <c r="BJ74" s="2">
        <v>900</v>
      </c>
      <c r="BN74" s="2">
        <v>860</v>
      </c>
      <c r="CC74" s="2" t="s">
        <v>578</v>
      </c>
      <c r="CK74" s="5"/>
      <c r="CL74" s="5"/>
      <c r="CM74" s="5"/>
      <c r="DF74" s="160">
        <v>0.375</v>
      </c>
      <c r="DG74" s="161">
        <v>0.05</v>
      </c>
      <c r="DH74" s="2">
        <v>1.0509999999999999</v>
      </c>
      <c r="DR74" s="5"/>
      <c r="DS74" s="5"/>
      <c r="DT74" s="5"/>
      <c r="DW74" s="147"/>
      <c r="EA74" s="147"/>
      <c r="EC74" s="148"/>
      <c r="EH74" s="150"/>
      <c r="EI74" s="5"/>
      <c r="EU74" s="5"/>
      <c r="EV74" s="5"/>
      <c r="EW74" s="77"/>
      <c r="EY74" s="163"/>
      <c r="FA74" s="164"/>
    </row>
    <row r="75" spans="2:157" ht="17.399999999999999" thickBot="1">
      <c r="BH75" s="2" t="s">
        <v>434</v>
      </c>
      <c r="BI75" s="2">
        <v>600</v>
      </c>
      <c r="BJ75" s="2">
        <v>900</v>
      </c>
      <c r="BN75" s="2">
        <v>1032</v>
      </c>
      <c r="CC75" s="2" t="s">
        <v>579</v>
      </c>
      <c r="CK75" s="5"/>
      <c r="CL75" s="5"/>
      <c r="CM75" s="5"/>
      <c r="DF75" s="158">
        <v>0.05</v>
      </c>
      <c r="DG75" s="159">
        <v>0.1</v>
      </c>
      <c r="DH75" s="2">
        <v>1.012</v>
      </c>
      <c r="DR75" s="5"/>
      <c r="DS75" s="5"/>
      <c r="DT75" s="5"/>
      <c r="DW75" s="147"/>
      <c r="EA75" s="147"/>
      <c r="EC75" s="148"/>
      <c r="EH75" s="150"/>
      <c r="EI75" s="5"/>
      <c r="EU75" s="5"/>
      <c r="EV75" s="5"/>
      <c r="EW75" s="77"/>
      <c r="EY75" s="163"/>
      <c r="FA75" s="164"/>
    </row>
    <row r="76" spans="2:157" ht="19.2" thickBot="1">
      <c r="B76" s="68" t="s">
        <v>580</v>
      </c>
      <c r="C76" s="44"/>
      <c r="D76" s="4"/>
      <c r="E76" s="4"/>
      <c r="F76" s="4"/>
      <c r="G76" s="4"/>
      <c r="H76" s="4"/>
      <c r="I76" s="4"/>
      <c r="J76" s="4"/>
      <c r="K76" s="4"/>
      <c r="L76" s="4"/>
      <c r="M76" s="4"/>
      <c r="N76" s="4"/>
      <c r="O76" s="4"/>
      <c r="P76" s="4"/>
      <c r="Q76" s="4"/>
      <c r="R76" s="4"/>
      <c r="S76" s="4"/>
      <c r="T76" s="4"/>
      <c r="U76" s="4"/>
      <c r="V76" s="4"/>
      <c r="W76" s="4"/>
      <c r="X76" s="4"/>
      <c r="Y76" s="4"/>
      <c r="Z76" s="4"/>
      <c r="AA76" s="4"/>
      <c r="AB76" s="4"/>
      <c r="AC76" s="4"/>
      <c r="AD76" s="43"/>
      <c r="AE76" s="43"/>
      <c r="AF76" s="43"/>
      <c r="AG76" s="43"/>
      <c r="AH76" s="43"/>
      <c r="BH76" s="2" t="s">
        <v>434</v>
      </c>
      <c r="BI76" s="2">
        <v>700</v>
      </c>
      <c r="BJ76" s="2">
        <v>900</v>
      </c>
      <c r="BN76" s="2">
        <v>1204</v>
      </c>
      <c r="CC76" s="2" t="s">
        <v>434</v>
      </c>
      <c r="CK76" s="5"/>
      <c r="CL76" s="5"/>
      <c r="CM76" s="5"/>
      <c r="DF76" s="160">
        <v>7.4999999999999997E-2</v>
      </c>
      <c r="DG76" s="161">
        <v>0.1</v>
      </c>
      <c r="DH76" s="2">
        <v>1.016</v>
      </c>
      <c r="DR76" s="5"/>
      <c r="DS76" s="5"/>
      <c r="DT76" s="5"/>
      <c r="DW76" s="147"/>
      <c r="EA76" s="147"/>
      <c r="EC76" s="148"/>
      <c r="EH76" s="150"/>
      <c r="EI76" s="5"/>
      <c r="EU76" s="5"/>
      <c r="EV76" s="5"/>
      <c r="EW76" s="77"/>
      <c r="EY76" s="163"/>
      <c r="FA76" s="164"/>
    </row>
    <row r="77" spans="2:157" ht="17.399999999999999" thickBot="1">
      <c r="B77" s="56" t="s">
        <v>339</v>
      </c>
      <c r="C77" s="57"/>
      <c r="D77" s="58">
        <v>1</v>
      </c>
      <c r="E77" s="59">
        <v>2</v>
      </c>
      <c r="F77" s="59">
        <v>3</v>
      </c>
      <c r="G77" s="58">
        <v>4</v>
      </c>
      <c r="H77" s="59">
        <v>5</v>
      </c>
      <c r="I77" s="59">
        <v>6</v>
      </c>
      <c r="J77" s="58">
        <v>7</v>
      </c>
      <c r="K77" s="59">
        <v>8</v>
      </c>
      <c r="L77" s="59">
        <v>9</v>
      </c>
      <c r="M77" s="58">
        <v>10</v>
      </c>
      <c r="N77" s="59">
        <v>11</v>
      </c>
      <c r="O77" s="59">
        <v>12</v>
      </c>
      <c r="P77" s="58">
        <v>13</v>
      </c>
      <c r="Q77" s="59">
        <v>14</v>
      </c>
      <c r="R77" s="59">
        <v>15</v>
      </c>
      <c r="S77" s="58">
        <v>16</v>
      </c>
      <c r="T77" s="59">
        <v>17</v>
      </c>
      <c r="U77" s="59">
        <v>18</v>
      </c>
      <c r="V77" s="58">
        <v>19</v>
      </c>
      <c r="W77" s="59">
        <v>20</v>
      </c>
      <c r="X77" s="59">
        <v>21</v>
      </c>
      <c r="Y77" s="58">
        <v>22</v>
      </c>
      <c r="Z77" s="59">
        <v>23</v>
      </c>
      <c r="AA77" s="59">
        <v>24</v>
      </c>
      <c r="AB77" s="58">
        <v>25</v>
      </c>
      <c r="AC77" s="59">
        <v>26</v>
      </c>
      <c r="AD77" s="59">
        <v>27</v>
      </c>
      <c r="AE77" s="58">
        <v>28</v>
      </c>
      <c r="AF77" s="59">
        <v>29</v>
      </c>
      <c r="AG77" s="59">
        <v>30</v>
      </c>
      <c r="AH77" s="60">
        <v>31</v>
      </c>
      <c r="BH77" s="2" t="s">
        <v>434</v>
      </c>
      <c r="BI77" s="2">
        <v>800</v>
      </c>
      <c r="BJ77" s="2">
        <v>900</v>
      </c>
      <c r="BN77" s="2">
        <v>1376</v>
      </c>
      <c r="CC77" s="2" t="s">
        <v>565</v>
      </c>
      <c r="CK77" s="5"/>
      <c r="CL77" s="5"/>
      <c r="CM77" s="5"/>
      <c r="DF77" s="158">
        <v>0.1</v>
      </c>
      <c r="DG77" s="159">
        <v>0.1</v>
      </c>
      <c r="DH77" s="2">
        <v>1.022</v>
      </c>
      <c r="DR77" s="5"/>
      <c r="DS77" s="5"/>
      <c r="DT77" s="5"/>
      <c r="DW77" s="147"/>
      <c r="EA77" s="147"/>
      <c r="EC77" s="148"/>
      <c r="EH77" s="150"/>
      <c r="EI77" s="5"/>
      <c r="EU77" s="5"/>
      <c r="EV77" s="5"/>
      <c r="EW77" s="77"/>
      <c r="EY77" s="163"/>
      <c r="FA77" s="164"/>
    </row>
    <row r="78" spans="2:157">
      <c r="B78" s="69" t="s">
        <v>548</v>
      </c>
      <c r="C78" s="70"/>
      <c r="D78" s="45">
        <f>SUM(D79:D81)</f>
        <v>0</v>
      </c>
      <c r="E78" s="45">
        <f t="shared" ref="E78:AH78" si="155">SUM(E79:E81)</f>
        <v>0</v>
      </c>
      <c r="F78" s="45">
        <f t="shared" si="155"/>
        <v>0</v>
      </c>
      <c r="G78" s="45">
        <f t="shared" si="155"/>
        <v>0</v>
      </c>
      <c r="H78" s="45">
        <f t="shared" si="155"/>
        <v>0</v>
      </c>
      <c r="I78" s="45">
        <f t="shared" si="155"/>
        <v>0</v>
      </c>
      <c r="J78" s="45">
        <f t="shared" si="155"/>
        <v>0</v>
      </c>
      <c r="K78" s="45">
        <f t="shared" si="155"/>
        <v>0</v>
      </c>
      <c r="L78" s="45">
        <f t="shared" si="155"/>
        <v>0</v>
      </c>
      <c r="M78" s="45">
        <f t="shared" si="155"/>
        <v>0</v>
      </c>
      <c r="N78" s="45">
        <f t="shared" si="155"/>
        <v>0</v>
      </c>
      <c r="O78" s="45">
        <f t="shared" si="155"/>
        <v>0</v>
      </c>
      <c r="P78" s="45">
        <f t="shared" si="155"/>
        <v>0</v>
      </c>
      <c r="Q78" s="45">
        <f t="shared" si="155"/>
        <v>0</v>
      </c>
      <c r="R78" s="45">
        <f t="shared" si="155"/>
        <v>0</v>
      </c>
      <c r="S78" s="45">
        <f t="shared" si="155"/>
        <v>0</v>
      </c>
      <c r="T78" s="45">
        <f t="shared" si="155"/>
        <v>0</v>
      </c>
      <c r="U78" s="45">
        <f t="shared" si="155"/>
        <v>0</v>
      </c>
      <c r="V78" s="45">
        <f t="shared" si="155"/>
        <v>0</v>
      </c>
      <c r="W78" s="45">
        <f t="shared" si="155"/>
        <v>0</v>
      </c>
      <c r="X78" s="45">
        <f t="shared" si="155"/>
        <v>0</v>
      </c>
      <c r="Y78" s="45">
        <f t="shared" si="155"/>
        <v>0</v>
      </c>
      <c r="Z78" s="45">
        <f t="shared" si="155"/>
        <v>0</v>
      </c>
      <c r="AA78" s="45">
        <f t="shared" si="155"/>
        <v>0</v>
      </c>
      <c r="AB78" s="45">
        <f t="shared" si="155"/>
        <v>0</v>
      </c>
      <c r="AC78" s="45">
        <f t="shared" si="155"/>
        <v>0</v>
      </c>
      <c r="AD78" s="45">
        <f t="shared" si="155"/>
        <v>0</v>
      </c>
      <c r="AE78" s="45">
        <f t="shared" si="155"/>
        <v>0</v>
      </c>
      <c r="AF78" s="45">
        <f t="shared" si="155"/>
        <v>0</v>
      </c>
      <c r="AG78" s="45">
        <f t="shared" si="155"/>
        <v>0</v>
      </c>
      <c r="AH78" s="45">
        <f t="shared" si="155"/>
        <v>0</v>
      </c>
      <c r="BH78" s="2" t="s">
        <v>434</v>
      </c>
      <c r="BI78" s="2">
        <v>900</v>
      </c>
      <c r="BJ78" s="2">
        <v>900</v>
      </c>
      <c r="BN78" s="2">
        <v>1548</v>
      </c>
      <c r="CC78" s="2" t="s">
        <v>581</v>
      </c>
      <c r="CK78" s="5"/>
      <c r="CL78" s="5"/>
      <c r="CM78" s="5"/>
      <c r="DF78" s="160">
        <v>0.15</v>
      </c>
      <c r="DG78" s="161">
        <v>0.1</v>
      </c>
      <c r="DH78" s="2">
        <v>1.0289999999999999</v>
      </c>
      <c r="DR78" s="5"/>
      <c r="DS78" s="5"/>
      <c r="DT78" s="5"/>
      <c r="DW78" s="147"/>
      <c r="EA78" s="147"/>
      <c r="EC78" s="148"/>
      <c r="EH78" s="150"/>
      <c r="EI78" s="5"/>
      <c r="EU78" s="5"/>
      <c r="EV78" s="5"/>
      <c r="EW78" s="77"/>
      <c r="EY78" s="163"/>
      <c r="FA78" s="164"/>
    </row>
    <row r="79" spans="2:157">
      <c r="B79" s="38" t="s">
        <v>582</v>
      </c>
      <c r="C79" s="39"/>
      <c r="D79" s="45">
        <f>D29</f>
        <v>0</v>
      </c>
      <c r="E79" s="45">
        <f t="shared" ref="E79:AH79" si="156">E29</f>
        <v>0</v>
      </c>
      <c r="F79" s="45">
        <f t="shared" si="156"/>
        <v>0</v>
      </c>
      <c r="G79" s="45">
        <f t="shared" si="156"/>
        <v>0</v>
      </c>
      <c r="H79" s="45">
        <f t="shared" si="156"/>
        <v>0</v>
      </c>
      <c r="I79" s="45">
        <f t="shared" si="156"/>
        <v>0</v>
      </c>
      <c r="J79" s="45">
        <f t="shared" si="156"/>
        <v>0</v>
      </c>
      <c r="K79" s="45">
        <f t="shared" si="156"/>
        <v>0</v>
      </c>
      <c r="L79" s="45">
        <f t="shared" si="156"/>
        <v>0</v>
      </c>
      <c r="M79" s="45">
        <f t="shared" si="156"/>
        <v>0</v>
      </c>
      <c r="N79" s="45">
        <f t="shared" si="156"/>
        <v>0</v>
      </c>
      <c r="O79" s="45">
        <f t="shared" si="156"/>
        <v>0</v>
      </c>
      <c r="P79" s="45">
        <f t="shared" si="156"/>
        <v>0</v>
      </c>
      <c r="Q79" s="45">
        <f t="shared" si="156"/>
        <v>0</v>
      </c>
      <c r="R79" s="45">
        <f t="shared" si="156"/>
        <v>0</v>
      </c>
      <c r="S79" s="45">
        <f t="shared" si="156"/>
        <v>0</v>
      </c>
      <c r="T79" s="45">
        <f t="shared" si="156"/>
        <v>0</v>
      </c>
      <c r="U79" s="45">
        <f t="shared" si="156"/>
        <v>0</v>
      </c>
      <c r="V79" s="45">
        <f t="shared" si="156"/>
        <v>0</v>
      </c>
      <c r="W79" s="45">
        <f t="shared" si="156"/>
        <v>0</v>
      </c>
      <c r="X79" s="45">
        <f t="shared" si="156"/>
        <v>0</v>
      </c>
      <c r="Y79" s="45">
        <f t="shared" si="156"/>
        <v>0</v>
      </c>
      <c r="Z79" s="45">
        <f t="shared" si="156"/>
        <v>0</v>
      </c>
      <c r="AA79" s="45">
        <f t="shared" si="156"/>
        <v>0</v>
      </c>
      <c r="AB79" s="45">
        <f t="shared" si="156"/>
        <v>0</v>
      </c>
      <c r="AC79" s="45">
        <f t="shared" si="156"/>
        <v>0</v>
      </c>
      <c r="AD79" s="45">
        <f t="shared" si="156"/>
        <v>0</v>
      </c>
      <c r="AE79" s="45">
        <f t="shared" si="156"/>
        <v>0</v>
      </c>
      <c r="AF79" s="45">
        <f t="shared" si="156"/>
        <v>0</v>
      </c>
      <c r="AG79" s="45">
        <f t="shared" si="156"/>
        <v>0</v>
      </c>
      <c r="AH79" s="45">
        <f t="shared" si="156"/>
        <v>0</v>
      </c>
      <c r="BH79" s="2" t="s">
        <v>434</v>
      </c>
      <c r="BI79" s="2">
        <v>1000</v>
      </c>
      <c r="BJ79" s="2">
        <v>900</v>
      </c>
      <c r="BN79" s="2">
        <v>1720</v>
      </c>
      <c r="CC79" s="2" t="s">
        <v>573</v>
      </c>
      <c r="CK79" s="5"/>
      <c r="CL79" s="5"/>
      <c r="DF79" s="158">
        <v>0.2</v>
      </c>
      <c r="DG79" s="159">
        <v>0.1</v>
      </c>
      <c r="DH79" s="2">
        <v>1.0349999999999999</v>
      </c>
      <c r="DR79" s="5"/>
      <c r="DS79" s="5"/>
      <c r="DT79" s="5"/>
      <c r="DW79" s="147"/>
      <c r="EA79" s="147"/>
      <c r="EC79" s="148"/>
      <c r="EH79" s="150"/>
      <c r="EI79" s="5"/>
      <c r="EU79" s="5"/>
      <c r="EV79" s="5"/>
      <c r="EW79" s="77"/>
      <c r="EY79" s="163"/>
      <c r="FA79" s="164"/>
    </row>
    <row r="80" spans="2:157">
      <c r="B80" s="38" t="s">
        <v>583</v>
      </c>
      <c r="C80" s="39"/>
      <c r="D80" s="45">
        <f>D46</f>
        <v>0</v>
      </c>
      <c r="E80" s="45">
        <f t="shared" ref="E80:AH80" si="157">E46</f>
        <v>0</v>
      </c>
      <c r="F80" s="45">
        <f t="shared" si="157"/>
        <v>0</v>
      </c>
      <c r="G80" s="45">
        <f t="shared" si="157"/>
        <v>0</v>
      </c>
      <c r="H80" s="45">
        <f t="shared" si="157"/>
        <v>0</v>
      </c>
      <c r="I80" s="45">
        <f t="shared" si="157"/>
        <v>0</v>
      </c>
      <c r="J80" s="45">
        <f t="shared" si="157"/>
        <v>0</v>
      </c>
      <c r="K80" s="45">
        <f t="shared" si="157"/>
        <v>0</v>
      </c>
      <c r="L80" s="45">
        <f t="shared" si="157"/>
        <v>0</v>
      </c>
      <c r="M80" s="45">
        <f t="shared" si="157"/>
        <v>0</v>
      </c>
      <c r="N80" s="45">
        <f t="shared" si="157"/>
        <v>0</v>
      </c>
      <c r="O80" s="45">
        <f t="shared" si="157"/>
        <v>0</v>
      </c>
      <c r="P80" s="45">
        <f t="shared" si="157"/>
        <v>0</v>
      </c>
      <c r="Q80" s="45">
        <f t="shared" si="157"/>
        <v>0</v>
      </c>
      <c r="R80" s="45">
        <f t="shared" si="157"/>
        <v>0</v>
      </c>
      <c r="S80" s="45">
        <f t="shared" si="157"/>
        <v>0</v>
      </c>
      <c r="T80" s="45">
        <f t="shared" si="157"/>
        <v>0</v>
      </c>
      <c r="U80" s="45">
        <f t="shared" si="157"/>
        <v>0</v>
      </c>
      <c r="V80" s="45">
        <f t="shared" si="157"/>
        <v>0</v>
      </c>
      <c r="W80" s="45">
        <f t="shared" si="157"/>
        <v>0</v>
      </c>
      <c r="X80" s="45">
        <f t="shared" si="157"/>
        <v>0</v>
      </c>
      <c r="Y80" s="45">
        <f t="shared" si="157"/>
        <v>0</v>
      </c>
      <c r="Z80" s="45">
        <f t="shared" si="157"/>
        <v>0</v>
      </c>
      <c r="AA80" s="45">
        <f t="shared" si="157"/>
        <v>0</v>
      </c>
      <c r="AB80" s="45">
        <f t="shared" si="157"/>
        <v>0</v>
      </c>
      <c r="AC80" s="45">
        <f t="shared" si="157"/>
        <v>0</v>
      </c>
      <c r="AD80" s="45">
        <f t="shared" si="157"/>
        <v>0</v>
      </c>
      <c r="AE80" s="45">
        <f t="shared" si="157"/>
        <v>0</v>
      </c>
      <c r="AF80" s="45">
        <f t="shared" si="157"/>
        <v>0</v>
      </c>
      <c r="AG80" s="45">
        <f t="shared" si="157"/>
        <v>0</v>
      </c>
      <c r="AH80" s="45">
        <f t="shared" si="157"/>
        <v>0</v>
      </c>
      <c r="BH80" s="2" t="s">
        <v>434</v>
      </c>
      <c r="BI80" s="2">
        <v>1100</v>
      </c>
      <c r="BJ80" s="2">
        <v>900</v>
      </c>
      <c r="BN80" s="2">
        <v>1891</v>
      </c>
      <c r="CK80" s="5"/>
      <c r="CL80" s="5"/>
      <c r="CM80" s="5"/>
      <c r="DF80" s="160">
        <v>0.22500000000000001</v>
      </c>
      <c r="DG80" s="161">
        <v>0.1</v>
      </c>
      <c r="DH80" s="2">
        <v>1.038</v>
      </c>
      <c r="DR80" s="5"/>
      <c r="DS80" s="5"/>
      <c r="DT80" s="5"/>
      <c r="DW80" s="147"/>
      <c r="EA80" s="147"/>
      <c r="EC80" s="148"/>
      <c r="EH80" s="150"/>
      <c r="EI80" s="5"/>
      <c r="EU80" s="5"/>
      <c r="EV80" s="5"/>
      <c r="EW80" s="77"/>
      <c r="EY80" s="163"/>
      <c r="FA80" s="164"/>
    </row>
    <row r="81" spans="2:157">
      <c r="B81" s="38" t="s">
        <v>584</v>
      </c>
      <c r="C81" s="39"/>
      <c r="D81" s="45">
        <f>D63</f>
        <v>0</v>
      </c>
      <c r="E81" s="45">
        <f t="shared" ref="E81:AH81" si="158">E63</f>
        <v>0</v>
      </c>
      <c r="F81" s="45">
        <f t="shared" si="158"/>
        <v>0</v>
      </c>
      <c r="G81" s="45">
        <f t="shared" si="158"/>
        <v>0</v>
      </c>
      <c r="H81" s="45">
        <f t="shared" si="158"/>
        <v>0</v>
      </c>
      <c r="I81" s="45">
        <f t="shared" si="158"/>
        <v>0</v>
      </c>
      <c r="J81" s="45">
        <f t="shared" si="158"/>
        <v>0</v>
      </c>
      <c r="K81" s="45">
        <f t="shared" si="158"/>
        <v>0</v>
      </c>
      <c r="L81" s="45">
        <f t="shared" si="158"/>
        <v>0</v>
      </c>
      <c r="M81" s="45">
        <f t="shared" si="158"/>
        <v>0</v>
      </c>
      <c r="N81" s="45">
        <f t="shared" si="158"/>
        <v>0</v>
      </c>
      <c r="O81" s="45">
        <f t="shared" si="158"/>
        <v>0</v>
      </c>
      <c r="P81" s="45">
        <f t="shared" si="158"/>
        <v>0</v>
      </c>
      <c r="Q81" s="45">
        <f t="shared" si="158"/>
        <v>0</v>
      </c>
      <c r="R81" s="45">
        <f t="shared" si="158"/>
        <v>0</v>
      </c>
      <c r="S81" s="45">
        <f t="shared" si="158"/>
        <v>0</v>
      </c>
      <c r="T81" s="45">
        <f t="shared" si="158"/>
        <v>0</v>
      </c>
      <c r="U81" s="45">
        <f t="shared" si="158"/>
        <v>0</v>
      </c>
      <c r="V81" s="45">
        <f t="shared" si="158"/>
        <v>0</v>
      </c>
      <c r="W81" s="45">
        <f t="shared" si="158"/>
        <v>0</v>
      </c>
      <c r="X81" s="45">
        <f t="shared" si="158"/>
        <v>0</v>
      </c>
      <c r="Y81" s="45">
        <f t="shared" si="158"/>
        <v>0</v>
      </c>
      <c r="Z81" s="45">
        <f t="shared" si="158"/>
        <v>0</v>
      </c>
      <c r="AA81" s="45">
        <f t="shared" si="158"/>
        <v>0</v>
      </c>
      <c r="AB81" s="45">
        <f t="shared" si="158"/>
        <v>0</v>
      </c>
      <c r="AC81" s="45">
        <f t="shared" si="158"/>
        <v>0</v>
      </c>
      <c r="AD81" s="45">
        <f t="shared" si="158"/>
        <v>0</v>
      </c>
      <c r="AE81" s="45">
        <f t="shared" si="158"/>
        <v>0</v>
      </c>
      <c r="AF81" s="45">
        <f t="shared" si="158"/>
        <v>0</v>
      </c>
      <c r="AG81" s="45">
        <f t="shared" si="158"/>
        <v>0</v>
      </c>
      <c r="AH81" s="45">
        <f t="shared" si="158"/>
        <v>0</v>
      </c>
      <c r="BH81" s="2" t="s">
        <v>434</v>
      </c>
      <c r="BI81" s="2">
        <v>1200</v>
      </c>
      <c r="BJ81" s="2">
        <v>900</v>
      </c>
      <c r="BN81" s="2">
        <v>2063</v>
      </c>
      <c r="CK81" s="5"/>
      <c r="CL81" s="5"/>
      <c r="CM81" s="5"/>
      <c r="DF81" s="158">
        <v>0.3</v>
      </c>
      <c r="DG81" s="159">
        <v>0.1</v>
      </c>
      <c r="DH81" s="2">
        <v>1.044</v>
      </c>
      <c r="DR81" s="5"/>
      <c r="DS81" s="5"/>
      <c r="DT81" s="5"/>
      <c r="DW81" s="147"/>
      <c r="EA81" s="147"/>
      <c r="EC81" s="148"/>
      <c r="EH81" s="150"/>
      <c r="EI81" s="5"/>
      <c r="EU81" s="5"/>
      <c r="EV81" s="5"/>
      <c r="EW81" s="77"/>
      <c r="EY81" s="163"/>
      <c r="FA81" s="164"/>
    </row>
    <row r="82" spans="2:157">
      <c r="B82" s="46"/>
      <c r="BH82" s="2" t="s">
        <v>434</v>
      </c>
      <c r="BI82" s="2">
        <v>1400</v>
      </c>
      <c r="BJ82" s="2">
        <v>900</v>
      </c>
      <c r="BN82" s="2">
        <v>2407</v>
      </c>
      <c r="CK82" s="5"/>
      <c r="CL82" s="5"/>
      <c r="CM82" s="5"/>
      <c r="DF82" s="160">
        <v>0.375</v>
      </c>
      <c r="DG82" s="161">
        <v>0.1</v>
      </c>
      <c r="DH82" s="2">
        <v>1.046</v>
      </c>
      <c r="DR82" s="5"/>
      <c r="DS82" s="5"/>
      <c r="DT82" s="5"/>
      <c r="DW82" s="147"/>
      <c r="EA82" s="147"/>
      <c r="EC82" s="148"/>
      <c r="EH82" s="150"/>
      <c r="EI82" s="5"/>
      <c r="EU82" s="5"/>
      <c r="EV82" s="5"/>
      <c r="EW82" s="77"/>
      <c r="EY82" s="163"/>
      <c r="FA82" s="164"/>
    </row>
    <row r="83" spans="2:157">
      <c r="B83" s="31" t="s">
        <v>549</v>
      </c>
      <c r="C83" s="32"/>
      <c r="D83" s="36">
        <f>D64+D47+D30</f>
        <v>0</v>
      </c>
      <c r="E83" s="36">
        <f t="shared" ref="E83:AH83" si="159">E64+E47+E30</f>
        <v>0</v>
      </c>
      <c r="F83" s="36">
        <f t="shared" si="159"/>
        <v>0</v>
      </c>
      <c r="G83" s="36">
        <f t="shared" si="159"/>
        <v>0</v>
      </c>
      <c r="H83" s="36">
        <f t="shared" si="159"/>
        <v>0</v>
      </c>
      <c r="I83" s="36">
        <f t="shared" si="159"/>
        <v>0</v>
      </c>
      <c r="J83" s="36">
        <f t="shared" si="159"/>
        <v>0</v>
      </c>
      <c r="K83" s="36">
        <f t="shared" si="159"/>
        <v>0</v>
      </c>
      <c r="L83" s="36">
        <f t="shared" si="159"/>
        <v>0</v>
      </c>
      <c r="M83" s="36">
        <f t="shared" si="159"/>
        <v>0</v>
      </c>
      <c r="N83" s="36">
        <f t="shared" si="159"/>
        <v>0</v>
      </c>
      <c r="O83" s="36">
        <f t="shared" si="159"/>
        <v>0</v>
      </c>
      <c r="P83" s="36">
        <f t="shared" si="159"/>
        <v>0</v>
      </c>
      <c r="Q83" s="36">
        <f t="shared" si="159"/>
        <v>0</v>
      </c>
      <c r="R83" s="36">
        <f t="shared" si="159"/>
        <v>0</v>
      </c>
      <c r="S83" s="36">
        <f t="shared" si="159"/>
        <v>0</v>
      </c>
      <c r="T83" s="36">
        <f t="shared" si="159"/>
        <v>0</v>
      </c>
      <c r="U83" s="36">
        <f t="shared" si="159"/>
        <v>0</v>
      </c>
      <c r="V83" s="36">
        <f t="shared" si="159"/>
        <v>0</v>
      </c>
      <c r="W83" s="36">
        <f t="shared" si="159"/>
        <v>0</v>
      </c>
      <c r="X83" s="36">
        <f t="shared" si="159"/>
        <v>0</v>
      </c>
      <c r="Y83" s="36">
        <f t="shared" si="159"/>
        <v>0</v>
      </c>
      <c r="Z83" s="36">
        <f t="shared" si="159"/>
        <v>0</v>
      </c>
      <c r="AA83" s="36">
        <f t="shared" si="159"/>
        <v>0</v>
      </c>
      <c r="AB83" s="36">
        <f t="shared" si="159"/>
        <v>0</v>
      </c>
      <c r="AC83" s="36">
        <f t="shared" si="159"/>
        <v>0</v>
      </c>
      <c r="AD83" s="36">
        <f t="shared" si="159"/>
        <v>0</v>
      </c>
      <c r="AE83" s="36">
        <f t="shared" si="159"/>
        <v>0</v>
      </c>
      <c r="AF83" s="36">
        <f t="shared" si="159"/>
        <v>0</v>
      </c>
      <c r="AG83" s="36">
        <f t="shared" si="159"/>
        <v>0</v>
      </c>
      <c r="AH83" s="36">
        <f t="shared" si="159"/>
        <v>0</v>
      </c>
      <c r="BH83" s="2" t="s">
        <v>434</v>
      </c>
      <c r="BI83" s="2">
        <v>1600</v>
      </c>
      <c r="BJ83" s="2">
        <v>900</v>
      </c>
      <c r="BN83" s="2">
        <v>2751</v>
      </c>
      <c r="CK83" s="5"/>
      <c r="CL83" s="5"/>
      <c r="CM83" s="5"/>
      <c r="DF83" s="158">
        <v>0.05</v>
      </c>
      <c r="DG83" s="159">
        <v>0.15</v>
      </c>
      <c r="DH83" s="2">
        <v>1.0109999999999999</v>
      </c>
      <c r="DR83" s="5"/>
      <c r="DS83" s="5"/>
      <c r="DT83" s="5"/>
      <c r="DW83" s="147"/>
      <c r="EA83" s="147"/>
      <c r="EC83" s="148"/>
      <c r="EH83" s="150"/>
      <c r="EI83" s="5"/>
      <c r="EU83" s="5"/>
      <c r="EV83" s="5"/>
      <c r="EW83" s="77"/>
      <c r="EY83" s="163"/>
      <c r="FA83" s="164"/>
    </row>
    <row r="84" spans="2:157">
      <c r="B84" s="48" t="s">
        <v>585</v>
      </c>
      <c r="C84" s="49"/>
      <c r="D84" s="36">
        <f>D83</f>
        <v>0</v>
      </c>
      <c r="E84" s="36">
        <f>D84+E83</f>
        <v>0</v>
      </c>
      <c r="F84" s="36">
        <f>E84+F83</f>
        <v>0</v>
      </c>
      <c r="G84" s="36">
        <f>F84+G83</f>
        <v>0</v>
      </c>
      <c r="H84" s="36">
        <f>G84+H83</f>
        <v>0</v>
      </c>
      <c r="I84" s="36">
        <f t="shared" ref="I84:AH84" si="160">H84+I83</f>
        <v>0</v>
      </c>
      <c r="J84" s="36">
        <f>I84+J83</f>
        <v>0</v>
      </c>
      <c r="K84" s="36">
        <f t="shared" si="160"/>
        <v>0</v>
      </c>
      <c r="L84" s="36">
        <f t="shared" si="160"/>
        <v>0</v>
      </c>
      <c r="M84" s="36">
        <f t="shared" si="160"/>
        <v>0</v>
      </c>
      <c r="N84" s="36">
        <f t="shared" si="160"/>
        <v>0</v>
      </c>
      <c r="O84" s="36">
        <f t="shared" si="160"/>
        <v>0</v>
      </c>
      <c r="P84" s="36">
        <f t="shared" si="160"/>
        <v>0</v>
      </c>
      <c r="Q84" s="36">
        <f t="shared" si="160"/>
        <v>0</v>
      </c>
      <c r="R84" s="36">
        <f t="shared" si="160"/>
        <v>0</v>
      </c>
      <c r="S84" s="36">
        <f t="shared" si="160"/>
        <v>0</v>
      </c>
      <c r="T84" s="36">
        <f t="shared" si="160"/>
        <v>0</v>
      </c>
      <c r="U84" s="36">
        <f t="shared" si="160"/>
        <v>0</v>
      </c>
      <c r="V84" s="36">
        <f t="shared" si="160"/>
        <v>0</v>
      </c>
      <c r="W84" s="36">
        <f t="shared" si="160"/>
        <v>0</v>
      </c>
      <c r="X84" s="36">
        <f t="shared" si="160"/>
        <v>0</v>
      </c>
      <c r="Y84" s="36">
        <f t="shared" si="160"/>
        <v>0</v>
      </c>
      <c r="Z84" s="36">
        <f t="shared" si="160"/>
        <v>0</v>
      </c>
      <c r="AA84" s="36">
        <f t="shared" si="160"/>
        <v>0</v>
      </c>
      <c r="AB84" s="36">
        <f t="shared" si="160"/>
        <v>0</v>
      </c>
      <c r="AC84" s="36">
        <f t="shared" si="160"/>
        <v>0</v>
      </c>
      <c r="AD84" s="36">
        <f t="shared" si="160"/>
        <v>0</v>
      </c>
      <c r="AE84" s="36">
        <f t="shared" si="160"/>
        <v>0</v>
      </c>
      <c r="AF84" s="36">
        <f>AE84+AF83</f>
        <v>0</v>
      </c>
      <c r="AG84" s="36">
        <f t="shared" si="160"/>
        <v>0</v>
      </c>
      <c r="AH84" s="36">
        <f t="shared" si="160"/>
        <v>0</v>
      </c>
      <c r="BH84" s="2" t="s">
        <v>434</v>
      </c>
      <c r="BI84" s="2">
        <v>1800</v>
      </c>
      <c r="BJ84" s="2">
        <v>900</v>
      </c>
      <c r="BN84" s="2">
        <v>3095</v>
      </c>
      <c r="CK84" s="5"/>
      <c r="CL84" s="5"/>
      <c r="CM84" s="5"/>
      <c r="DF84" s="160">
        <v>7.4999999999999997E-2</v>
      </c>
      <c r="DG84" s="161">
        <v>0.15</v>
      </c>
      <c r="DH84" s="2">
        <v>1.014</v>
      </c>
      <c r="DR84" s="5"/>
      <c r="DS84" s="5"/>
      <c r="DT84" s="5"/>
      <c r="DW84" s="147"/>
      <c r="EA84" s="147"/>
      <c r="EC84" s="148"/>
      <c r="EH84" s="150"/>
      <c r="EI84" s="5"/>
      <c r="EU84" s="5"/>
      <c r="EV84" s="5"/>
      <c r="EW84" s="77"/>
      <c r="EY84" s="163"/>
      <c r="FA84" s="164"/>
    </row>
    <row r="85" spans="2:157">
      <c r="B85" s="48" t="s">
        <v>586</v>
      </c>
      <c r="C85" s="49"/>
      <c r="D85" s="50">
        <f>IF(D78=0,0,D83/D78)</f>
        <v>0</v>
      </c>
      <c r="E85" s="50">
        <f t="shared" ref="E85:AH85" si="161">IF(E78=0,0,E83/E78)</f>
        <v>0</v>
      </c>
      <c r="F85" s="50">
        <f t="shared" si="161"/>
        <v>0</v>
      </c>
      <c r="G85" s="50">
        <f t="shared" si="161"/>
        <v>0</v>
      </c>
      <c r="H85" s="50">
        <f t="shared" si="161"/>
        <v>0</v>
      </c>
      <c r="I85" s="50">
        <f t="shared" si="161"/>
        <v>0</v>
      </c>
      <c r="J85" s="50">
        <f t="shared" si="161"/>
        <v>0</v>
      </c>
      <c r="K85" s="50">
        <f t="shared" si="161"/>
        <v>0</v>
      </c>
      <c r="L85" s="50">
        <f t="shared" si="161"/>
        <v>0</v>
      </c>
      <c r="M85" s="50">
        <f t="shared" si="161"/>
        <v>0</v>
      </c>
      <c r="N85" s="50">
        <f t="shared" si="161"/>
        <v>0</v>
      </c>
      <c r="O85" s="50">
        <f t="shared" si="161"/>
        <v>0</v>
      </c>
      <c r="P85" s="50">
        <f t="shared" si="161"/>
        <v>0</v>
      </c>
      <c r="Q85" s="50">
        <f t="shared" si="161"/>
        <v>0</v>
      </c>
      <c r="R85" s="50">
        <f t="shared" si="161"/>
        <v>0</v>
      </c>
      <c r="S85" s="50">
        <f t="shared" si="161"/>
        <v>0</v>
      </c>
      <c r="T85" s="50">
        <f t="shared" si="161"/>
        <v>0</v>
      </c>
      <c r="U85" s="50">
        <f t="shared" si="161"/>
        <v>0</v>
      </c>
      <c r="V85" s="50">
        <f t="shared" si="161"/>
        <v>0</v>
      </c>
      <c r="W85" s="50">
        <f t="shared" si="161"/>
        <v>0</v>
      </c>
      <c r="X85" s="50">
        <f t="shared" si="161"/>
        <v>0</v>
      </c>
      <c r="Y85" s="50">
        <f t="shared" si="161"/>
        <v>0</v>
      </c>
      <c r="Z85" s="50">
        <f t="shared" si="161"/>
        <v>0</v>
      </c>
      <c r="AA85" s="50">
        <f t="shared" si="161"/>
        <v>0</v>
      </c>
      <c r="AB85" s="50">
        <f t="shared" si="161"/>
        <v>0</v>
      </c>
      <c r="AC85" s="50">
        <f t="shared" si="161"/>
        <v>0</v>
      </c>
      <c r="AD85" s="50">
        <f t="shared" si="161"/>
        <v>0</v>
      </c>
      <c r="AE85" s="50">
        <f t="shared" si="161"/>
        <v>0</v>
      </c>
      <c r="AF85" s="50">
        <f t="shared" si="161"/>
        <v>0</v>
      </c>
      <c r="AG85" s="50">
        <f t="shared" si="161"/>
        <v>0</v>
      </c>
      <c r="AH85" s="50">
        <f t="shared" si="161"/>
        <v>0</v>
      </c>
      <c r="BH85" s="2" t="s">
        <v>434</v>
      </c>
      <c r="BI85" s="2">
        <v>2000</v>
      </c>
      <c r="BJ85" s="2">
        <v>900</v>
      </c>
      <c r="BN85" s="2">
        <v>3439</v>
      </c>
      <c r="CK85" s="5"/>
      <c r="CL85" s="5"/>
      <c r="CM85" s="5"/>
      <c r="DF85" s="158">
        <v>0.1</v>
      </c>
      <c r="DG85" s="159">
        <v>0.15</v>
      </c>
      <c r="DH85" s="2">
        <v>1.018</v>
      </c>
      <c r="DR85" s="5"/>
      <c r="DS85" s="5"/>
      <c r="DT85" s="5"/>
      <c r="DW85" s="147"/>
      <c r="EA85" s="147"/>
      <c r="EC85" s="148"/>
      <c r="EH85" s="150"/>
      <c r="EI85" s="5"/>
      <c r="EU85" s="5"/>
      <c r="EV85" s="5"/>
      <c r="EW85" s="77"/>
      <c r="EY85" s="163"/>
      <c r="FA85" s="164"/>
    </row>
    <row r="86" spans="2:157">
      <c r="B86" s="48"/>
      <c r="C86" s="49"/>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BH86" s="2" t="s">
        <v>434</v>
      </c>
      <c r="BI86" s="2">
        <v>2200</v>
      </c>
      <c r="BJ86" s="2">
        <v>900</v>
      </c>
      <c r="BN86" s="2">
        <v>3783</v>
      </c>
      <c r="CK86" s="5"/>
      <c r="CL86" s="5"/>
      <c r="CM86" s="5"/>
      <c r="DF86" s="160">
        <v>0.15</v>
      </c>
      <c r="DG86" s="161">
        <v>0.15</v>
      </c>
      <c r="DH86" s="2">
        <v>1.024</v>
      </c>
      <c r="DR86" s="5"/>
      <c r="DS86" s="5"/>
      <c r="DT86" s="5"/>
      <c r="DW86" s="147"/>
      <c r="EA86" s="147"/>
      <c r="EC86" s="148"/>
      <c r="EH86" s="150"/>
      <c r="EI86" s="5"/>
      <c r="EU86" s="5"/>
      <c r="EV86" s="5"/>
      <c r="EW86" s="77"/>
      <c r="EY86" s="163"/>
      <c r="FA86" s="164"/>
    </row>
    <row r="87" spans="2:157">
      <c r="B87" s="31" t="s">
        <v>587</v>
      </c>
      <c r="C87" s="32"/>
      <c r="D87" s="36">
        <f>D67+D50+D33</f>
        <v>0</v>
      </c>
      <c r="E87" s="36">
        <f t="shared" ref="E87:AH87" si="162">E67+E50+E33</f>
        <v>0</v>
      </c>
      <c r="F87" s="36">
        <f t="shared" si="162"/>
        <v>0</v>
      </c>
      <c r="G87" s="36">
        <f t="shared" si="162"/>
        <v>0</v>
      </c>
      <c r="H87" s="36">
        <f t="shared" si="162"/>
        <v>0</v>
      </c>
      <c r="I87" s="36">
        <f t="shared" si="162"/>
        <v>0</v>
      </c>
      <c r="J87" s="36">
        <f t="shared" si="162"/>
        <v>0</v>
      </c>
      <c r="K87" s="36">
        <f t="shared" si="162"/>
        <v>0</v>
      </c>
      <c r="L87" s="36">
        <f t="shared" si="162"/>
        <v>0</v>
      </c>
      <c r="M87" s="36">
        <f t="shared" si="162"/>
        <v>0</v>
      </c>
      <c r="N87" s="36">
        <f t="shared" si="162"/>
        <v>0</v>
      </c>
      <c r="O87" s="36">
        <f t="shared" si="162"/>
        <v>0</v>
      </c>
      <c r="P87" s="36">
        <f t="shared" si="162"/>
        <v>0</v>
      </c>
      <c r="Q87" s="36">
        <f t="shared" si="162"/>
        <v>0</v>
      </c>
      <c r="R87" s="36">
        <f t="shared" si="162"/>
        <v>0</v>
      </c>
      <c r="S87" s="36">
        <f t="shared" si="162"/>
        <v>0</v>
      </c>
      <c r="T87" s="36">
        <f t="shared" si="162"/>
        <v>0</v>
      </c>
      <c r="U87" s="36">
        <f t="shared" si="162"/>
        <v>0</v>
      </c>
      <c r="V87" s="36">
        <f t="shared" si="162"/>
        <v>0</v>
      </c>
      <c r="W87" s="36">
        <f t="shared" si="162"/>
        <v>0</v>
      </c>
      <c r="X87" s="36">
        <f t="shared" si="162"/>
        <v>0</v>
      </c>
      <c r="Y87" s="36">
        <f t="shared" si="162"/>
        <v>0</v>
      </c>
      <c r="Z87" s="36">
        <f t="shared" si="162"/>
        <v>0</v>
      </c>
      <c r="AA87" s="36">
        <f t="shared" si="162"/>
        <v>0</v>
      </c>
      <c r="AB87" s="36">
        <f t="shared" si="162"/>
        <v>0</v>
      </c>
      <c r="AC87" s="36">
        <f t="shared" si="162"/>
        <v>0</v>
      </c>
      <c r="AD87" s="36">
        <f t="shared" si="162"/>
        <v>0</v>
      </c>
      <c r="AE87" s="36">
        <f t="shared" si="162"/>
        <v>0</v>
      </c>
      <c r="AF87" s="36">
        <f t="shared" si="162"/>
        <v>0</v>
      </c>
      <c r="AG87" s="36">
        <f t="shared" si="162"/>
        <v>0</v>
      </c>
      <c r="AH87" s="36">
        <f t="shared" si="162"/>
        <v>0</v>
      </c>
      <c r="BH87" s="2" t="s">
        <v>434</v>
      </c>
      <c r="BI87" s="2">
        <v>2300</v>
      </c>
      <c r="BJ87" s="2">
        <v>900</v>
      </c>
      <c r="BN87" s="2">
        <v>3874</v>
      </c>
      <c r="CK87" s="5"/>
      <c r="CL87" s="5"/>
      <c r="CM87" s="5"/>
      <c r="DF87" s="158">
        <v>0.2</v>
      </c>
      <c r="DG87" s="159">
        <v>0.15</v>
      </c>
      <c r="DH87" s="2">
        <v>1.03</v>
      </c>
      <c r="DR87" s="5"/>
      <c r="DS87" s="5"/>
      <c r="DT87" s="5"/>
      <c r="DW87" s="147"/>
      <c r="EA87" s="147"/>
      <c r="EC87" s="148"/>
      <c r="EH87" s="150"/>
      <c r="EI87" s="5"/>
      <c r="EU87" s="5"/>
      <c r="EV87" s="5"/>
      <c r="EW87" s="77"/>
      <c r="EY87" s="163"/>
      <c r="FA87" s="164"/>
    </row>
    <row r="88" spans="2:157">
      <c r="B88" s="38" t="s">
        <v>554</v>
      </c>
      <c r="C88" s="39"/>
      <c r="D88" s="33">
        <f>IF(D78=0,0,D87/D78)</f>
        <v>0</v>
      </c>
      <c r="E88" s="33">
        <f t="shared" ref="E88:AH88" si="163">IF(E78=0,0,E87/E78)</f>
        <v>0</v>
      </c>
      <c r="F88" s="33">
        <f t="shared" si="163"/>
        <v>0</v>
      </c>
      <c r="G88" s="33">
        <f t="shared" si="163"/>
        <v>0</v>
      </c>
      <c r="H88" s="33">
        <f t="shared" si="163"/>
        <v>0</v>
      </c>
      <c r="I88" s="33">
        <f t="shared" si="163"/>
        <v>0</v>
      </c>
      <c r="J88" s="33">
        <f t="shared" si="163"/>
        <v>0</v>
      </c>
      <c r="K88" s="33">
        <f t="shared" si="163"/>
        <v>0</v>
      </c>
      <c r="L88" s="33">
        <f t="shared" si="163"/>
        <v>0</v>
      </c>
      <c r="M88" s="33">
        <f t="shared" si="163"/>
        <v>0</v>
      </c>
      <c r="N88" s="33">
        <f t="shared" si="163"/>
        <v>0</v>
      </c>
      <c r="O88" s="33">
        <f t="shared" si="163"/>
        <v>0</v>
      </c>
      <c r="P88" s="33">
        <f t="shared" si="163"/>
        <v>0</v>
      </c>
      <c r="Q88" s="33">
        <f t="shared" si="163"/>
        <v>0</v>
      </c>
      <c r="R88" s="33">
        <f t="shared" si="163"/>
        <v>0</v>
      </c>
      <c r="S88" s="33">
        <f t="shared" si="163"/>
        <v>0</v>
      </c>
      <c r="T88" s="33">
        <f t="shared" si="163"/>
        <v>0</v>
      </c>
      <c r="U88" s="33">
        <f t="shared" si="163"/>
        <v>0</v>
      </c>
      <c r="V88" s="33">
        <f t="shared" si="163"/>
        <v>0</v>
      </c>
      <c r="W88" s="33">
        <f t="shared" si="163"/>
        <v>0</v>
      </c>
      <c r="X88" s="33">
        <f t="shared" si="163"/>
        <v>0</v>
      </c>
      <c r="Y88" s="33">
        <f t="shared" si="163"/>
        <v>0</v>
      </c>
      <c r="Z88" s="33">
        <f t="shared" si="163"/>
        <v>0</v>
      </c>
      <c r="AA88" s="33">
        <f t="shared" si="163"/>
        <v>0</v>
      </c>
      <c r="AB88" s="33">
        <f t="shared" si="163"/>
        <v>0</v>
      </c>
      <c r="AC88" s="33">
        <f t="shared" si="163"/>
        <v>0</v>
      </c>
      <c r="AD88" s="33">
        <f t="shared" si="163"/>
        <v>0</v>
      </c>
      <c r="AE88" s="33">
        <f t="shared" si="163"/>
        <v>0</v>
      </c>
      <c r="AF88" s="33">
        <f t="shared" si="163"/>
        <v>0</v>
      </c>
      <c r="AG88" s="33">
        <f t="shared" si="163"/>
        <v>0</v>
      </c>
      <c r="AH88" s="33">
        <f t="shared" si="163"/>
        <v>0</v>
      </c>
      <c r="BH88" s="2" t="s">
        <v>434</v>
      </c>
      <c r="BI88" s="2">
        <v>2600</v>
      </c>
      <c r="BJ88" s="2">
        <v>900</v>
      </c>
      <c r="BN88" s="2">
        <v>4379</v>
      </c>
      <c r="CK88" s="5"/>
      <c r="CL88" s="5"/>
      <c r="CM88" s="5"/>
      <c r="DF88" s="160">
        <v>0.22500000000000001</v>
      </c>
      <c r="DG88" s="161">
        <v>0.15</v>
      </c>
      <c r="DH88" s="2">
        <v>1.0329999999999999</v>
      </c>
      <c r="DR88" s="5"/>
      <c r="DS88" s="5"/>
      <c r="DT88" s="5"/>
      <c r="DW88" s="147"/>
      <c r="EA88" s="147"/>
      <c r="EC88" s="148"/>
      <c r="EH88" s="150"/>
      <c r="EI88" s="5"/>
      <c r="EU88" s="5"/>
      <c r="EV88" s="5"/>
      <c r="EW88" s="77"/>
      <c r="EY88" s="163"/>
      <c r="FA88" s="164"/>
    </row>
    <row r="89" spans="2:157">
      <c r="B89" s="38"/>
      <c r="C89" s="39"/>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BH89" s="2" t="s">
        <v>434</v>
      </c>
      <c r="BI89" s="2">
        <v>3000</v>
      </c>
      <c r="BJ89" s="2">
        <v>900</v>
      </c>
      <c r="BN89" s="2">
        <v>5052</v>
      </c>
      <c r="CK89" s="5"/>
      <c r="CL89" s="5"/>
      <c r="CM89" s="5"/>
      <c r="DF89" s="158">
        <v>0.3</v>
      </c>
      <c r="DG89" s="159">
        <v>0.15</v>
      </c>
      <c r="DH89" s="2">
        <v>1.0389999999999999</v>
      </c>
      <c r="DR89" s="5"/>
      <c r="DS89" s="5"/>
      <c r="DT89" s="5"/>
      <c r="DW89" s="147"/>
      <c r="EA89" s="147"/>
      <c r="EC89" s="148"/>
      <c r="EH89" s="150"/>
      <c r="EI89" s="5"/>
      <c r="EU89" s="5"/>
      <c r="EV89" s="5"/>
      <c r="EW89" s="77"/>
      <c r="EY89" s="163"/>
      <c r="FA89" s="164"/>
    </row>
    <row r="90" spans="2:157">
      <c r="B90" s="31" t="s">
        <v>555</v>
      </c>
      <c r="C90" s="32"/>
      <c r="D90" s="36">
        <f>D83+D87</f>
        <v>0</v>
      </c>
      <c r="E90" s="36">
        <f t="shared" ref="E90:AH90" si="164">E83+E87</f>
        <v>0</v>
      </c>
      <c r="F90" s="36">
        <f t="shared" si="164"/>
        <v>0</v>
      </c>
      <c r="G90" s="36">
        <f t="shared" si="164"/>
        <v>0</v>
      </c>
      <c r="H90" s="36">
        <f t="shared" si="164"/>
        <v>0</v>
      </c>
      <c r="I90" s="36">
        <f t="shared" si="164"/>
        <v>0</v>
      </c>
      <c r="J90" s="36">
        <f t="shared" si="164"/>
        <v>0</v>
      </c>
      <c r="K90" s="36">
        <f t="shared" si="164"/>
        <v>0</v>
      </c>
      <c r="L90" s="36">
        <f t="shared" si="164"/>
        <v>0</v>
      </c>
      <c r="M90" s="36">
        <f t="shared" si="164"/>
        <v>0</v>
      </c>
      <c r="N90" s="36">
        <f t="shared" si="164"/>
        <v>0</v>
      </c>
      <c r="O90" s="36">
        <f t="shared" si="164"/>
        <v>0</v>
      </c>
      <c r="P90" s="36">
        <f t="shared" si="164"/>
        <v>0</v>
      </c>
      <c r="Q90" s="36">
        <f t="shared" si="164"/>
        <v>0</v>
      </c>
      <c r="R90" s="36">
        <f t="shared" si="164"/>
        <v>0</v>
      </c>
      <c r="S90" s="36">
        <f t="shared" si="164"/>
        <v>0</v>
      </c>
      <c r="T90" s="36">
        <f t="shared" si="164"/>
        <v>0</v>
      </c>
      <c r="U90" s="36">
        <f t="shared" si="164"/>
        <v>0</v>
      </c>
      <c r="V90" s="36">
        <f t="shared" si="164"/>
        <v>0</v>
      </c>
      <c r="W90" s="36">
        <f t="shared" si="164"/>
        <v>0</v>
      </c>
      <c r="X90" s="36">
        <f t="shared" si="164"/>
        <v>0</v>
      </c>
      <c r="Y90" s="36">
        <f t="shared" si="164"/>
        <v>0</v>
      </c>
      <c r="Z90" s="36">
        <f t="shared" si="164"/>
        <v>0</v>
      </c>
      <c r="AA90" s="36">
        <f t="shared" si="164"/>
        <v>0</v>
      </c>
      <c r="AB90" s="36">
        <f t="shared" si="164"/>
        <v>0</v>
      </c>
      <c r="AC90" s="36">
        <f t="shared" si="164"/>
        <v>0</v>
      </c>
      <c r="AD90" s="36">
        <f t="shared" si="164"/>
        <v>0</v>
      </c>
      <c r="AE90" s="36">
        <f t="shared" si="164"/>
        <v>0</v>
      </c>
      <c r="AF90" s="36">
        <f t="shared" si="164"/>
        <v>0</v>
      </c>
      <c r="AG90" s="36">
        <f t="shared" si="164"/>
        <v>0</v>
      </c>
      <c r="AH90" s="36">
        <f t="shared" si="164"/>
        <v>0</v>
      </c>
      <c r="BH90" s="2" t="s">
        <v>579</v>
      </c>
      <c r="BI90" s="2">
        <v>400</v>
      </c>
      <c r="BJ90" s="2">
        <v>300</v>
      </c>
      <c r="BN90" s="2">
        <v>167</v>
      </c>
      <c r="CK90" s="5"/>
      <c r="CL90" s="5"/>
      <c r="CM90" s="5"/>
      <c r="DF90" s="160">
        <v>0.375</v>
      </c>
      <c r="DG90" s="161">
        <v>0.15</v>
      </c>
      <c r="DH90" s="2">
        <v>1.042</v>
      </c>
      <c r="DR90" s="5"/>
      <c r="DS90" s="5"/>
      <c r="DT90" s="5"/>
      <c r="DW90" s="147"/>
      <c r="EA90" s="147"/>
      <c r="EC90" s="148"/>
      <c r="EH90" s="150"/>
      <c r="EI90" s="5"/>
    </row>
    <row r="91" spans="2:157">
      <c r="B91" s="31" t="s">
        <v>557</v>
      </c>
      <c r="C91" s="32"/>
      <c r="D91" s="36">
        <f>D78-D87</f>
        <v>0</v>
      </c>
      <c r="E91" s="36">
        <f t="shared" ref="E91:AH91" si="165">E78-E87</f>
        <v>0</v>
      </c>
      <c r="F91" s="36">
        <f t="shared" si="165"/>
        <v>0</v>
      </c>
      <c r="G91" s="36">
        <f t="shared" si="165"/>
        <v>0</v>
      </c>
      <c r="H91" s="36">
        <f t="shared" si="165"/>
        <v>0</v>
      </c>
      <c r="I91" s="36">
        <f t="shared" si="165"/>
        <v>0</v>
      </c>
      <c r="J91" s="36">
        <f t="shared" si="165"/>
        <v>0</v>
      </c>
      <c r="K91" s="36">
        <f t="shared" si="165"/>
        <v>0</v>
      </c>
      <c r="L91" s="36">
        <f t="shared" si="165"/>
        <v>0</v>
      </c>
      <c r="M91" s="36">
        <f t="shared" si="165"/>
        <v>0</v>
      </c>
      <c r="N91" s="36">
        <f t="shared" si="165"/>
        <v>0</v>
      </c>
      <c r="O91" s="36">
        <f t="shared" si="165"/>
        <v>0</v>
      </c>
      <c r="P91" s="36">
        <f t="shared" si="165"/>
        <v>0</v>
      </c>
      <c r="Q91" s="36">
        <f t="shared" si="165"/>
        <v>0</v>
      </c>
      <c r="R91" s="36">
        <f t="shared" si="165"/>
        <v>0</v>
      </c>
      <c r="S91" s="36">
        <f t="shared" si="165"/>
        <v>0</v>
      </c>
      <c r="T91" s="36">
        <f t="shared" si="165"/>
        <v>0</v>
      </c>
      <c r="U91" s="36">
        <f t="shared" si="165"/>
        <v>0</v>
      </c>
      <c r="V91" s="36">
        <f t="shared" si="165"/>
        <v>0</v>
      </c>
      <c r="W91" s="36">
        <f t="shared" si="165"/>
        <v>0</v>
      </c>
      <c r="X91" s="36">
        <f t="shared" si="165"/>
        <v>0</v>
      </c>
      <c r="Y91" s="36">
        <f t="shared" si="165"/>
        <v>0</v>
      </c>
      <c r="Z91" s="36">
        <f t="shared" si="165"/>
        <v>0</v>
      </c>
      <c r="AA91" s="36">
        <f t="shared" si="165"/>
        <v>0</v>
      </c>
      <c r="AB91" s="36">
        <f t="shared" si="165"/>
        <v>0</v>
      </c>
      <c r="AC91" s="36">
        <f t="shared" si="165"/>
        <v>0</v>
      </c>
      <c r="AD91" s="36">
        <f t="shared" si="165"/>
        <v>0</v>
      </c>
      <c r="AE91" s="36">
        <f t="shared" si="165"/>
        <v>0</v>
      </c>
      <c r="AF91" s="36">
        <f t="shared" si="165"/>
        <v>0</v>
      </c>
      <c r="AG91" s="36">
        <f t="shared" si="165"/>
        <v>0</v>
      </c>
      <c r="AH91" s="36">
        <f t="shared" si="165"/>
        <v>0</v>
      </c>
      <c r="BH91" s="2" t="s">
        <v>579</v>
      </c>
      <c r="BI91" s="2">
        <v>500</v>
      </c>
      <c r="BJ91" s="2">
        <v>300</v>
      </c>
      <c r="BN91" s="2">
        <v>209</v>
      </c>
      <c r="CK91" s="5"/>
      <c r="CL91" s="5"/>
      <c r="CM91" s="5"/>
      <c r="DR91" s="5"/>
      <c r="DS91" s="5"/>
      <c r="DT91" s="5"/>
      <c r="DW91" s="147"/>
      <c r="EA91" s="147"/>
      <c r="EC91" s="148"/>
      <c r="EH91" s="150"/>
      <c r="EI91" s="5"/>
    </row>
    <row r="92" spans="2:157" ht="17.399999999999999" thickBot="1">
      <c r="B92" s="40" t="s">
        <v>558</v>
      </c>
      <c r="C92" s="41"/>
      <c r="D92" s="42">
        <f>D90/12</f>
        <v>0</v>
      </c>
      <c r="E92" s="42">
        <f t="shared" ref="E92:AH92" si="166">E90/12</f>
        <v>0</v>
      </c>
      <c r="F92" s="42">
        <f t="shared" si="166"/>
        <v>0</v>
      </c>
      <c r="G92" s="42">
        <f t="shared" si="166"/>
        <v>0</v>
      </c>
      <c r="H92" s="42">
        <f t="shared" si="166"/>
        <v>0</v>
      </c>
      <c r="I92" s="42">
        <f t="shared" si="166"/>
        <v>0</v>
      </c>
      <c r="J92" s="42">
        <f t="shared" si="166"/>
        <v>0</v>
      </c>
      <c r="K92" s="42">
        <f t="shared" si="166"/>
        <v>0</v>
      </c>
      <c r="L92" s="42">
        <f t="shared" si="166"/>
        <v>0</v>
      </c>
      <c r="M92" s="42">
        <f t="shared" si="166"/>
        <v>0</v>
      </c>
      <c r="N92" s="42">
        <f t="shared" si="166"/>
        <v>0</v>
      </c>
      <c r="O92" s="42">
        <f t="shared" si="166"/>
        <v>0</v>
      </c>
      <c r="P92" s="42">
        <f t="shared" si="166"/>
        <v>0</v>
      </c>
      <c r="Q92" s="42">
        <f t="shared" si="166"/>
        <v>0</v>
      </c>
      <c r="R92" s="42">
        <f t="shared" si="166"/>
        <v>0</v>
      </c>
      <c r="S92" s="42">
        <f t="shared" si="166"/>
        <v>0</v>
      </c>
      <c r="T92" s="42">
        <f t="shared" si="166"/>
        <v>0</v>
      </c>
      <c r="U92" s="42">
        <f t="shared" si="166"/>
        <v>0</v>
      </c>
      <c r="V92" s="42">
        <f t="shared" si="166"/>
        <v>0</v>
      </c>
      <c r="W92" s="42">
        <f t="shared" si="166"/>
        <v>0</v>
      </c>
      <c r="X92" s="42">
        <f t="shared" si="166"/>
        <v>0</v>
      </c>
      <c r="Y92" s="42">
        <f t="shared" si="166"/>
        <v>0</v>
      </c>
      <c r="Z92" s="42">
        <f t="shared" si="166"/>
        <v>0</v>
      </c>
      <c r="AA92" s="42">
        <f t="shared" si="166"/>
        <v>0</v>
      </c>
      <c r="AB92" s="42">
        <f t="shared" si="166"/>
        <v>0</v>
      </c>
      <c r="AC92" s="42">
        <f t="shared" si="166"/>
        <v>0</v>
      </c>
      <c r="AD92" s="42">
        <f t="shared" si="166"/>
        <v>0</v>
      </c>
      <c r="AE92" s="42">
        <f t="shared" si="166"/>
        <v>0</v>
      </c>
      <c r="AF92" s="42">
        <f t="shared" si="166"/>
        <v>0</v>
      </c>
      <c r="AG92" s="42">
        <f t="shared" si="166"/>
        <v>0</v>
      </c>
      <c r="AH92" s="42">
        <f t="shared" si="166"/>
        <v>0</v>
      </c>
      <c r="BH92" s="2" t="s">
        <v>579</v>
      </c>
      <c r="BI92" s="2">
        <v>600</v>
      </c>
      <c r="BJ92" s="2">
        <v>300</v>
      </c>
      <c r="BN92" s="2">
        <v>251</v>
      </c>
      <c r="CK92" s="5"/>
      <c r="CL92" s="5"/>
      <c r="CM92" s="5"/>
      <c r="DR92" s="5"/>
      <c r="DS92" s="5"/>
      <c r="DT92" s="5"/>
      <c r="DW92" s="147"/>
      <c r="EA92" s="147"/>
      <c r="EC92" s="148"/>
      <c r="EH92" s="150"/>
      <c r="EI92" s="5"/>
    </row>
    <row r="93" spans="2:157">
      <c r="BH93" s="2" t="s">
        <v>579</v>
      </c>
      <c r="BI93" s="2">
        <v>700</v>
      </c>
      <c r="BJ93" s="2">
        <v>300</v>
      </c>
      <c r="BN93" s="2">
        <v>293</v>
      </c>
      <c r="CK93" s="5"/>
      <c r="CL93" s="5"/>
      <c r="CM93" s="5"/>
      <c r="DR93" s="5"/>
      <c r="DS93" s="5"/>
      <c r="DT93" s="5"/>
      <c r="DW93" s="147"/>
      <c r="EA93" s="147"/>
      <c r="EC93" s="148"/>
      <c r="EH93" s="150"/>
      <c r="EI93" s="5"/>
    </row>
    <row r="94" spans="2:157" ht="29.4">
      <c r="B94" s="534" t="s">
        <v>588</v>
      </c>
      <c r="BH94" s="2" t="s">
        <v>579</v>
      </c>
      <c r="BI94" s="2">
        <v>800</v>
      </c>
      <c r="BJ94" s="2">
        <v>300</v>
      </c>
      <c r="BN94" s="2">
        <v>334</v>
      </c>
      <c r="CK94" s="5"/>
      <c r="CL94" s="5"/>
      <c r="CM94" s="5"/>
      <c r="DR94" s="5"/>
      <c r="DS94" s="5"/>
      <c r="DT94" s="5"/>
      <c r="DW94" s="147"/>
      <c r="EA94" s="147"/>
      <c r="EC94" s="148"/>
      <c r="EH94" s="150"/>
      <c r="EI94" s="5"/>
    </row>
    <row r="95" spans="2:157">
      <c r="B95" s="23" t="s">
        <v>589</v>
      </c>
      <c r="C95" s="23">
        <f>Allgemein!$C$142</f>
        <v>0.04</v>
      </c>
      <c r="E95" s="2" t="s">
        <v>590</v>
      </c>
      <c r="G95" s="2">
        <f>Allgemein!E54*Allgemein!$C$40</f>
        <v>0</v>
      </c>
      <c r="I95" s="2" t="s">
        <v>591</v>
      </c>
      <c r="J95" s="2">
        <f>_xlfn.XLOOKUP(Allgemein!C50,Heizungspositionen[Position Heizung],Heizungspositionen[Wärmepumpe:],,0,1)</f>
        <v>0</v>
      </c>
      <c r="M95" s="2" t="s">
        <v>592</v>
      </c>
      <c r="N95" s="1121">
        <f>0.65</f>
        <v>0.65</v>
      </c>
      <c r="O95" s="2" t="s">
        <v>593</v>
      </c>
      <c r="P95" s="185">
        <f>Allgemein!O38+IF(J95="Ja",Datenbank!G96,0)</f>
        <v>0</v>
      </c>
      <c r="Q95" s="2" t="s">
        <v>594</v>
      </c>
      <c r="S95" s="185" t="e">
        <f>P96-U95</f>
        <v>#N/A</v>
      </c>
      <c r="T95" s="2" t="s">
        <v>235</v>
      </c>
      <c r="U95" s="2">
        <f>P95*N95</f>
        <v>0</v>
      </c>
      <c r="BH95" s="2" t="s">
        <v>579</v>
      </c>
      <c r="BI95" s="2">
        <v>900</v>
      </c>
      <c r="BJ95" s="2">
        <v>300</v>
      </c>
      <c r="BN95" s="2">
        <v>376</v>
      </c>
      <c r="CK95" s="5"/>
      <c r="CL95" s="5"/>
      <c r="CM95" s="5"/>
      <c r="DR95" s="5"/>
      <c r="DS95" s="5"/>
      <c r="DT95" s="5"/>
      <c r="DW95" s="147"/>
      <c r="EA95" s="147"/>
      <c r="EC95" s="148"/>
      <c r="EH95" s="150"/>
      <c r="EI95" s="5"/>
    </row>
    <row r="96" spans="2:157">
      <c r="B96" s="51" t="s">
        <v>595</v>
      </c>
      <c r="C96" s="23">
        <f>Allgemein!$C$140</f>
        <v>0.02</v>
      </c>
      <c r="E96" s="2" t="s">
        <v>596</v>
      </c>
      <c r="G96" s="1120">
        <f>(G95*1.2+500*Allgemein!C16)/3.5</f>
        <v>0</v>
      </c>
      <c r="I96" s="2" t="s">
        <v>597</v>
      </c>
      <c r="J96" s="2" t="str">
        <f>IF(Allgemein!C51="-","Nein","Ja")</f>
        <v>Nein</v>
      </c>
      <c r="K96" s="186" t="str">
        <f>Allgemein!C51</f>
        <v>-</v>
      </c>
      <c r="M96" s="2" t="s">
        <v>598</v>
      </c>
      <c r="N96" s="23" t="e">
        <f>U95/P96</f>
        <v>#N/A</v>
      </c>
      <c r="O96" s="2" t="s">
        <v>599</v>
      </c>
      <c r="P96" s="2" t="e">
        <f>_xlfn.TEXTBEFORE(K96," ")*900</f>
        <v>#N/A</v>
      </c>
      <c r="Q96" s="2" t="s">
        <v>600</v>
      </c>
      <c r="S96" s="185">
        <f>P95-U95</f>
        <v>0</v>
      </c>
      <c r="BH96" s="2" t="s">
        <v>579</v>
      </c>
      <c r="BI96" s="2">
        <v>1000</v>
      </c>
      <c r="BJ96" s="2">
        <v>300</v>
      </c>
      <c r="BN96" s="2">
        <v>418</v>
      </c>
      <c r="CK96" s="5"/>
      <c r="CL96" s="5"/>
      <c r="CM96" s="5"/>
      <c r="DR96" s="5"/>
      <c r="DS96" s="5"/>
      <c r="DT96" s="5"/>
      <c r="DW96" s="147"/>
      <c r="EA96" s="147"/>
      <c r="EC96" s="148"/>
      <c r="EH96" s="150"/>
      <c r="EI96" s="5"/>
    </row>
    <row r="97" spans="2:139" ht="17.399999999999999" thickBot="1">
      <c r="B97" s="51"/>
      <c r="C97" s="23"/>
      <c r="CK97" s="5"/>
      <c r="CL97" s="5"/>
      <c r="CM97" s="5"/>
      <c r="DR97" s="5"/>
      <c r="DS97" s="5"/>
      <c r="DT97" s="5"/>
      <c r="DW97" s="147"/>
      <c r="EA97" s="147"/>
      <c r="EC97" s="148"/>
      <c r="EH97" s="150"/>
      <c r="EI97" s="5"/>
    </row>
    <row r="98" spans="2:139" ht="19.2" thickBot="1">
      <c r="B98" s="94" t="s">
        <v>326</v>
      </c>
      <c r="C98" s="29"/>
      <c r="D98" s="52"/>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BH98" s="2" t="s">
        <v>579</v>
      </c>
      <c r="BI98" s="2">
        <v>1100</v>
      </c>
      <c r="BJ98" s="2">
        <v>300</v>
      </c>
      <c r="BN98" s="2">
        <v>460</v>
      </c>
      <c r="CK98" s="5"/>
      <c r="CL98" s="5"/>
      <c r="CM98" s="5"/>
      <c r="DR98" s="5"/>
      <c r="DS98" s="5"/>
      <c r="DT98" s="5"/>
      <c r="DW98" s="147"/>
      <c r="EA98" s="147"/>
      <c r="EC98" s="148"/>
      <c r="EH98" s="150"/>
      <c r="EI98" s="5"/>
    </row>
    <row r="99" spans="2:139" ht="17.399999999999999" thickBot="1">
      <c r="B99" s="56"/>
      <c r="C99" s="57"/>
      <c r="D99" s="58">
        <v>1</v>
      </c>
      <c r="E99" s="59">
        <v>2</v>
      </c>
      <c r="F99" s="58">
        <v>3</v>
      </c>
      <c r="G99" s="58">
        <v>4</v>
      </c>
      <c r="H99" s="59">
        <v>5</v>
      </c>
      <c r="I99" s="58">
        <v>6</v>
      </c>
      <c r="J99" s="58">
        <v>7</v>
      </c>
      <c r="K99" s="59">
        <v>8</v>
      </c>
      <c r="L99" s="58">
        <v>9</v>
      </c>
      <c r="M99" s="58">
        <v>10</v>
      </c>
      <c r="N99" s="59">
        <v>11</v>
      </c>
      <c r="O99" s="58">
        <v>12</v>
      </c>
      <c r="P99" s="58">
        <v>13</v>
      </c>
      <c r="Q99" s="59">
        <v>14</v>
      </c>
      <c r="R99" s="58">
        <v>15</v>
      </c>
      <c r="S99" s="58">
        <v>16</v>
      </c>
      <c r="T99" s="59">
        <v>17</v>
      </c>
      <c r="U99" s="58">
        <v>18</v>
      </c>
      <c r="V99" s="58">
        <v>19</v>
      </c>
      <c r="W99" s="59">
        <v>20</v>
      </c>
      <c r="X99" s="58">
        <v>21</v>
      </c>
      <c r="Y99" s="58">
        <v>22</v>
      </c>
      <c r="Z99" s="59">
        <v>23</v>
      </c>
      <c r="AA99" s="58">
        <v>24</v>
      </c>
      <c r="AB99" s="58">
        <v>25</v>
      </c>
      <c r="AC99" s="59">
        <v>26</v>
      </c>
      <c r="AD99" s="58">
        <v>27</v>
      </c>
      <c r="AE99" s="58">
        <v>28</v>
      </c>
      <c r="AF99" s="59">
        <v>29</v>
      </c>
      <c r="AG99" s="60">
        <v>30</v>
      </c>
      <c r="AH99" s="95"/>
      <c r="AI99" s="95"/>
      <c r="AJ99" s="95"/>
      <c r="AK99" s="53"/>
      <c r="BH99" s="2" t="s">
        <v>579</v>
      </c>
      <c r="BI99" s="2">
        <v>1200</v>
      </c>
      <c r="BJ99" s="2">
        <v>300</v>
      </c>
      <c r="BN99" s="2">
        <v>502</v>
      </c>
      <c r="CK99" s="5"/>
      <c r="CL99" s="5"/>
      <c r="CM99" s="5"/>
      <c r="DR99" s="5"/>
      <c r="DS99" s="5"/>
      <c r="DT99" s="5"/>
      <c r="DW99" s="147"/>
      <c r="EA99" s="147"/>
      <c r="EC99" s="148"/>
      <c r="EH99" s="150"/>
      <c r="EI99" s="5"/>
    </row>
    <row r="100" spans="2:139">
      <c r="B100" s="63" t="s">
        <v>601</v>
      </c>
      <c r="C100" s="53"/>
      <c r="D100" s="64" t="e">
        <f>Allgemein!K39</f>
        <v>#DIV/0!</v>
      </c>
      <c r="E100" s="64" t="e">
        <f t="shared" ref="E100:AG100" si="167">D100*(1+$C$95)</f>
        <v>#DIV/0!</v>
      </c>
      <c r="F100" s="64" t="e">
        <f t="shared" si="167"/>
        <v>#DIV/0!</v>
      </c>
      <c r="G100" s="64" t="e">
        <f t="shared" si="167"/>
        <v>#DIV/0!</v>
      </c>
      <c r="H100" s="64" t="e">
        <f t="shared" si="167"/>
        <v>#DIV/0!</v>
      </c>
      <c r="I100" s="64" t="e">
        <f t="shared" si="167"/>
        <v>#DIV/0!</v>
      </c>
      <c r="J100" s="64" t="e">
        <f t="shared" si="167"/>
        <v>#DIV/0!</v>
      </c>
      <c r="K100" s="64" t="e">
        <f t="shared" si="167"/>
        <v>#DIV/0!</v>
      </c>
      <c r="L100" s="64" t="e">
        <f t="shared" si="167"/>
        <v>#DIV/0!</v>
      </c>
      <c r="M100" s="64" t="e">
        <f t="shared" si="167"/>
        <v>#DIV/0!</v>
      </c>
      <c r="N100" s="64" t="e">
        <f t="shared" si="167"/>
        <v>#DIV/0!</v>
      </c>
      <c r="O100" s="64" t="e">
        <f t="shared" si="167"/>
        <v>#DIV/0!</v>
      </c>
      <c r="P100" s="64" t="e">
        <f t="shared" si="167"/>
        <v>#DIV/0!</v>
      </c>
      <c r="Q100" s="64" t="e">
        <f t="shared" si="167"/>
        <v>#DIV/0!</v>
      </c>
      <c r="R100" s="64" t="e">
        <f t="shared" si="167"/>
        <v>#DIV/0!</v>
      </c>
      <c r="S100" s="64" t="e">
        <f t="shared" si="167"/>
        <v>#DIV/0!</v>
      </c>
      <c r="T100" s="64" t="e">
        <f t="shared" si="167"/>
        <v>#DIV/0!</v>
      </c>
      <c r="U100" s="64" t="e">
        <f t="shared" si="167"/>
        <v>#DIV/0!</v>
      </c>
      <c r="V100" s="64" t="e">
        <f t="shared" si="167"/>
        <v>#DIV/0!</v>
      </c>
      <c r="W100" s="64" t="e">
        <f t="shared" si="167"/>
        <v>#DIV/0!</v>
      </c>
      <c r="X100" s="64" t="e">
        <f t="shared" si="167"/>
        <v>#DIV/0!</v>
      </c>
      <c r="Y100" s="64" t="e">
        <f t="shared" si="167"/>
        <v>#DIV/0!</v>
      </c>
      <c r="Z100" s="64" t="e">
        <f t="shared" si="167"/>
        <v>#DIV/0!</v>
      </c>
      <c r="AA100" s="64" t="e">
        <f t="shared" si="167"/>
        <v>#DIV/0!</v>
      </c>
      <c r="AB100" s="64" t="e">
        <f t="shared" si="167"/>
        <v>#DIV/0!</v>
      </c>
      <c r="AC100" s="64" t="e">
        <f t="shared" si="167"/>
        <v>#DIV/0!</v>
      </c>
      <c r="AD100" s="64" t="e">
        <f t="shared" si="167"/>
        <v>#DIV/0!</v>
      </c>
      <c r="AE100" s="64" t="e">
        <f t="shared" si="167"/>
        <v>#DIV/0!</v>
      </c>
      <c r="AF100" s="64" t="e">
        <f t="shared" si="167"/>
        <v>#DIV/0!</v>
      </c>
      <c r="AG100" s="65" t="e">
        <f t="shared" si="167"/>
        <v>#DIV/0!</v>
      </c>
      <c r="AK100" s="47"/>
      <c r="BH100" s="2" t="s">
        <v>579</v>
      </c>
      <c r="BI100" s="2">
        <v>1400</v>
      </c>
      <c r="BJ100" s="2">
        <v>300</v>
      </c>
      <c r="BN100" s="2">
        <v>585</v>
      </c>
      <c r="CK100" s="5"/>
      <c r="CL100" s="5"/>
      <c r="CM100" s="5"/>
      <c r="DR100" s="5"/>
      <c r="DS100" s="5"/>
      <c r="DT100" s="5"/>
      <c r="DW100" s="147"/>
      <c r="EA100" s="147"/>
      <c r="EC100" s="148"/>
      <c r="EH100" s="150"/>
      <c r="EI100" s="5"/>
    </row>
    <row r="101" spans="2:139" ht="18.600000000000001">
      <c r="B101" s="46" t="s">
        <v>602</v>
      </c>
      <c r="C101" s="47"/>
      <c r="D101" s="75">
        <f>Allgemein!O14</f>
        <v>0</v>
      </c>
      <c r="E101" s="75">
        <f t="shared" ref="E101:AG101" si="168">D101*(1+$C$96)</f>
        <v>0</v>
      </c>
      <c r="F101" s="75">
        <f t="shared" si="168"/>
        <v>0</v>
      </c>
      <c r="G101" s="75">
        <f t="shared" si="168"/>
        <v>0</v>
      </c>
      <c r="H101" s="75">
        <f t="shared" si="168"/>
        <v>0</v>
      </c>
      <c r="I101" s="75">
        <f t="shared" si="168"/>
        <v>0</v>
      </c>
      <c r="J101" s="75">
        <f t="shared" si="168"/>
        <v>0</v>
      </c>
      <c r="K101" s="75">
        <f t="shared" si="168"/>
        <v>0</v>
      </c>
      <c r="L101" s="75">
        <f t="shared" si="168"/>
        <v>0</v>
      </c>
      <c r="M101" s="75">
        <f t="shared" si="168"/>
        <v>0</v>
      </c>
      <c r="N101" s="75">
        <f t="shared" si="168"/>
        <v>0</v>
      </c>
      <c r="O101" s="75">
        <f t="shared" si="168"/>
        <v>0</v>
      </c>
      <c r="P101" s="75">
        <f t="shared" si="168"/>
        <v>0</v>
      </c>
      <c r="Q101" s="75">
        <f t="shared" si="168"/>
        <v>0</v>
      </c>
      <c r="R101" s="75">
        <f t="shared" si="168"/>
        <v>0</v>
      </c>
      <c r="S101" s="75">
        <f t="shared" si="168"/>
        <v>0</v>
      </c>
      <c r="T101" s="75">
        <f t="shared" si="168"/>
        <v>0</v>
      </c>
      <c r="U101" s="75">
        <f t="shared" si="168"/>
        <v>0</v>
      </c>
      <c r="V101" s="75">
        <f t="shared" si="168"/>
        <v>0</v>
      </c>
      <c r="W101" s="75">
        <f t="shared" si="168"/>
        <v>0</v>
      </c>
      <c r="X101" s="75">
        <f t="shared" si="168"/>
        <v>0</v>
      </c>
      <c r="Y101" s="75">
        <f t="shared" si="168"/>
        <v>0</v>
      </c>
      <c r="Z101" s="75">
        <f t="shared" si="168"/>
        <v>0</v>
      </c>
      <c r="AA101" s="75">
        <f t="shared" si="168"/>
        <v>0</v>
      </c>
      <c r="AB101" s="75">
        <f t="shared" si="168"/>
        <v>0</v>
      </c>
      <c r="AC101" s="75">
        <f t="shared" si="168"/>
        <v>0</v>
      </c>
      <c r="AD101" s="75">
        <f t="shared" si="168"/>
        <v>0</v>
      </c>
      <c r="AE101" s="75">
        <f t="shared" si="168"/>
        <v>0</v>
      </c>
      <c r="AF101" s="75">
        <f t="shared" si="168"/>
        <v>0</v>
      </c>
      <c r="AG101" s="76">
        <f t="shared" si="168"/>
        <v>0</v>
      </c>
      <c r="AI101" s="62" t="s">
        <v>79</v>
      </c>
      <c r="AJ101" s="62" t="s">
        <v>603</v>
      </c>
      <c r="AK101" s="47"/>
      <c r="AN101" s="2" t="s">
        <v>328</v>
      </c>
      <c r="AO101" s="2" t="s">
        <v>329</v>
      </c>
      <c r="BH101" s="2" t="s">
        <v>579</v>
      </c>
      <c r="BI101" s="2">
        <v>1600</v>
      </c>
      <c r="BJ101" s="2">
        <v>300</v>
      </c>
      <c r="BN101" s="2">
        <v>669</v>
      </c>
      <c r="CK101" s="5"/>
      <c r="CL101" s="5"/>
      <c r="CM101" s="5"/>
      <c r="DR101" s="5"/>
      <c r="DS101" s="5"/>
      <c r="DT101" s="5"/>
      <c r="DW101" s="147"/>
      <c r="EA101" s="147"/>
      <c r="EC101" s="148"/>
      <c r="EH101" s="150"/>
      <c r="EI101" s="5"/>
    </row>
    <row r="102" spans="2:139" ht="18.600000000000001">
      <c r="B102" s="96" t="s">
        <v>366</v>
      </c>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79" t="s">
        <v>366</v>
      </c>
      <c r="AJ102" s="11"/>
      <c r="AK102" s="100"/>
      <c r="AM102" s="2" t="s">
        <v>150</v>
      </c>
      <c r="AO102" s="24">
        <f>Allgemein!$G$53</f>
        <v>0</v>
      </c>
      <c r="BH102" s="2" t="s">
        <v>579</v>
      </c>
      <c r="BI102" s="2">
        <v>1800</v>
      </c>
      <c r="BJ102" s="2">
        <v>300</v>
      </c>
      <c r="BN102" s="2">
        <v>752</v>
      </c>
      <c r="CK102" s="5"/>
      <c r="CL102" s="5"/>
      <c r="CM102" s="5"/>
      <c r="DR102" s="5"/>
      <c r="DS102" s="5"/>
      <c r="DT102" s="5"/>
      <c r="DW102" s="147"/>
      <c r="EA102" s="147"/>
      <c r="EC102" s="148"/>
      <c r="EH102" s="150"/>
      <c r="EI102" s="5"/>
    </row>
    <row r="103" spans="2:139">
      <c r="B103" s="46" t="s">
        <v>604</v>
      </c>
      <c r="D103" s="54">
        <f>Allgemein!$L$14*D101</f>
        <v>0</v>
      </c>
      <c r="E103" s="54">
        <f>Allgemein!$L$14*E101</f>
        <v>0</v>
      </c>
      <c r="F103" s="54">
        <f>Allgemein!$L$14*F101</f>
        <v>0</v>
      </c>
      <c r="G103" s="54">
        <f>Allgemein!$L$14*G101</f>
        <v>0</v>
      </c>
      <c r="H103" s="54">
        <f>Allgemein!$L$14*H101</f>
        <v>0</v>
      </c>
      <c r="I103" s="54">
        <f>Allgemein!$L$14*I101</f>
        <v>0</v>
      </c>
      <c r="J103" s="54">
        <f>Allgemein!$L$14*J101</f>
        <v>0</v>
      </c>
      <c r="K103" s="54">
        <f>Allgemein!$L$14*K101</f>
        <v>0</v>
      </c>
      <c r="L103" s="54">
        <f>Allgemein!$L$14*L101</f>
        <v>0</v>
      </c>
      <c r="M103" s="54">
        <f>Allgemein!$L$14*M101</f>
        <v>0</v>
      </c>
      <c r="N103" s="54">
        <f>Allgemein!$L$14*N101</f>
        <v>0</v>
      </c>
      <c r="O103" s="54">
        <f>Allgemein!$L$14*O101</f>
        <v>0</v>
      </c>
      <c r="P103" s="54">
        <f>Allgemein!$L$14*P101</f>
        <v>0</v>
      </c>
      <c r="Q103" s="54">
        <f>Allgemein!$L$14*Q101</f>
        <v>0</v>
      </c>
      <c r="R103" s="54">
        <f>Allgemein!$L$14*R101</f>
        <v>0</v>
      </c>
      <c r="S103" s="54">
        <f>Allgemein!$L$14*S101</f>
        <v>0</v>
      </c>
      <c r="T103" s="54">
        <f>Allgemein!$L$14*T101</f>
        <v>0</v>
      </c>
      <c r="U103" s="54">
        <f>Allgemein!$L$14*U101</f>
        <v>0</v>
      </c>
      <c r="V103" s="54">
        <f>Allgemein!$L$14*V101</f>
        <v>0</v>
      </c>
      <c r="W103" s="54">
        <f>Allgemein!$L$14*W101</f>
        <v>0</v>
      </c>
      <c r="X103" s="54">
        <f>Allgemein!$L$14*X101</f>
        <v>0</v>
      </c>
      <c r="Y103" s="54">
        <f>Allgemein!$L$14*Y101</f>
        <v>0</v>
      </c>
      <c r="Z103" s="54">
        <f>Allgemein!$L$14*Z101</f>
        <v>0</v>
      </c>
      <c r="AA103" s="54">
        <f>Allgemein!$L$14*AA101</f>
        <v>0</v>
      </c>
      <c r="AB103" s="54">
        <f>Allgemein!$L$14*AB101</f>
        <v>0</v>
      </c>
      <c r="AC103" s="54">
        <f>Allgemein!$L$14*AC101</f>
        <v>0</v>
      </c>
      <c r="AD103" s="54">
        <f>Allgemein!$L$14*AD101</f>
        <v>0</v>
      </c>
      <c r="AE103" s="54">
        <f>Allgemein!$L$14*AE101</f>
        <v>0</v>
      </c>
      <c r="AF103" s="54">
        <f>Allgemein!$L$14*AF101</f>
        <v>0</v>
      </c>
      <c r="AG103" s="54">
        <f>Allgemein!$L$14*AG101</f>
        <v>0</v>
      </c>
      <c r="AH103" s="84"/>
      <c r="AI103" s="85">
        <f>SUM(D103:AG103)</f>
        <v>0</v>
      </c>
      <c r="AJ103" s="84"/>
      <c r="AK103" s="103"/>
      <c r="AM103" s="2" t="str">
        <f>IF(AO103=0,"","Kreditkosten")</f>
        <v/>
      </c>
      <c r="AO103" s="24">
        <v>0</v>
      </c>
      <c r="AP103" s="184">
        <f>AH84</f>
        <v>0</v>
      </c>
      <c r="BH103" s="2" t="s">
        <v>579</v>
      </c>
      <c r="BI103" s="2">
        <v>2000</v>
      </c>
      <c r="BJ103" s="2">
        <v>300</v>
      </c>
      <c r="BN103" s="2">
        <v>836</v>
      </c>
      <c r="CK103" s="5"/>
      <c r="CL103" s="5"/>
      <c r="CM103" s="5"/>
      <c r="DR103" s="5"/>
      <c r="DS103" s="5"/>
      <c r="DT103" s="5"/>
      <c r="DW103" s="147"/>
      <c r="EA103" s="147"/>
      <c r="EC103" s="148"/>
      <c r="EH103" s="150"/>
      <c r="EI103" s="5"/>
    </row>
    <row r="104" spans="2:139">
      <c r="B104" s="46" t="s">
        <v>605</v>
      </c>
      <c r="D104" s="54" t="e">
        <f>Allgemein!$K$40</f>
        <v>#DIV/0!</v>
      </c>
      <c r="E104" s="54" t="e">
        <f t="shared" ref="E104:AG104" si="169">D104*(1+$C$95)</f>
        <v>#DIV/0!</v>
      </c>
      <c r="F104" s="54" t="e">
        <f t="shared" si="169"/>
        <v>#DIV/0!</v>
      </c>
      <c r="G104" s="54" t="e">
        <f t="shared" si="169"/>
        <v>#DIV/0!</v>
      </c>
      <c r="H104" s="54" t="e">
        <f t="shared" si="169"/>
        <v>#DIV/0!</v>
      </c>
      <c r="I104" s="54" t="e">
        <f t="shared" si="169"/>
        <v>#DIV/0!</v>
      </c>
      <c r="J104" s="54" t="e">
        <f t="shared" si="169"/>
        <v>#DIV/0!</v>
      </c>
      <c r="K104" s="54" t="e">
        <f t="shared" si="169"/>
        <v>#DIV/0!</v>
      </c>
      <c r="L104" s="54" t="e">
        <f t="shared" si="169"/>
        <v>#DIV/0!</v>
      </c>
      <c r="M104" s="54" t="e">
        <f t="shared" si="169"/>
        <v>#DIV/0!</v>
      </c>
      <c r="N104" s="54" t="e">
        <f t="shared" si="169"/>
        <v>#DIV/0!</v>
      </c>
      <c r="O104" s="54" t="e">
        <f t="shared" si="169"/>
        <v>#DIV/0!</v>
      </c>
      <c r="P104" s="54" t="e">
        <f t="shared" si="169"/>
        <v>#DIV/0!</v>
      </c>
      <c r="Q104" s="54" t="e">
        <f t="shared" si="169"/>
        <v>#DIV/0!</v>
      </c>
      <c r="R104" s="54" t="e">
        <f t="shared" si="169"/>
        <v>#DIV/0!</v>
      </c>
      <c r="S104" s="54" t="e">
        <f t="shared" si="169"/>
        <v>#DIV/0!</v>
      </c>
      <c r="T104" s="54" t="e">
        <f t="shared" si="169"/>
        <v>#DIV/0!</v>
      </c>
      <c r="U104" s="54" t="e">
        <f t="shared" si="169"/>
        <v>#DIV/0!</v>
      </c>
      <c r="V104" s="54" t="e">
        <f t="shared" si="169"/>
        <v>#DIV/0!</v>
      </c>
      <c r="W104" s="54" t="e">
        <f t="shared" si="169"/>
        <v>#DIV/0!</v>
      </c>
      <c r="X104" s="54" t="e">
        <f t="shared" si="169"/>
        <v>#DIV/0!</v>
      </c>
      <c r="Y104" s="54" t="e">
        <f t="shared" si="169"/>
        <v>#DIV/0!</v>
      </c>
      <c r="Z104" s="54" t="e">
        <f t="shared" si="169"/>
        <v>#DIV/0!</v>
      </c>
      <c r="AA104" s="54" t="e">
        <f t="shared" si="169"/>
        <v>#DIV/0!</v>
      </c>
      <c r="AB104" s="54" t="e">
        <f t="shared" si="169"/>
        <v>#DIV/0!</v>
      </c>
      <c r="AC104" s="54" t="e">
        <f t="shared" si="169"/>
        <v>#DIV/0!</v>
      </c>
      <c r="AD104" s="54" t="e">
        <f t="shared" si="169"/>
        <v>#DIV/0!</v>
      </c>
      <c r="AE104" s="54" t="e">
        <f t="shared" si="169"/>
        <v>#DIV/0!</v>
      </c>
      <c r="AF104" s="54" t="e">
        <f t="shared" si="169"/>
        <v>#DIV/0!</v>
      </c>
      <c r="AG104" s="54" t="e">
        <f t="shared" si="169"/>
        <v>#DIV/0!</v>
      </c>
      <c r="AH104" s="86" t="s">
        <v>369</v>
      </c>
      <c r="AI104" s="87" t="e">
        <f>SUM(D104:AG104)</f>
        <v>#DIV/0!</v>
      </c>
      <c r="AJ104" s="90"/>
      <c r="AK104" s="47"/>
      <c r="AM104" s="2" t="s">
        <v>149</v>
      </c>
      <c r="AN104" s="24" t="e">
        <f>AJ118</f>
        <v>#DIV/0!</v>
      </c>
      <c r="BH104" s="2" t="s">
        <v>579</v>
      </c>
      <c r="BI104" s="2">
        <v>2200</v>
      </c>
      <c r="BJ104" s="2">
        <v>300</v>
      </c>
      <c r="BN104" s="2">
        <v>920</v>
      </c>
      <c r="CK104" s="5"/>
      <c r="CL104" s="5"/>
      <c r="CM104" s="5"/>
      <c r="DR104" s="5"/>
      <c r="DS104" s="5"/>
      <c r="DT104" s="5"/>
      <c r="DW104" s="147"/>
      <c r="EA104" s="147"/>
      <c r="EC104" s="148"/>
      <c r="EH104" s="150"/>
      <c r="EI104" s="5"/>
    </row>
    <row r="105" spans="2:139">
      <c r="B105" s="46" t="s">
        <v>606</v>
      </c>
      <c r="D105" s="54" t="e">
        <f t="shared" ref="D105:AG105" si="170">D104+D103</f>
        <v>#DIV/0!</v>
      </c>
      <c r="E105" s="54" t="e">
        <f t="shared" si="170"/>
        <v>#DIV/0!</v>
      </c>
      <c r="F105" s="54" t="e">
        <f t="shared" si="170"/>
        <v>#DIV/0!</v>
      </c>
      <c r="G105" s="54" t="e">
        <f t="shared" si="170"/>
        <v>#DIV/0!</v>
      </c>
      <c r="H105" s="54" t="e">
        <f t="shared" si="170"/>
        <v>#DIV/0!</v>
      </c>
      <c r="I105" s="54" t="e">
        <f t="shared" si="170"/>
        <v>#DIV/0!</v>
      </c>
      <c r="J105" s="54" t="e">
        <f t="shared" si="170"/>
        <v>#DIV/0!</v>
      </c>
      <c r="K105" s="54" t="e">
        <f t="shared" si="170"/>
        <v>#DIV/0!</v>
      </c>
      <c r="L105" s="54" t="e">
        <f t="shared" si="170"/>
        <v>#DIV/0!</v>
      </c>
      <c r="M105" s="54" t="e">
        <f t="shared" si="170"/>
        <v>#DIV/0!</v>
      </c>
      <c r="N105" s="54" t="e">
        <f t="shared" si="170"/>
        <v>#DIV/0!</v>
      </c>
      <c r="O105" s="54" t="e">
        <f t="shared" si="170"/>
        <v>#DIV/0!</v>
      </c>
      <c r="P105" s="54" t="e">
        <f t="shared" si="170"/>
        <v>#DIV/0!</v>
      </c>
      <c r="Q105" s="54" t="e">
        <f t="shared" si="170"/>
        <v>#DIV/0!</v>
      </c>
      <c r="R105" s="54" t="e">
        <f t="shared" si="170"/>
        <v>#DIV/0!</v>
      </c>
      <c r="S105" s="54" t="e">
        <f t="shared" si="170"/>
        <v>#DIV/0!</v>
      </c>
      <c r="T105" s="54" t="e">
        <f t="shared" si="170"/>
        <v>#DIV/0!</v>
      </c>
      <c r="U105" s="54" t="e">
        <f t="shared" si="170"/>
        <v>#DIV/0!</v>
      </c>
      <c r="V105" s="54" t="e">
        <f t="shared" si="170"/>
        <v>#DIV/0!</v>
      </c>
      <c r="W105" s="54" t="e">
        <f t="shared" si="170"/>
        <v>#DIV/0!</v>
      </c>
      <c r="X105" s="54" t="e">
        <f t="shared" si="170"/>
        <v>#DIV/0!</v>
      </c>
      <c r="Y105" s="54" t="e">
        <f t="shared" si="170"/>
        <v>#DIV/0!</v>
      </c>
      <c r="Z105" s="54" t="e">
        <f t="shared" si="170"/>
        <v>#DIV/0!</v>
      </c>
      <c r="AA105" s="54" t="e">
        <f t="shared" si="170"/>
        <v>#DIV/0!</v>
      </c>
      <c r="AB105" s="54" t="e">
        <f t="shared" si="170"/>
        <v>#DIV/0!</v>
      </c>
      <c r="AC105" s="54" t="e">
        <f t="shared" si="170"/>
        <v>#DIV/0!</v>
      </c>
      <c r="AD105" s="54" t="e">
        <f t="shared" si="170"/>
        <v>#DIV/0!</v>
      </c>
      <c r="AE105" s="54" t="e">
        <f t="shared" si="170"/>
        <v>#DIV/0!</v>
      </c>
      <c r="AF105" s="54" t="e">
        <f>AF104+AF103</f>
        <v>#DIV/0!</v>
      </c>
      <c r="AG105" s="54" t="e">
        <f t="shared" si="170"/>
        <v>#DIV/0!</v>
      </c>
      <c r="AH105" s="88"/>
      <c r="AI105" s="89" t="e">
        <f>SUM(D105:AG105)</f>
        <v>#DIV/0!</v>
      </c>
      <c r="AJ105" s="90"/>
      <c r="AK105" s="47"/>
      <c r="AN105" s="24"/>
      <c r="CK105" s="5"/>
      <c r="CL105" s="5"/>
      <c r="CM105" s="5"/>
      <c r="DR105" s="5"/>
      <c r="DS105" s="5"/>
      <c r="DT105" s="5"/>
      <c r="DW105" s="147"/>
      <c r="EA105" s="147"/>
      <c r="EC105" s="148"/>
      <c r="EH105" s="150"/>
      <c r="EI105" s="5"/>
    </row>
    <row r="106" spans="2:139">
      <c r="B106" s="895" t="s">
        <v>607</v>
      </c>
      <c r="D106" s="54" t="e">
        <f>D105/12</f>
        <v>#DIV/0!</v>
      </c>
      <c r="E106" s="54" t="e">
        <f>E105/12</f>
        <v>#DIV/0!</v>
      </c>
      <c r="F106" s="54" t="e">
        <f>F105/12</f>
        <v>#DIV/0!</v>
      </c>
      <c r="G106" s="54" t="e">
        <f t="shared" ref="G106:AG106" si="171">G105/12</f>
        <v>#DIV/0!</v>
      </c>
      <c r="H106" s="54" t="e">
        <f t="shared" si="171"/>
        <v>#DIV/0!</v>
      </c>
      <c r="I106" s="54" t="e">
        <f t="shared" si="171"/>
        <v>#DIV/0!</v>
      </c>
      <c r="J106" s="54" t="e">
        <f t="shared" si="171"/>
        <v>#DIV/0!</v>
      </c>
      <c r="K106" s="54" t="e">
        <f t="shared" si="171"/>
        <v>#DIV/0!</v>
      </c>
      <c r="L106" s="54" t="e">
        <f t="shared" si="171"/>
        <v>#DIV/0!</v>
      </c>
      <c r="M106" s="54" t="e">
        <f t="shared" si="171"/>
        <v>#DIV/0!</v>
      </c>
      <c r="N106" s="54" t="e">
        <f t="shared" si="171"/>
        <v>#DIV/0!</v>
      </c>
      <c r="O106" s="54" t="e">
        <f t="shared" si="171"/>
        <v>#DIV/0!</v>
      </c>
      <c r="P106" s="54" t="e">
        <f t="shared" si="171"/>
        <v>#DIV/0!</v>
      </c>
      <c r="Q106" s="54" t="e">
        <f t="shared" si="171"/>
        <v>#DIV/0!</v>
      </c>
      <c r="R106" s="54" t="e">
        <f t="shared" si="171"/>
        <v>#DIV/0!</v>
      </c>
      <c r="S106" s="54" t="e">
        <f t="shared" si="171"/>
        <v>#DIV/0!</v>
      </c>
      <c r="T106" s="54" t="e">
        <f t="shared" si="171"/>
        <v>#DIV/0!</v>
      </c>
      <c r="U106" s="54" t="e">
        <f t="shared" si="171"/>
        <v>#DIV/0!</v>
      </c>
      <c r="V106" s="54" t="e">
        <f t="shared" si="171"/>
        <v>#DIV/0!</v>
      </c>
      <c r="W106" s="54" t="e">
        <f t="shared" si="171"/>
        <v>#DIV/0!</v>
      </c>
      <c r="X106" s="54" t="e">
        <f t="shared" si="171"/>
        <v>#DIV/0!</v>
      </c>
      <c r="Y106" s="54" t="e">
        <f t="shared" si="171"/>
        <v>#DIV/0!</v>
      </c>
      <c r="Z106" s="54" t="e">
        <f t="shared" si="171"/>
        <v>#DIV/0!</v>
      </c>
      <c r="AA106" s="54" t="e">
        <f t="shared" si="171"/>
        <v>#DIV/0!</v>
      </c>
      <c r="AB106" s="54" t="e">
        <f t="shared" si="171"/>
        <v>#DIV/0!</v>
      </c>
      <c r="AC106" s="54" t="e">
        <f t="shared" si="171"/>
        <v>#DIV/0!</v>
      </c>
      <c r="AD106" s="54" t="e">
        <f t="shared" si="171"/>
        <v>#DIV/0!</v>
      </c>
      <c r="AE106" s="54" t="e">
        <f t="shared" si="171"/>
        <v>#DIV/0!</v>
      </c>
      <c r="AF106" s="54" t="e">
        <f t="shared" si="171"/>
        <v>#DIV/0!</v>
      </c>
      <c r="AG106" s="54" t="e">
        <f t="shared" si="171"/>
        <v>#DIV/0!</v>
      </c>
      <c r="AJ106" s="88"/>
      <c r="AK106" s="98"/>
      <c r="AM106" s="2" t="s">
        <v>189</v>
      </c>
      <c r="AN106" s="24">
        <f>Allgemein!$O$54</f>
        <v>0</v>
      </c>
      <c r="BH106" s="2" t="s">
        <v>579</v>
      </c>
      <c r="BI106" s="2">
        <v>2300</v>
      </c>
      <c r="BJ106" s="2">
        <v>300</v>
      </c>
      <c r="BN106" s="2">
        <v>961</v>
      </c>
      <c r="CK106" s="5"/>
      <c r="CL106" s="5"/>
      <c r="CM106" s="5"/>
      <c r="DR106" s="5"/>
      <c r="DS106" s="5"/>
      <c r="DT106" s="5"/>
      <c r="DW106" s="147"/>
      <c r="EA106" s="147"/>
      <c r="EC106" s="148"/>
      <c r="EH106" s="150"/>
      <c r="EI106" s="5"/>
    </row>
    <row r="107" spans="2:139" ht="18.600000000000001">
      <c r="B107" s="96" t="s">
        <v>398</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80" t="s">
        <v>398</v>
      </c>
      <c r="AJ107" s="11"/>
      <c r="AK107" s="100"/>
      <c r="AM107" s="2" t="s">
        <v>63</v>
      </c>
      <c r="AN107" s="109">
        <f>Allgemein!P122</f>
        <v>0</v>
      </c>
      <c r="BH107" s="2" t="s">
        <v>579</v>
      </c>
      <c r="BI107" s="2">
        <v>2600</v>
      </c>
      <c r="BJ107" s="2">
        <v>300</v>
      </c>
      <c r="BN107" s="2">
        <v>1087</v>
      </c>
      <c r="CK107" s="5"/>
      <c r="CL107" s="5"/>
      <c r="CM107" s="5"/>
      <c r="DR107" s="5"/>
      <c r="DS107" s="5"/>
      <c r="DT107" s="5"/>
      <c r="DW107" s="147"/>
      <c r="EA107" s="147"/>
      <c r="EC107" s="148"/>
      <c r="EH107" s="150"/>
      <c r="EI107" s="5"/>
    </row>
    <row r="108" spans="2:139">
      <c r="B108" s="46" t="s">
        <v>608</v>
      </c>
      <c r="D108" s="66">
        <f>$G96*Datenbank!D101</f>
        <v>0</v>
      </c>
      <c r="E108" s="66">
        <f>$G96*Datenbank!E101</f>
        <v>0</v>
      </c>
      <c r="F108" s="66">
        <f>$G96*Datenbank!F101</f>
        <v>0</v>
      </c>
      <c r="G108" s="66">
        <f>$G96*Datenbank!G101</f>
        <v>0</v>
      </c>
      <c r="H108" s="66">
        <f>$G96*Datenbank!H101</f>
        <v>0</v>
      </c>
      <c r="I108" s="66">
        <f>$G96*Datenbank!I101</f>
        <v>0</v>
      </c>
      <c r="J108" s="66">
        <f>$G96*Datenbank!J101</f>
        <v>0</v>
      </c>
      <c r="K108" s="66">
        <f>$G96*Datenbank!K101</f>
        <v>0</v>
      </c>
      <c r="L108" s="66">
        <f>$G96*Datenbank!L101</f>
        <v>0</v>
      </c>
      <c r="M108" s="66">
        <f>$G96*Datenbank!M101</f>
        <v>0</v>
      </c>
      <c r="N108" s="66">
        <f>$G96*Datenbank!N101</f>
        <v>0</v>
      </c>
      <c r="O108" s="66">
        <f>$G96*Datenbank!O101</f>
        <v>0</v>
      </c>
      <c r="P108" s="66">
        <f>$G96*Datenbank!P101</f>
        <v>0</v>
      </c>
      <c r="Q108" s="66">
        <f>$G96*Datenbank!Q101</f>
        <v>0</v>
      </c>
      <c r="R108" s="66">
        <f>$G96*Datenbank!R101</f>
        <v>0</v>
      </c>
      <c r="S108" s="66">
        <f>$G96*Datenbank!S101</f>
        <v>0</v>
      </c>
      <c r="T108" s="66">
        <f>$G96*Datenbank!T101</f>
        <v>0</v>
      </c>
      <c r="U108" s="66">
        <f>$G96*Datenbank!U101</f>
        <v>0</v>
      </c>
      <c r="V108" s="66">
        <f>$G96*Datenbank!V101</f>
        <v>0</v>
      </c>
      <c r="W108" s="66">
        <f>$G96*Datenbank!W101</f>
        <v>0</v>
      </c>
      <c r="X108" s="66">
        <f>$G96*Datenbank!X101</f>
        <v>0</v>
      </c>
      <c r="Y108" s="66">
        <f>$G96*Datenbank!Y101</f>
        <v>0</v>
      </c>
      <c r="Z108" s="66">
        <f>$G96*Datenbank!Z101</f>
        <v>0</v>
      </c>
      <c r="AA108" s="66">
        <f>$G96*Datenbank!AA101</f>
        <v>0</v>
      </c>
      <c r="AB108" s="66">
        <f>$G96*Datenbank!AB101</f>
        <v>0</v>
      </c>
      <c r="AC108" s="66">
        <f>$G96*Datenbank!AC101</f>
        <v>0</v>
      </c>
      <c r="AD108" s="66">
        <f>$G96*Datenbank!AD101</f>
        <v>0</v>
      </c>
      <c r="AE108" s="66">
        <f>$G96*Datenbank!AE101</f>
        <v>0</v>
      </c>
      <c r="AF108" s="66">
        <f>$G96*Datenbank!AF101</f>
        <v>0</v>
      </c>
      <c r="AG108" s="66">
        <f>$G96*Datenbank!AG101</f>
        <v>0</v>
      </c>
      <c r="AH108" s="84"/>
      <c r="AI108" s="85">
        <f t="shared" ref="AI108:AI109" si="172">SUM(D108:AG108)</f>
        <v>0</v>
      </c>
      <c r="AJ108" s="84"/>
      <c r="AK108" s="103"/>
      <c r="AM108" s="12" t="s">
        <v>185</v>
      </c>
      <c r="AN108" s="117" t="e">
        <f>Allgemein!F53</f>
        <v>#DIV/0!</v>
      </c>
      <c r="AO108" s="12"/>
      <c r="BH108" s="2" t="s">
        <v>579</v>
      </c>
      <c r="BI108" s="2">
        <v>3000</v>
      </c>
      <c r="BJ108" s="2">
        <v>300</v>
      </c>
      <c r="BN108" s="2">
        <v>1254</v>
      </c>
      <c r="CK108" s="5"/>
      <c r="CL108" s="5"/>
      <c r="CM108" s="5"/>
      <c r="DR108" s="5"/>
      <c r="DS108" s="5"/>
      <c r="DT108" s="5"/>
      <c r="DW108" s="147"/>
      <c r="EA108" s="147"/>
      <c r="EC108" s="148"/>
      <c r="EH108" s="150"/>
      <c r="EI108" s="5"/>
    </row>
    <row r="109" spans="2:139">
      <c r="B109" s="46" t="s">
        <v>609</v>
      </c>
      <c r="D109" s="55" t="e">
        <f>$G95*Datenbank!D100</f>
        <v>#DIV/0!</v>
      </c>
      <c r="E109" s="55" t="e">
        <f>$G95*Datenbank!E100</f>
        <v>#DIV/0!</v>
      </c>
      <c r="F109" s="55" t="e">
        <f>$G95*Datenbank!F100</f>
        <v>#DIV/0!</v>
      </c>
      <c r="G109" s="55" t="e">
        <f>$G95*Datenbank!G100</f>
        <v>#DIV/0!</v>
      </c>
      <c r="H109" s="55" t="e">
        <f>$G95*Datenbank!H100</f>
        <v>#DIV/0!</v>
      </c>
      <c r="I109" s="55" t="e">
        <f>$G95*Datenbank!I100</f>
        <v>#DIV/0!</v>
      </c>
      <c r="J109" s="55" t="e">
        <f>$G95*Datenbank!J100</f>
        <v>#DIV/0!</v>
      </c>
      <c r="K109" s="55" t="e">
        <f>$G95*Datenbank!K100</f>
        <v>#DIV/0!</v>
      </c>
      <c r="L109" s="55" t="e">
        <f>$G95*Datenbank!L100</f>
        <v>#DIV/0!</v>
      </c>
      <c r="M109" s="55" t="e">
        <f>$G95*Datenbank!M100</f>
        <v>#DIV/0!</v>
      </c>
      <c r="N109" s="55" t="e">
        <f>$G95*Datenbank!N100</f>
        <v>#DIV/0!</v>
      </c>
      <c r="O109" s="55" t="e">
        <f>$G95*Datenbank!O100</f>
        <v>#DIV/0!</v>
      </c>
      <c r="P109" s="55" t="e">
        <f>$G95*Datenbank!P100</f>
        <v>#DIV/0!</v>
      </c>
      <c r="Q109" s="55" t="e">
        <f>$G95*Datenbank!Q100</f>
        <v>#DIV/0!</v>
      </c>
      <c r="R109" s="55" t="e">
        <f>$G95*Datenbank!R100</f>
        <v>#DIV/0!</v>
      </c>
      <c r="S109" s="55" t="e">
        <f>$G95*Datenbank!S100</f>
        <v>#DIV/0!</v>
      </c>
      <c r="T109" s="55" t="e">
        <f>$G95*Datenbank!T100</f>
        <v>#DIV/0!</v>
      </c>
      <c r="U109" s="55" t="e">
        <f>$G95*Datenbank!U100</f>
        <v>#DIV/0!</v>
      </c>
      <c r="V109" s="55" t="e">
        <f>$G95*Datenbank!V100</f>
        <v>#DIV/0!</v>
      </c>
      <c r="W109" s="55" t="e">
        <f>$G95*Datenbank!W100</f>
        <v>#DIV/0!</v>
      </c>
      <c r="X109" s="55" t="e">
        <f>$G95*Datenbank!X100</f>
        <v>#DIV/0!</v>
      </c>
      <c r="Y109" s="55" t="e">
        <f>$G95*Datenbank!Y100</f>
        <v>#DIV/0!</v>
      </c>
      <c r="Z109" s="55" t="e">
        <f>$G95*Datenbank!Z100</f>
        <v>#DIV/0!</v>
      </c>
      <c r="AA109" s="55" t="e">
        <f>$G95*Datenbank!AA100</f>
        <v>#DIV/0!</v>
      </c>
      <c r="AB109" s="55" t="e">
        <f>$G95*Datenbank!AB100</f>
        <v>#DIV/0!</v>
      </c>
      <c r="AC109" s="55" t="e">
        <f>$G95*Datenbank!AC100</f>
        <v>#DIV/0!</v>
      </c>
      <c r="AD109" s="55" t="e">
        <f>$G95*Datenbank!AD100</f>
        <v>#DIV/0!</v>
      </c>
      <c r="AE109" s="55" t="e">
        <f>$G95*Datenbank!AE100</f>
        <v>#DIV/0!</v>
      </c>
      <c r="AF109" s="55" t="e">
        <f>$G95*Datenbank!AF100</f>
        <v>#DIV/0!</v>
      </c>
      <c r="AG109" s="55" t="e">
        <f>$G95*Datenbank!AG100</f>
        <v>#DIV/0!</v>
      </c>
      <c r="AH109" s="90"/>
      <c r="AI109" s="87" t="e">
        <f t="shared" si="172"/>
        <v>#DIV/0!</v>
      </c>
      <c r="AJ109" s="90"/>
      <c r="AK109" s="47"/>
      <c r="AM109" s="2" t="s">
        <v>79</v>
      </c>
      <c r="AN109" s="24" t="e">
        <f>SUM(AN104:AN108)</f>
        <v>#DIV/0!</v>
      </c>
      <c r="AO109" s="24">
        <f>SUM(AO102:AO108)</f>
        <v>0</v>
      </c>
      <c r="BH109" s="2" t="s">
        <v>579</v>
      </c>
      <c r="BI109" s="2">
        <v>400</v>
      </c>
      <c r="BJ109" s="2">
        <v>400</v>
      </c>
      <c r="BN109" s="2">
        <v>211</v>
      </c>
      <c r="CK109" s="5"/>
      <c r="CL109" s="5"/>
      <c r="CM109" s="5"/>
      <c r="DR109" s="5"/>
      <c r="DS109" s="5"/>
      <c r="DT109" s="5"/>
      <c r="DW109" s="147"/>
      <c r="EA109" s="147"/>
      <c r="EC109" s="148"/>
      <c r="EH109" s="150"/>
      <c r="EI109" s="5"/>
    </row>
    <row r="110" spans="2:139">
      <c r="B110" s="46" t="s">
        <v>610</v>
      </c>
      <c r="C110" s="2" t="str">
        <f>IF(J95="Ja","mit WP","ohne WP")</f>
        <v>ohne WP</v>
      </c>
      <c r="D110" s="54" t="e">
        <f t="shared" ref="D110:AG110" si="173">IF($J95="Ja",D108,D109)</f>
        <v>#DIV/0!</v>
      </c>
      <c r="E110" s="54" t="e">
        <f t="shared" si="173"/>
        <v>#DIV/0!</v>
      </c>
      <c r="F110" s="54" t="e">
        <f t="shared" si="173"/>
        <v>#DIV/0!</v>
      </c>
      <c r="G110" s="54" t="e">
        <f t="shared" si="173"/>
        <v>#DIV/0!</v>
      </c>
      <c r="H110" s="54" t="e">
        <f t="shared" si="173"/>
        <v>#DIV/0!</v>
      </c>
      <c r="I110" s="54" t="e">
        <f t="shared" si="173"/>
        <v>#DIV/0!</v>
      </c>
      <c r="J110" s="54" t="e">
        <f t="shared" si="173"/>
        <v>#DIV/0!</v>
      </c>
      <c r="K110" s="54" t="e">
        <f t="shared" si="173"/>
        <v>#DIV/0!</v>
      </c>
      <c r="L110" s="54" t="e">
        <f t="shared" si="173"/>
        <v>#DIV/0!</v>
      </c>
      <c r="M110" s="54" t="e">
        <f t="shared" si="173"/>
        <v>#DIV/0!</v>
      </c>
      <c r="N110" s="54" t="e">
        <f t="shared" si="173"/>
        <v>#DIV/0!</v>
      </c>
      <c r="O110" s="54" t="e">
        <f t="shared" si="173"/>
        <v>#DIV/0!</v>
      </c>
      <c r="P110" s="54" t="e">
        <f t="shared" si="173"/>
        <v>#DIV/0!</v>
      </c>
      <c r="Q110" s="54" t="e">
        <f t="shared" si="173"/>
        <v>#DIV/0!</v>
      </c>
      <c r="R110" s="54" t="e">
        <f t="shared" si="173"/>
        <v>#DIV/0!</v>
      </c>
      <c r="S110" s="54" t="e">
        <f t="shared" si="173"/>
        <v>#DIV/0!</v>
      </c>
      <c r="T110" s="54" t="e">
        <f t="shared" si="173"/>
        <v>#DIV/0!</v>
      </c>
      <c r="U110" s="54" t="e">
        <f t="shared" si="173"/>
        <v>#DIV/0!</v>
      </c>
      <c r="V110" s="54" t="e">
        <f t="shared" si="173"/>
        <v>#DIV/0!</v>
      </c>
      <c r="W110" s="54" t="e">
        <f t="shared" si="173"/>
        <v>#DIV/0!</v>
      </c>
      <c r="X110" s="54" t="e">
        <f t="shared" si="173"/>
        <v>#DIV/0!</v>
      </c>
      <c r="Y110" s="54" t="e">
        <f t="shared" si="173"/>
        <v>#DIV/0!</v>
      </c>
      <c r="Z110" s="54" t="e">
        <f t="shared" si="173"/>
        <v>#DIV/0!</v>
      </c>
      <c r="AA110" s="54" t="e">
        <f t="shared" si="173"/>
        <v>#DIV/0!</v>
      </c>
      <c r="AB110" s="54" t="e">
        <f t="shared" si="173"/>
        <v>#DIV/0!</v>
      </c>
      <c r="AC110" s="54" t="e">
        <f t="shared" si="173"/>
        <v>#DIV/0!</v>
      </c>
      <c r="AD110" s="54" t="e">
        <f t="shared" si="173"/>
        <v>#DIV/0!</v>
      </c>
      <c r="AE110" s="54" t="e">
        <f t="shared" si="173"/>
        <v>#DIV/0!</v>
      </c>
      <c r="AF110" s="54" t="e">
        <f t="shared" si="173"/>
        <v>#DIV/0!</v>
      </c>
      <c r="AG110" s="54" t="e">
        <f t="shared" si="173"/>
        <v>#DIV/0!</v>
      </c>
      <c r="AH110" s="90"/>
      <c r="AI110" s="87" t="e">
        <f>SUM(D110:AG110)</f>
        <v>#DIV/0!</v>
      </c>
      <c r="AJ110" s="90"/>
      <c r="AK110" s="101"/>
      <c r="BH110" s="2" t="s">
        <v>579</v>
      </c>
      <c r="BI110" s="2">
        <v>500</v>
      </c>
      <c r="BJ110" s="2">
        <v>400</v>
      </c>
      <c r="BN110" s="2">
        <v>264</v>
      </c>
      <c r="CK110" s="5"/>
      <c r="CL110" s="5"/>
      <c r="CM110" s="5"/>
      <c r="DR110" s="5"/>
      <c r="DS110" s="5"/>
      <c r="DT110" s="5"/>
      <c r="DW110" s="147"/>
      <c r="EA110" s="147"/>
      <c r="EC110" s="148"/>
      <c r="EH110" s="150"/>
      <c r="EI110" s="5"/>
    </row>
    <row r="111" spans="2:139">
      <c r="B111" s="46" t="s">
        <v>611</v>
      </c>
      <c r="D111" s="54" t="e">
        <f>D103+D110</f>
        <v>#DIV/0!</v>
      </c>
      <c r="E111" s="54" t="e">
        <f t="shared" ref="E111:AG111" si="174">E103+E110</f>
        <v>#DIV/0!</v>
      </c>
      <c r="F111" s="54" t="e">
        <f t="shared" si="174"/>
        <v>#DIV/0!</v>
      </c>
      <c r="G111" s="54" t="e">
        <f t="shared" si="174"/>
        <v>#DIV/0!</v>
      </c>
      <c r="H111" s="54" t="e">
        <f t="shared" si="174"/>
        <v>#DIV/0!</v>
      </c>
      <c r="I111" s="54" t="e">
        <f t="shared" si="174"/>
        <v>#DIV/0!</v>
      </c>
      <c r="J111" s="54" t="e">
        <f t="shared" si="174"/>
        <v>#DIV/0!</v>
      </c>
      <c r="K111" s="54" t="e">
        <f t="shared" si="174"/>
        <v>#DIV/0!</v>
      </c>
      <c r="L111" s="54" t="e">
        <f t="shared" si="174"/>
        <v>#DIV/0!</v>
      </c>
      <c r="M111" s="54" t="e">
        <f t="shared" si="174"/>
        <v>#DIV/0!</v>
      </c>
      <c r="N111" s="54" t="e">
        <f t="shared" si="174"/>
        <v>#DIV/0!</v>
      </c>
      <c r="O111" s="54" t="e">
        <f t="shared" si="174"/>
        <v>#DIV/0!</v>
      </c>
      <c r="P111" s="54" t="e">
        <f t="shared" si="174"/>
        <v>#DIV/0!</v>
      </c>
      <c r="Q111" s="54" t="e">
        <f t="shared" si="174"/>
        <v>#DIV/0!</v>
      </c>
      <c r="R111" s="54" t="e">
        <f t="shared" si="174"/>
        <v>#DIV/0!</v>
      </c>
      <c r="S111" s="54" t="e">
        <f t="shared" si="174"/>
        <v>#DIV/0!</v>
      </c>
      <c r="T111" s="54" t="e">
        <f t="shared" si="174"/>
        <v>#DIV/0!</v>
      </c>
      <c r="U111" s="54" t="e">
        <f t="shared" si="174"/>
        <v>#DIV/0!</v>
      </c>
      <c r="V111" s="54" t="e">
        <f t="shared" si="174"/>
        <v>#DIV/0!</v>
      </c>
      <c r="W111" s="54" t="e">
        <f t="shared" si="174"/>
        <v>#DIV/0!</v>
      </c>
      <c r="X111" s="54" t="e">
        <f t="shared" si="174"/>
        <v>#DIV/0!</v>
      </c>
      <c r="Y111" s="54" t="e">
        <f t="shared" si="174"/>
        <v>#DIV/0!</v>
      </c>
      <c r="Z111" s="54" t="e">
        <f t="shared" si="174"/>
        <v>#DIV/0!</v>
      </c>
      <c r="AA111" s="54" t="e">
        <f t="shared" si="174"/>
        <v>#DIV/0!</v>
      </c>
      <c r="AB111" s="54" t="e">
        <f t="shared" si="174"/>
        <v>#DIV/0!</v>
      </c>
      <c r="AC111" s="54" t="e">
        <f t="shared" si="174"/>
        <v>#DIV/0!</v>
      </c>
      <c r="AD111" s="54" t="e">
        <f t="shared" si="174"/>
        <v>#DIV/0!</v>
      </c>
      <c r="AE111" s="54" t="e">
        <f t="shared" si="174"/>
        <v>#DIV/0!</v>
      </c>
      <c r="AF111" s="54" t="e">
        <f t="shared" si="174"/>
        <v>#DIV/0!</v>
      </c>
      <c r="AG111" s="54" t="e">
        <f t="shared" si="174"/>
        <v>#DIV/0!</v>
      </c>
      <c r="AH111" s="90"/>
      <c r="AI111" s="87" t="e">
        <f>SUM(D111:AG111)</f>
        <v>#DIV/0!</v>
      </c>
      <c r="AJ111" s="91" t="e">
        <f>AI105-AI111</f>
        <v>#DIV/0!</v>
      </c>
      <c r="AK111" s="47"/>
      <c r="AM111" s="2" t="s">
        <v>612</v>
      </c>
      <c r="AN111" s="24" t="e">
        <f>AN109-AO109</f>
        <v>#DIV/0!</v>
      </c>
      <c r="BH111" s="2" t="s">
        <v>579</v>
      </c>
      <c r="BI111" s="2">
        <v>600</v>
      </c>
      <c r="BJ111" s="2">
        <v>400</v>
      </c>
      <c r="BN111" s="2">
        <v>317</v>
      </c>
      <c r="CK111" s="5"/>
      <c r="CL111" s="5"/>
      <c r="CM111" s="5"/>
      <c r="DR111" s="5"/>
      <c r="DS111" s="5"/>
      <c r="DT111" s="5"/>
      <c r="DW111" s="147"/>
      <c r="EA111" s="147"/>
      <c r="EC111" s="148"/>
      <c r="EH111" s="150"/>
      <c r="EI111" s="5"/>
    </row>
    <row r="112" spans="2:139">
      <c r="B112" s="46" t="s">
        <v>613</v>
      </c>
      <c r="D112" s="55" t="e">
        <f>$S95*Allgemein!$H$140</f>
        <v>#N/A</v>
      </c>
      <c r="E112" s="55" t="e">
        <f>$S95*Allgemein!$H$140</f>
        <v>#N/A</v>
      </c>
      <c r="F112" s="55" t="e">
        <f>$S95*Allgemein!$H$140</f>
        <v>#N/A</v>
      </c>
      <c r="G112" s="55" t="e">
        <f>$S95*Allgemein!$H$140</f>
        <v>#N/A</v>
      </c>
      <c r="H112" s="55" t="e">
        <f>$S95*Allgemein!$H$140</f>
        <v>#N/A</v>
      </c>
      <c r="I112" s="55" t="e">
        <f>$S95*Allgemein!$H$140</f>
        <v>#N/A</v>
      </c>
      <c r="J112" s="55" t="e">
        <f>$S95*Allgemein!$H$140</f>
        <v>#N/A</v>
      </c>
      <c r="K112" s="55" t="e">
        <f>$S95*Allgemein!$H$140</f>
        <v>#N/A</v>
      </c>
      <c r="L112" s="55" t="e">
        <f>$S95*Allgemein!$H$140</f>
        <v>#N/A</v>
      </c>
      <c r="M112" s="55" t="e">
        <f>$S95*Allgemein!$H$140</f>
        <v>#N/A</v>
      </c>
      <c r="N112" s="55" t="e">
        <f>$S95*Allgemein!$H$140</f>
        <v>#N/A</v>
      </c>
      <c r="O112" s="55" t="e">
        <f>$S95*Allgemein!$H$140</f>
        <v>#N/A</v>
      </c>
      <c r="P112" s="55" t="e">
        <f>$S95*Allgemein!$H$140</f>
        <v>#N/A</v>
      </c>
      <c r="Q112" s="55" t="e">
        <f>$S95*Allgemein!$H$140</f>
        <v>#N/A</v>
      </c>
      <c r="R112" s="55" t="e">
        <f>$S95*Allgemein!$H$140</f>
        <v>#N/A</v>
      </c>
      <c r="S112" s="55" t="e">
        <f>$S95*Allgemein!$H$140</f>
        <v>#N/A</v>
      </c>
      <c r="T112" s="55" t="e">
        <f>$S95*Allgemein!$H$140</f>
        <v>#N/A</v>
      </c>
      <c r="U112" s="55" t="e">
        <f>$S95*Allgemein!$H$140</f>
        <v>#N/A</v>
      </c>
      <c r="V112" s="55" t="e">
        <f>$S95*Allgemein!$H$140</f>
        <v>#N/A</v>
      </c>
      <c r="W112" s="55" t="e">
        <f>$S95*Allgemein!$H$140</f>
        <v>#N/A</v>
      </c>
      <c r="X112" s="55" t="e">
        <f>$S95*Allgemein!$H$141</f>
        <v>#N/A</v>
      </c>
      <c r="Y112" s="55" t="e">
        <f>$S95*Allgemein!$H$141</f>
        <v>#N/A</v>
      </c>
      <c r="Z112" s="55" t="e">
        <f>$S95*Allgemein!$H$141</f>
        <v>#N/A</v>
      </c>
      <c r="AA112" s="55" t="e">
        <f>$S95*Allgemein!$H$141</f>
        <v>#N/A</v>
      </c>
      <c r="AB112" s="55" t="e">
        <f>$S95*Allgemein!$H$141</f>
        <v>#N/A</v>
      </c>
      <c r="AC112" s="55" t="e">
        <f>$S95*Allgemein!$H$141</f>
        <v>#N/A</v>
      </c>
      <c r="AD112" s="55" t="e">
        <f>$S95*Allgemein!$H$141</f>
        <v>#N/A</v>
      </c>
      <c r="AE112" s="55" t="e">
        <f>$S95*Allgemein!$H$141</f>
        <v>#N/A</v>
      </c>
      <c r="AF112" s="55" t="e">
        <f>$S95*Allgemein!$H$141</f>
        <v>#N/A</v>
      </c>
      <c r="AG112" s="55" t="e">
        <f>$S95*Allgemein!$H$141</f>
        <v>#N/A</v>
      </c>
      <c r="AH112" s="90"/>
      <c r="AI112" s="87" t="e">
        <f>SUM(D112:AG112)</f>
        <v>#N/A</v>
      </c>
      <c r="AJ112" s="90"/>
      <c r="AK112" s="47"/>
      <c r="BH112" s="2" t="s">
        <v>579</v>
      </c>
      <c r="BI112" s="2">
        <v>700</v>
      </c>
      <c r="BJ112" s="2">
        <v>400</v>
      </c>
      <c r="BN112" s="2">
        <v>370</v>
      </c>
      <c r="CK112" s="5"/>
      <c r="CL112" s="5"/>
      <c r="CM112" s="5"/>
      <c r="DR112" s="5"/>
      <c r="DS112" s="5"/>
      <c r="DT112" s="5"/>
      <c r="DW112" s="147"/>
      <c r="EA112" s="147"/>
      <c r="EC112" s="148"/>
      <c r="EH112" s="150"/>
      <c r="EI112" s="5"/>
    </row>
    <row r="113" spans="2:139">
      <c r="B113" s="46" t="s">
        <v>614</v>
      </c>
      <c r="D113" s="54">
        <f>$S96*Datenbank!D101+IF($J95="Nein",Datenbank!D110,0)</f>
        <v>0</v>
      </c>
      <c r="E113" s="54">
        <f>$S96*Datenbank!E101+IF($J95="Nein",Datenbank!E110,0)</f>
        <v>0</v>
      </c>
      <c r="F113" s="54">
        <f>$S96*Datenbank!F101+IF($J95="Nein",Datenbank!F110,0)</f>
        <v>0</v>
      </c>
      <c r="G113" s="54">
        <f>$S96*Datenbank!G101+IF($J95="Nein",Datenbank!G110,0)</f>
        <v>0</v>
      </c>
      <c r="H113" s="54">
        <f>$S96*Datenbank!H101+IF($J95="Nein",Datenbank!H110,0)</f>
        <v>0</v>
      </c>
      <c r="I113" s="54">
        <f>$S96*Datenbank!I101+IF($J95="Nein",Datenbank!I110,0)</f>
        <v>0</v>
      </c>
      <c r="J113" s="54">
        <f>$S96*Datenbank!J101+IF($J95="Nein",Datenbank!J110,0)</f>
        <v>0</v>
      </c>
      <c r="K113" s="54">
        <f>$S96*Datenbank!K101+IF($J95="Nein",Datenbank!K110,0)</f>
        <v>0</v>
      </c>
      <c r="L113" s="54">
        <f>$S96*Datenbank!L101+IF($J95="Nein",Datenbank!L110,0)</f>
        <v>0</v>
      </c>
      <c r="M113" s="54">
        <f>$S96*Datenbank!M101+IF($J95="Nein",Datenbank!M110,0)</f>
        <v>0</v>
      </c>
      <c r="N113" s="54">
        <f>$S96*Datenbank!N101+IF($J95="Nein",Datenbank!N110,0)</f>
        <v>0</v>
      </c>
      <c r="O113" s="54">
        <f>$S96*Datenbank!O101+IF($J95="Nein",Datenbank!O110,0)</f>
        <v>0</v>
      </c>
      <c r="P113" s="54">
        <f>$S96*Datenbank!P101+IF($J95="Nein",Datenbank!P110,0)</f>
        <v>0</v>
      </c>
      <c r="Q113" s="54">
        <f>$S96*Datenbank!Q101+IF($J95="Nein",Datenbank!Q110,0)</f>
        <v>0</v>
      </c>
      <c r="R113" s="54">
        <f>$S96*Datenbank!R101+IF($J95="Nein",Datenbank!R110,0)</f>
        <v>0</v>
      </c>
      <c r="S113" s="54">
        <f>$S96*Datenbank!S101+IF($J95="Nein",Datenbank!S110,0)</f>
        <v>0</v>
      </c>
      <c r="T113" s="54">
        <f>$S96*Datenbank!T101+IF($J95="Nein",Datenbank!T110,0)</f>
        <v>0</v>
      </c>
      <c r="U113" s="54">
        <f>$S96*Datenbank!U101+IF($J95="Nein",Datenbank!U110,0)</f>
        <v>0</v>
      </c>
      <c r="V113" s="54">
        <f>$S96*Datenbank!V101+IF($J95="Nein",Datenbank!V110,0)</f>
        <v>0</v>
      </c>
      <c r="W113" s="54">
        <f>$S96*Datenbank!W101+IF($J95="Nein",Datenbank!W110,0)</f>
        <v>0</v>
      </c>
      <c r="X113" s="54">
        <f>$S96*Datenbank!X101+IF($J95="Nein",Datenbank!X110,0)</f>
        <v>0</v>
      </c>
      <c r="Y113" s="54">
        <f>$S96*Datenbank!Y101+IF($J95="Nein",Datenbank!Y110,0)</f>
        <v>0</v>
      </c>
      <c r="Z113" s="54">
        <f>$S96*Datenbank!Z101+IF($J95="Nein",Datenbank!Z110,0)</f>
        <v>0</v>
      </c>
      <c r="AA113" s="54">
        <f>$S96*Datenbank!AA101+IF($J95="Nein",Datenbank!AA110,0)</f>
        <v>0</v>
      </c>
      <c r="AB113" s="54">
        <f>$S96*Datenbank!AB101+IF($J95="Nein",Datenbank!AB110,0)</f>
        <v>0</v>
      </c>
      <c r="AC113" s="54">
        <f>$S96*Datenbank!AC101+IF($J95="Nein",Datenbank!AC110,0)</f>
        <v>0</v>
      </c>
      <c r="AD113" s="54">
        <f>$S96*Datenbank!AD101+IF($J95="Nein",Datenbank!AD110,0)</f>
        <v>0</v>
      </c>
      <c r="AE113" s="54">
        <f>$S96*Datenbank!AE101+IF($J95="Nein",Datenbank!AE110,0)</f>
        <v>0</v>
      </c>
      <c r="AF113" s="54">
        <f>$S96*Datenbank!AF101+IF($J95="Nein",Datenbank!AF110,0)</f>
        <v>0</v>
      </c>
      <c r="AG113" s="54">
        <f>$S96*Datenbank!AG101+IF($J95="Nein",Datenbank!AG110,0)</f>
        <v>0</v>
      </c>
      <c r="AH113" s="90"/>
      <c r="AI113" s="87">
        <f>SUM(D113:AG113)</f>
        <v>0</v>
      </c>
      <c r="AJ113" s="91" t="e">
        <f>AI105-AI113</f>
        <v>#DIV/0!</v>
      </c>
      <c r="AK113" s="47"/>
      <c r="BH113" s="2" t="s">
        <v>579</v>
      </c>
      <c r="BI113" s="2">
        <v>800</v>
      </c>
      <c r="BJ113" s="2">
        <v>400</v>
      </c>
      <c r="BN113" s="2">
        <v>422</v>
      </c>
      <c r="CK113" s="5"/>
      <c r="CL113" s="5"/>
      <c r="CM113" s="5"/>
      <c r="DR113" s="5"/>
      <c r="DS113" s="5"/>
      <c r="DT113" s="5"/>
      <c r="DW113" s="147"/>
      <c r="EA113" s="147"/>
      <c r="EC113" s="148"/>
      <c r="EH113" s="150"/>
      <c r="EI113" s="5"/>
    </row>
    <row r="114" spans="2:139">
      <c r="B114" s="46" t="s">
        <v>615</v>
      </c>
      <c r="D114" s="25" t="e">
        <f>D113-D112</f>
        <v>#N/A</v>
      </c>
      <c r="E114" s="25" t="e">
        <f t="shared" ref="E114:AG114" si="175">E113-E112</f>
        <v>#N/A</v>
      </c>
      <c r="F114" s="25" t="e">
        <f t="shared" si="175"/>
        <v>#N/A</v>
      </c>
      <c r="G114" s="25" t="e">
        <f t="shared" si="175"/>
        <v>#N/A</v>
      </c>
      <c r="H114" s="25" t="e">
        <f t="shared" si="175"/>
        <v>#N/A</v>
      </c>
      <c r="I114" s="25" t="e">
        <f t="shared" si="175"/>
        <v>#N/A</v>
      </c>
      <c r="J114" s="25" t="e">
        <f t="shared" si="175"/>
        <v>#N/A</v>
      </c>
      <c r="K114" s="25" t="e">
        <f t="shared" si="175"/>
        <v>#N/A</v>
      </c>
      <c r="L114" s="25" t="e">
        <f t="shared" si="175"/>
        <v>#N/A</v>
      </c>
      <c r="M114" s="25" t="e">
        <f t="shared" si="175"/>
        <v>#N/A</v>
      </c>
      <c r="N114" s="25" t="e">
        <f t="shared" si="175"/>
        <v>#N/A</v>
      </c>
      <c r="O114" s="25" t="e">
        <f t="shared" si="175"/>
        <v>#N/A</v>
      </c>
      <c r="P114" s="25" t="e">
        <f t="shared" si="175"/>
        <v>#N/A</v>
      </c>
      <c r="Q114" s="25" t="e">
        <f t="shared" si="175"/>
        <v>#N/A</v>
      </c>
      <c r="R114" s="25" t="e">
        <f t="shared" si="175"/>
        <v>#N/A</v>
      </c>
      <c r="S114" s="25" t="e">
        <f t="shared" si="175"/>
        <v>#N/A</v>
      </c>
      <c r="T114" s="25" t="e">
        <f t="shared" si="175"/>
        <v>#N/A</v>
      </c>
      <c r="U114" s="25" t="e">
        <f t="shared" si="175"/>
        <v>#N/A</v>
      </c>
      <c r="V114" s="25" t="e">
        <f t="shared" si="175"/>
        <v>#N/A</v>
      </c>
      <c r="W114" s="25" t="e">
        <f t="shared" si="175"/>
        <v>#N/A</v>
      </c>
      <c r="X114" s="25" t="e">
        <f t="shared" si="175"/>
        <v>#N/A</v>
      </c>
      <c r="Y114" s="25" t="e">
        <f t="shared" si="175"/>
        <v>#N/A</v>
      </c>
      <c r="Z114" s="25" t="e">
        <f t="shared" si="175"/>
        <v>#N/A</v>
      </c>
      <c r="AA114" s="25" t="e">
        <f t="shared" si="175"/>
        <v>#N/A</v>
      </c>
      <c r="AB114" s="25" t="e">
        <f t="shared" si="175"/>
        <v>#N/A</v>
      </c>
      <c r="AC114" s="25" t="e">
        <f t="shared" si="175"/>
        <v>#N/A</v>
      </c>
      <c r="AD114" s="25" t="e">
        <f t="shared" si="175"/>
        <v>#N/A</v>
      </c>
      <c r="AE114" s="25" t="e">
        <f t="shared" si="175"/>
        <v>#N/A</v>
      </c>
      <c r="AF114" s="25" t="e">
        <f t="shared" si="175"/>
        <v>#N/A</v>
      </c>
      <c r="AG114" s="25" t="e">
        <f t="shared" si="175"/>
        <v>#N/A</v>
      </c>
      <c r="AH114" s="106"/>
      <c r="AI114" s="93" t="e">
        <f>AI113-AI112</f>
        <v>#N/A</v>
      </c>
      <c r="AJ114" s="106" t="e">
        <f>AI105-AI114</f>
        <v>#DIV/0!</v>
      </c>
      <c r="AK114" s="98"/>
      <c r="BH114" s="2" t="s">
        <v>579</v>
      </c>
      <c r="BI114" s="2">
        <v>900</v>
      </c>
      <c r="BJ114" s="2">
        <v>400</v>
      </c>
      <c r="BN114" s="2">
        <v>475</v>
      </c>
      <c r="CK114" s="5"/>
      <c r="CL114" s="5"/>
      <c r="CM114" s="5"/>
      <c r="DR114" s="5"/>
      <c r="DS114" s="5"/>
      <c r="DT114" s="5"/>
      <c r="DW114" s="147"/>
      <c r="EA114" s="147"/>
      <c r="EC114" s="148"/>
      <c r="EH114" s="150"/>
      <c r="EI114" s="5"/>
    </row>
    <row r="115" spans="2:139">
      <c r="B115" s="46" t="s">
        <v>616</v>
      </c>
      <c r="D115" s="25" t="e">
        <f t="shared" ref="D115:AG115" si="176">IF($J96="Ja",D114,D110+D103)</f>
        <v>#DIV/0!</v>
      </c>
      <c r="E115" s="25" t="e">
        <f t="shared" si="176"/>
        <v>#DIV/0!</v>
      </c>
      <c r="F115" s="25" t="e">
        <f t="shared" si="176"/>
        <v>#DIV/0!</v>
      </c>
      <c r="G115" s="25" t="e">
        <f t="shared" si="176"/>
        <v>#DIV/0!</v>
      </c>
      <c r="H115" s="25" t="e">
        <f t="shared" si="176"/>
        <v>#DIV/0!</v>
      </c>
      <c r="I115" s="25" t="e">
        <f t="shared" si="176"/>
        <v>#DIV/0!</v>
      </c>
      <c r="J115" s="25" t="e">
        <f t="shared" si="176"/>
        <v>#DIV/0!</v>
      </c>
      <c r="K115" s="25" t="e">
        <f t="shared" si="176"/>
        <v>#DIV/0!</v>
      </c>
      <c r="L115" s="25" t="e">
        <f t="shared" si="176"/>
        <v>#DIV/0!</v>
      </c>
      <c r="M115" s="25" t="e">
        <f t="shared" si="176"/>
        <v>#DIV/0!</v>
      </c>
      <c r="N115" s="25" t="e">
        <f t="shared" si="176"/>
        <v>#DIV/0!</v>
      </c>
      <c r="O115" s="25" t="e">
        <f t="shared" si="176"/>
        <v>#DIV/0!</v>
      </c>
      <c r="P115" s="25" t="e">
        <f t="shared" si="176"/>
        <v>#DIV/0!</v>
      </c>
      <c r="Q115" s="25" t="e">
        <f t="shared" si="176"/>
        <v>#DIV/0!</v>
      </c>
      <c r="R115" s="25" t="e">
        <f t="shared" si="176"/>
        <v>#DIV/0!</v>
      </c>
      <c r="S115" s="25" t="e">
        <f t="shared" si="176"/>
        <v>#DIV/0!</v>
      </c>
      <c r="T115" s="25" t="e">
        <f t="shared" si="176"/>
        <v>#DIV/0!</v>
      </c>
      <c r="U115" s="25" t="e">
        <f t="shared" si="176"/>
        <v>#DIV/0!</v>
      </c>
      <c r="V115" s="25" t="e">
        <f t="shared" si="176"/>
        <v>#DIV/0!</v>
      </c>
      <c r="W115" s="25" t="e">
        <f t="shared" si="176"/>
        <v>#DIV/0!</v>
      </c>
      <c r="X115" s="25" t="e">
        <f t="shared" si="176"/>
        <v>#DIV/0!</v>
      </c>
      <c r="Y115" s="25" t="e">
        <f t="shared" si="176"/>
        <v>#DIV/0!</v>
      </c>
      <c r="Z115" s="25" t="e">
        <f t="shared" si="176"/>
        <v>#DIV/0!</v>
      </c>
      <c r="AA115" s="25" t="e">
        <f t="shared" si="176"/>
        <v>#DIV/0!</v>
      </c>
      <c r="AB115" s="25" t="e">
        <f t="shared" si="176"/>
        <v>#DIV/0!</v>
      </c>
      <c r="AC115" s="25" t="e">
        <f t="shared" si="176"/>
        <v>#DIV/0!</v>
      </c>
      <c r="AD115" s="25" t="e">
        <f t="shared" si="176"/>
        <v>#DIV/0!</v>
      </c>
      <c r="AE115" s="25" t="e">
        <f t="shared" si="176"/>
        <v>#DIV/0!</v>
      </c>
      <c r="AF115" s="25" t="e">
        <f t="shared" si="176"/>
        <v>#DIV/0!</v>
      </c>
      <c r="AG115" s="25" t="e">
        <f t="shared" si="176"/>
        <v>#DIV/0!</v>
      </c>
      <c r="AH115" s="91"/>
      <c r="AI115" s="85"/>
      <c r="AJ115" s="91"/>
      <c r="AK115" s="47"/>
      <c r="BH115" s="2" t="s">
        <v>579</v>
      </c>
      <c r="BI115" s="2">
        <v>1000</v>
      </c>
      <c r="BJ115" s="2">
        <v>400</v>
      </c>
      <c r="BN115" s="2">
        <v>528</v>
      </c>
      <c r="CK115" s="5"/>
      <c r="CL115" s="5"/>
      <c r="CM115" s="5"/>
      <c r="DR115" s="5"/>
      <c r="DS115" s="5"/>
      <c r="DT115" s="5"/>
      <c r="DW115" s="147"/>
      <c r="EA115" s="147"/>
      <c r="EC115" s="148"/>
      <c r="EH115" s="150"/>
      <c r="EI115" s="5"/>
    </row>
    <row r="116" spans="2:139">
      <c r="B116" s="46" t="s">
        <v>617</v>
      </c>
      <c r="D116" s="25" t="e">
        <f>D115/12</f>
        <v>#DIV/0!</v>
      </c>
      <c r="E116" s="25" t="e">
        <f t="shared" ref="E116:AG116" si="177">E115/12</f>
        <v>#DIV/0!</v>
      </c>
      <c r="F116" s="25" t="e">
        <f t="shared" si="177"/>
        <v>#DIV/0!</v>
      </c>
      <c r="G116" s="25" t="e">
        <f t="shared" si="177"/>
        <v>#DIV/0!</v>
      </c>
      <c r="H116" s="25" t="e">
        <f t="shared" si="177"/>
        <v>#DIV/0!</v>
      </c>
      <c r="I116" s="25" t="e">
        <f t="shared" si="177"/>
        <v>#DIV/0!</v>
      </c>
      <c r="J116" s="25" t="e">
        <f t="shared" si="177"/>
        <v>#DIV/0!</v>
      </c>
      <c r="K116" s="25" t="e">
        <f t="shared" si="177"/>
        <v>#DIV/0!</v>
      </c>
      <c r="L116" s="25" t="e">
        <f t="shared" si="177"/>
        <v>#DIV/0!</v>
      </c>
      <c r="M116" s="25" t="e">
        <f t="shared" si="177"/>
        <v>#DIV/0!</v>
      </c>
      <c r="N116" s="25" t="e">
        <f t="shared" si="177"/>
        <v>#DIV/0!</v>
      </c>
      <c r="O116" s="25" t="e">
        <f t="shared" si="177"/>
        <v>#DIV/0!</v>
      </c>
      <c r="P116" s="25" t="e">
        <f t="shared" si="177"/>
        <v>#DIV/0!</v>
      </c>
      <c r="Q116" s="25" t="e">
        <f t="shared" si="177"/>
        <v>#DIV/0!</v>
      </c>
      <c r="R116" s="25" t="e">
        <f t="shared" si="177"/>
        <v>#DIV/0!</v>
      </c>
      <c r="S116" s="25" t="e">
        <f t="shared" si="177"/>
        <v>#DIV/0!</v>
      </c>
      <c r="T116" s="25" t="e">
        <f t="shared" si="177"/>
        <v>#DIV/0!</v>
      </c>
      <c r="U116" s="25" t="e">
        <f t="shared" si="177"/>
        <v>#DIV/0!</v>
      </c>
      <c r="V116" s="25" t="e">
        <f t="shared" si="177"/>
        <v>#DIV/0!</v>
      </c>
      <c r="W116" s="25" t="e">
        <f t="shared" si="177"/>
        <v>#DIV/0!</v>
      </c>
      <c r="X116" s="25" t="e">
        <f t="shared" si="177"/>
        <v>#DIV/0!</v>
      </c>
      <c r="Y116" s="25" t="e">
        <f t="shared" si="177"/>
        <v>#DIV/0!</v>
      </c>
      <c r="Z116" s="25" t="e">
        <f t="shared" si="177"/>
        <v>#DIV/0!</v>
      </c>
      <c r="AA116" s="25" t="e">
        <f t="shared" si="177"/>
        <v>#DIV/0!</v>
      </c>
      <c r="AB116" s="25" t="e">
        <f t="shared" si="177"/>
        <v>#DIV/0!</v>
      </c>
      <c r="AC116" s="25" t="e">
        <f t="shared" si="177"/>
        <v>#DIV/0!</v>
      </c>
      <c r="AD116" s="25" t="e">
        <f t="shared" si="177"/>
        <v>#DIV/0!</v>
      </c>
      <c r="AE116" s="25" t="e">
        <f t="shared" si="177"/>
        <v>#DIV/0!</v>
      </c>
      <c r="AF116" s="25" t="e">
        <f t="shared" si="177"/>
        <v>#DIV/0!</v>
      </c>
      <c r="AG116" s="25" t="e">
        <f t="shared" si="177"/>
        <v>#DIV/0!</v>
      </c>
      <c r="AH116" s="91"/>
      <c r="AI116" s="87"/>
      <c r="AJ116" s="91"/>
      <c r="AK116" s="47"/>
      <c r="CK116" s="5"/>
      <c r="CL116" s="5"/>
      <c r="CM116" s="5"/>
      <c r="DR116" s="5"/>
      <c r="DS116" s="5"/>
      <c r="DT116" s="5"/>
      <c r="DW116" s="147"/>
      <c r="EA116" s="147"/>
      <c r="EC116" s="148"/>
      <c r="EH116" s="150"/>
      <c r="EI116" s="5"/>
    </row>
    <row r="117" spans="2:139" ht="18.600000000000001">
      <c r="B117" s="46" t="s">
        <v>618</v>
      </c>
      <c r="D117" s="54" t="e">
        <f t="shared" ref="D117:AG117" si="178">IF($J96="Ja",D105-D113+D112,D104-D110)</f>
        <v>#DIV/0!</v>
      </c>
      <c r="E117" s="54" t="e">
        <f t="shared" si="178"/>
        <v>#DIV/0!</v>
      </c>
      <c r="F117" s="54" t="e">
        <f t="shared" si="178"/>
        <v>#DIV/0!</v>
      </c>
      <c r="G117" s="54" t="e">
        <f t="shared" si="178"/>
        <v>#DIV/0!</v>
      </c>
      <c r="H117" s="54" t="e">
        <f t="shared" si="178"/>
        <v>#DIV/0!</v>
      </c>
      <c r="I117" s="54" t="e">
        <f t="shared" si="178"/>
        <v>#DIV/0!</v>
      </c>
      <c r="J117" s="54" t="e">
        <f t="shared" si="178"/>
        <v>#DIV/0!</v>
      </c>
      <c r="K117" s="54" t="e">
        <f t="shared" si="178"/>
        <v>#DIV/0!</v>
      </c>
      <c r="L117" s="54" t="e">
        <f t="shared" si="178"/>
        <v>#DIV/0!</v>
      </c>
      <c r="M117" s="54" t="e">
        <f t="shared" si="178"/>
        <v>#DIV/0!</v>
      </c>
      <c r="N117" s="54" t="e">
        <f t="shared" si="178"/>
        <v>#DIV/0!</v>
      </c>
      <c r="O117" s="54" t="e">
        <f t="shared" si="178"/>
        <v>#DIV/0!</v>
      </c>
      <c r="P117" s="54" t="e">
        <f t="shared" si="178"/>
        <v>#DIV/0!</v>
      </c>
      <c r="Q117" s="54" t="e">
        <f t="shared" si="178"/>
        <v>#DIV/0!</v>
      </c>
      <c r="R117" s="54" t="e">
        <f t="shared" si="178"/>
        <v>#DIV/0!</v>
      </c>
      <c r="S117" s="54" t="e">
        <f t="shared" si="178"/>
        <v>#DIV/0!</v>
      </c>
      <c r="T117" s="54" t="e">
        <f t="shared" si="178"/>
        <v>#DIV/0!</v>
      </c>
      <c r="U117" s="54" t="e">
        <f t="shared" si="178"/>
        <v>#DIV/0!</v>
      </c>
      <c r="V117" s="54" t="e">
        <f t="shared" si="178"/>
        <v>#DIV/0!</v>
      </c>
      <c r="W117" s="54" t="e">
        <f t="shared" si="178"/>
        <v>#DIV/0!</v>
      </c>
      <c r="X117" s="54" t="e">
        <f t="shared" si="178"/>
        <v>#DIV/0!</v>
      </c>
      <c r="Y117" s="54" t="e">
        <f t="shared" si="178"/>
        <v>#DIV/0!</v>
      </c>
      <c r="Z117" s="54" t="e">
        <f t="shared" si="178"/>
        <v>#DIV/0!</v>
      </c>
      <c r="AA117" s="54" t="e">
        <f t="shared" si="178"/>
        <v>#DIV/0!</v>
      </c>
      <c r="AB117" s="54" t="e">
        <f t="shared" si="178"/>
        <v>#DIV/0!</v>
      </c>
      <c r="AC117" s="54" t="e">
        <f t="shared" si="178"/>
        <v>#DIV/0!</v>
      </c>
      <c r="AD117" s="54" t="e">
        <f t="shared" si="178"/>
        <v>#DIV/0!</v>
      </c>
      <c r="AE117" s="54" t="e">
        <f t="shared" si="178"/>
        <v>#DIV/0!</v>
      </c>
      <c r="AF117" s="54" t="e">
        <f t="shared" si="178"/>
        <v>#DIV/0!</v>
      </c>
      <c r="AG117" s="54" t="e">
        <f t="shared" si="178"/>
        <v>#DIV/0!</v>
      </c>
      <c r="AH117" s="92" t="s">
        <v>619</v>
      </c>
      <c r="AI117" s="905" t="s">
        <v>348</v>
      </c>
      <c r="AJ117" s="107" t="s">
        <v>620</v>
      </c>
      <c r="AK117" s="97" t="str">
        <f>IF(Allgemein!H122="Ja","mit PV","ohne PV")</f>
        <v>ohne PV</v>
      </c>
      <c r="BH117" s="2" t="s">
        <v>579</v>
      </c>
      <c r="BI117" s="2">
        <v>1100</v>
      </c>
      <c r="BJ117" s="2">
        <v>400</v>
      </c>
      <c r="BN117" s="2">
        <v>581</v>
      </c>
      <c r="CK117" s="5"/>
      <c r="CL117" s="5"/>
      <c r="CM117" s="5"/>
      <c r="DR117" s="5"/>
      <c r="DS117" s="5"/>
      <c r="DT117" s="5"/>
      <c r="DW117" s="147"/>
      <c r="EA117" s="147"/>
      <c r="EC117" s="148"/>
      <c r="EH117" s="150"/>
      <c r="EI117" s="5"/>
    </row>
    <row r="118" spans="2:139" ht="18" customHeight="1">
      <c r="B118" s="46" t="s">
        <v>621</v>
      </c>
      <c r="D118" s="54" t="e">
        <f>D117/12</f>
        <v>#DIV/0!</v>
      </c>
      <c r="E118" s="54" t="e">
        <f t="shared" ref="E118:AG118" si="179">E117/12</f>
        <v>#DIV/0!</v>
      </c>
      <c r="F118" s="54" t="e">
        <f t="shared" si="179"/>
        <v>#DIV/0!</v>
      </c>
      <c r="G118" s="54" t="e">
        <f t="shared" si="179"/>
        <v>#DIV/0!</v>
      </c>
      <c r="H118" s="54" t="e">
        <f t="shared" si="179"/>
        <v>#DIV/0!</v>
      </c>
      <c r="I118" s="54" t="e">
        <f t="shared" si="179"/>
        <v>#DIV/0!</v>
      </c>
      <c r="J118" s="54" t="e">
        <f t="shared" si="179"/>
        <v>#DIV/0!</v>
      </c>
      <c r="K118" s="54" t="e">
        <f t="shared" si="179"/>
        <v>#DIV/0!</v>
      </c>
      <c r="L118" s="54" t="e">
        <f t="shared" si="179"/>
        <v>#DIV/0!</v>
      </c>
      <c r="M118" s="54" t="e">
        <f t="shared" si="179"/>
        <v>#DIV/0!</v>
      </c>
      <c r="N118" s="54" t="e">
        <f t="shared" si="179"/>
        <v>#DIV/0!</v>
      </c>
      <c r="O118" s="54" t="e">
        <f t="shared" si="179"/>
        <v>#DIV/0!</v>
      </c>
      <c r="P118" s="54" t="e">
        <f t="shared" si="179"/>
        <v>#DIV/0!</v>
      </c>
      <c r="Q118" s="54" t="e">
        <f t="shared" si="179"/>
        <v>#DIV/0!</v>
      </c>
      <c r="R118" s="54" t="e">
        <f t="shared" si="179"/>
        <v>#DIV/0!</v>
      </c>
      <c r="S118" s="54" t="e">
        <f t="shared" si="179"/>
        <v>#DIV/0!</v>
      </c>
      <c r="T118" s="54" t="e">
        <f t="shared" si="179"/>
        <v>#DIV/0!</v>
      </c>
      <c r="U118" s="54" t="e">
        <f t="shared" si="179"/>
        <v>#DIV/0!</v>
      </c>
      <c r="V118" s="54" t="e">
        <f t="shared" si="179"/>
        <v>#DIV/0!</v>
      </c>
      <c r="W118" s="54" t="e">
        <f t="shared" si="179"/>
        <v>#DIV/0!</v>
      </c>
      <c r="X118" s="54" t="e">
        <f t="shared" si="179"/>
        <v>#DIV/0!</v>
      </c>
      <c r="Y118" s="54" t="e">
        <f t="shared" si="179"/>
        <v>#DIV/0!</v>
      </c>
      <c r="Z118" s="54" t="e">
        <f t="shared" si="179"/>
        <v>#DIV/0!</v>
      </c>
      <c r="AA118" s="54" t="e">
        <f t="shared" si="179"/>
        <v>#DIV/0!</v>
      </c>
      <c r="AB118" s="54" t="e">
        <f t="shared" si="179"/>
        <v>#DIV/0!</v>
      </c>
      <c r="AC118" s="54" t="e">
        <f t="shared" si="179"/>
        <v>#DIV/0!</v>
      </c>
      <c r="AD118" s="54" t="e">
        <f t="shared" si="179"/>
        <v>#DIV/0!</v>
      </c>
      <c r="AE118" s="54" t="e">
        <f t="shared" si="179"/>
        <v>#DIV/0!</v>
      </c>
      <c r="AF118" s="54" t="e">
        <f t="shared" si="179"/>
        <v>#DIV/0!</v>
      </c>
      <c r="AG118" s="108" t="e">
        <f t="shared" si="179"/>
        <v>#DIV/0!</v>
      </c>
      <c r="AI118" s="89" t="e">
        <f>IF($J96="Ja",Datenbank!AI114,AI111)</f>
        <v>#DIV/0!</v>
      </c>
      <c r="AJ118" s="105" t="e">
        <f>SUM(D117:AG117)</f>
        <v>#DIV/0!</v>
      </c>
      <c r="AK118" s="104" t="str">
        <f>IF(Allgemein!C132="Ja","mit WP","ohne WP")</f>
        <v>ohne WP</v>
      </c>
      <c r="BH118" s="2" t="s">
        <v>579</v>
      </c>
      <c r="BI118" s="2">
        <v>1200</v>
      </c>
      <c r="BJ118" s="2">
        <v>400</v>
      </c>
      <c r="BN118" s="2">
        <v>634</v>
      </c>
      <c r="CC118" s="2">
        <v>0</v>
      </c>
      <c r="CD118" s="2">
        <v>1</v>
      </c>
      <c r="CK118" s="5"/>
      <c r="CL118" s="5"/>
      <c r="CM118" s="5"/>
      <c r="DR118" s="5"/>
      <c r="DS118" s="5"/>
      <c r="DT118" s="5"/>
      <c r="DW118" s="147"/>
      <c r="EA118" s="147"/>
      <c r="EC118" s="148"/>
      <c r="EH118" s="150"/>
      <c r="EI118" s="5"/>
    </row>
    <row r="119" spans="2:139" ht="18.600000000000001">
      <c r="B119" s="99" t="s">
        <v>622</v>
      </c>
      <c r="C119" s="81"/>
      <c r="D119" s="82"/>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c r="AF119" s="83"/>
      <c r="AG119" s="83"/>
      <c r="AH119" s="11"/>
      <c r="AI119" s="80" t="s">
        <v>622</v>
      </c>
      <c r="AJ119" s="11"/>
      <c r="AK119" s="100"/>
      <c r="BH119" s="2" t="s">
        <v>579</v>
      </c>
      <c r="BI119" s="2">
        <v>1400</v>
      </c>
      <c r="BJ119" s="2">
        <v>400</v>
      </c>
      <c r="BN119" s="2">
        <v>739</v>
      </c>
      <c r="CC119" s="2">
        <v>1</v>
      </c>
      <c r="CD119" s="2">
        <v>1</v>
      </c>
      <c r="CK119" s="5"/>
      <c r="CL119" s="5"/>
      <c r="CM119" s="5"/>
      <c r="DR119" s="5"/>
      <c r="DS119" s="5"/>
      <c r="DT119" s="5"/>
      <c r="DW119" s="147"/>
      <c r="EA119" s="147"/>
      <c r="EC119" s="148"/>
      <c r="EH119" s="150"/>
      <c r="EI119" s="5"/>
    </row>
    <row r="120" spans="2:139">
      <c r="B120" s="46" t="s">
        <v>623</v>
      </c>
      <c r="D120" s="77">
        <f t="shared" ref="D120:AG120" si="180">D90</f>
        <v>0</v>
      </c>
      <c r="E120" s="77">
        <f t="shared" si="180"/>
        <v>0</v>
      </c>
      <c r="F120" s="77">
        <f t="shared" si="180"/>
        <v>0</v>
      </c>
      <c r="G120" s="77">
        <f t="shared" si="180"/>
        <v>0</v>
      </c>
      <c r="H120" s="77">
        <f t="shared" si="180"/>
        <v>0</v>
      </c>
      <c r="I120" s="77">
        <f t="shared" si="180"/>
        <v>0</v>
      </c>
      <c r="J120" s="77">
        <f t="shared" si="180"/>
        <v>0</v>
      </c>
      <c r="K120" s="77">
        <f t="shared" si="180"/>
        <v>0</v>
      </c>
      <c r="L120" s="77">
        <f t="shared" si="180"/>
        <v>0</v>
      </c>
      <c r="M120" s="77">
        <f t="shared" si="180"/>
        <v>0</v>
      </c>
      <c r="N120" s="77">
        <f t="shared" si="180"/>
        <v>0</v>
      </c>
      <c r="O120" s="77">
        <f t="shared" si="180"/>
        <v>0</v>
      </c>
      <c r="P120" s="77">
        <f t="shared" si="180"/>
        <v>0</v>
      </c>
      <c r="Q120" s="77">
        <f t="shared" si="180"/>
        <v>0</v>
      </c>
      <c r="R120" s="77">
        <f t="shared" si="180"/>
        <v>0</v>
      </c>
      <c r="S120" s="77">
        <f t="shared" si="180"/>
        <v>0</v>
      </c>
      <c r="T120" s="77">
        <f t="shared" si="180"/>
        <v>0</v>
      </c>
      <c r="U120" s="77">
        <f t="shared" si="180"/>
        <v>0</v>
      </c>
      <c r="V120" s="77">
        <f t="shared" si="180"/>
        <v>0</v>
      </c>
      <c r="W120" s="77">
        <f t="shared" si="180"/>
        <v>0</v>
      </c>
      <c r="X120" s="77">
        <f t="shared" si="180"/>
        <v>0</v>
      </c>
      <c r="Y120" s="77">
        <f t="shared" si="180"/>
        <v>0</v>
      </c>
      <c r="Z120" s="77">
        <f t="shared" si="180"/>
        <v>0</v>
      </c>
      <c r="AA120" s="77">
        <f t="shared" si="180"/>
        <v>0</v>
      </c>
      <c r="AB120" s="77">
        <f t="shared" si="180"/>
        <v>0</v>
      </c>
      <c r="AC120" s="77">
        <f t="shared" si="180"/>
        <v>0</v>
      </c>
      <c r="AD120" s="77">
        <f t="shared" si="180"/>
        <v>0</v>
      </c>
      <c r="AE120" s="77">
        <f t="shared" si="180"/>
        <v>0</v>
      </c>
      <c r="AF120" s="77">
        <f t="shared" si="180"/>
        <v>0</v>
      </c>
      <c r="AG120" s="77">
        <f t="shared" si="180"/>
        <v>0</v>
      </c>
      <c r="AH120" s="84"/>
      <c r="AI120" s="85">
        <f>SUM(D120:AG120)</f>
        <v>0</v>
      </c>
      <c r="AJ120" s="84"/>
      <c r="AK120" s="116"/>
      <c r="BH120" s="2" t="s">
        <v>579</v>
      </c>
      <c r="BI120" s="2">
        <v>1600</v>
      </c>
      <c r="BJ120" s="2">
        <v>400</v>
      </c>
      <c r="BN120" s="2">
        <v>845</v>
      </c>
      <c r="CC120" s="2">
        <v>2</v>
      </c>
      <c r="CD120" s="2">
        <v>1</v>
      </c>
      <c r="CK120" s="5"/>
      <c r="CL120" s="5"/>
      <c r="CM120" s="5"/>
      <c r="DR120" s="5"/>
      <c r="DS120" s="5"/>
      <c r="DT120" s="5"/>
      <c r="DW120" s="147"/>
      <c r="EA120" s="147"/>
      <c r="EC120" s="148"/>
      <c r="EH120" s="150"/>
      <c r="EI120" s="5"/>
    </row>
    <row r="121" spans="2:139">
      <c r="B121" s="46" t="s">
        <v>624</v>
      </c>
      <c r="D121" s="77">
        <f>D120/12</f>
        <v>0</v>
      </c>
      <c r="E121" s="77">
        <f>E120/12</f>
        <v>0</v>
      </c>
      <c r="F121" s="77">
        <f t="shared" ref="F121:AG121" si="181">F120/12</f>
        <v>0</v>
      </c>
      <c r="G121" s="77">
        <f t="shared" si="181"/>
        <v>0</v>
      </c>
      <c r="H121" s="77">
        <f t="shared" si="181"/>
        <v>0</v>
      </c>
      <c r="I121" s="77">
        <f t="shared" si="181"/>
        <v>0</v>
      </c>
      <c r="J121" s="77">
        <f t="shared" si="181"/>
        <v>0</v>
      </c>
      <c r="K121" s="77">
        <f t="shared" si="181"/>
        <v>0</v>
      </c>
      <c r="L121" s="77">
        <f t="shared" si="181"/>
        <v>0</v>
      </c>
      <c r="M121" s="77">
        <f t="shared" si="181"/>
        <v>0</v>
      </c>
      <c r="N121" s="77">
        <f t="shared" si="181"/>
        <v>0</v>
      </c>
      <c r="O121" s="77">
        <f t="shared" si="181"/>
        <v>0</v>
      </c>
      <c r="P121" s="77">
        <f t="shared" si="181"/>
        <v>0</v>
      </c>
      <c r="Q121" s="77">
        <f t="shared" si="181"/>
        <v>0</v>
      </c>
      <c r="R121" s="77">
        <f t="shared" si="181"/>
        <v>0</v>
      </c>
      <c r="S121" s="77">
        <f t="shared" si="181"/>
        <v>0</v>
      </c>
      <c r="T121" s="77">
        <f t="shared" si="181"/>
        <v>0</v>
      </c>
      <c r="U121" s="77">
        <f t="shared" si="181"/>
        <v>0</v>
      </c>
      <c r="V121" s="77">
        <f t="shared" si="181"/>
        <v>0</v>
      </c>
      <c r="W121" s="77">
        <f t="shared" si="181"/>
        <v>0</v>
      </c>
      <c r="X121" s="77">
        <f t="shared" si="181"/>
        <v>0</v>
      </c>
      <c r="Y121" s="77">
        <f t="shared" si="181"/>
        <v>0</v>
      </c>
      <c r="Z121" s="77">
        <f t="shared" si="181"/>
        <v>0</v>
      </c>
      <c r="AA121" s="77">
        <f t="shared" si="181"/>
        <v>0</v>
      </c>
      <c r="AB121" s="77">
        <f t="shared" si="181"/>
        <v>0</v>
      </c>
      <c r="AC121" s="77">
        <f t="shared" si="181"/>
        <v>0</v>
      </c>
      <c r="AD121" s="77">
        <f t="shared" si="181"/>
        <v>0</v>
      </c>
      <c r="AE121" s="77">
        <f t="shared" si="181"/>
        <v>0</v>
      </c>
      <c r="AF121" s="77">
        <f t="shared" si="181"/>
        <v>0</v>
      </c>
      <c r="AG121" s="77">
        <f t="shared" si="181"/>
        <v>0</v>
      </c>
      <c r="AH121" s="90"/>
      <c r="AI121" s="87"/>
      <c r="AJ121" s="90"/>
      <c r="AK121" s="116"/>
      <c r="CC121" s="2">
        <v>3</v>
      </c>
      <c r="CD121" s="2">
        <v>1</v>
      </c>
      <c r="CK121" s="5"/>
      <c r="CL121" s="5"/>
      <c r="CM121" s="5"/>
      <c r="DR121" s="5"/>
      <c r="DS121" s="5"/>
      <c r="DT121" s="5"/>
      <c r="DW121" s="147"/>
      <c r="EA121" s="147"/>
      <c r="EC121" s="148"/>
      <c r="EH121" s="150"/>
      <c r="EI121" s="5"/>
    </row>
    <row r="122" spans="2:139">
      <c r="B122" s="67" t="s">
        <v>603</v>
      </c>
      <c r="D122" s="78" t="e">
        <f t="shared" ref="D122:AG122" si="182">D117</f>
        <v>#DIV/0!</v>
      </c>
      <c r="E122" s="78" t="e">
        <f t="shared" si="182"/>
        <v>#DIV/0!</v>
      </c>
      <c r="F122" s="78" t="e">
        <f t="shared" si="182"/>
        <v>#DIV/0!</v>
      </c>
      <c r="G122" s="78" t="e">
        <f t="shared" si="182"/>
        <v>#DIV/0!</v>
      </c>
      <c r="H122" s="78" t="e">
        <f t="shared" si="182"/>
        <v>#DIV/0!</v>
      </c>
      <c r="I122" s="78" t="e">
        <f t="shared" si="182"/>
        <v>#DIV/0!</v>
      </c>
      <c r="J122" s="78" t="e">
        <f t="shared" si="182"/>
        <v>#DIV/0!</v>
      </c>
      <c r="K122" s="78" t="e">
        <f t="shared" si="182"/>
        <v>#DIV/0!</v>
      </c>
      <c r="L122" s="78" t="e">
        <f t="shared" si="182"/>
        <v>#DIV/0!</v>
      </c>
      <c r="M122" s="78" t="e">
        <f t="shared" si="182"/>
        <v>#DIV/0!</v>
      </c>
      <c r="N122" s="78" t="e">
        <f t="shared" si="182"/>
        <v>#DIV/0!</v>
      </c>
      <c r="O122" s="78" t="e">
        <f t="shared" si="182"/>
        <v>#DIV/0!</v>
      </c>
      <c r="P122" s="78" t="e">
        <f t="shared" si="182"/>
        <v>#DIV/0!</v>
      </c>
      <c r="Q122" s="78" t="e">
        <f t="shared" si="182"/>
        <v>#DIV/0!</v>
      </c>
      <c r="R122" s="78" t="e">
        <f t="shared" si="182"/>
        <v>#DIV/0!</v>
      </c>
      <c r="S122" s="78" t="e">
        <f t="shared" si="182"/>
        <v>#DIV/0!</v>
      </c>
      <c r="T122" s="78" t="e">
        <f t="shared" si="182"/>
        <v>#DIV/0!</v>
      </c>
      <c r="U122" s="78" t="e">
        <f t="shared" si="182"/>
        <v>#DIV/0!</v>
      </c>
      <c r="V122" s="78" t="e">
        <f t="shared" si="182"/>
        <v>#DIV/0!</v>
      </c>
      <c r="W122" s="78" t="e">
        <f t="shared" si="182"/>
        <v>#DIV/0!</v>
      </c>
      <c r="X122" s="78" t="e">
        <f t="shared" si="182"/>
        <v>#DIV/0!</v>
      </c>
      <c r="Y122" s="78" t="e">
        <f t="shared" si="182"/>
        <v>#DIV/0!</v>
      </c>
      <c r="Z122" s="78" t="e">
        <f t="shared" si="182"/>
        <v>#DIV/0!</v>
      </c>
      <c r="AA122" s="78" t="e">
        <f t="shared" si="182"/>
        <v>#DIV/0!</v>
      </c>
      <c r="AB122" s="78" t="e">
        <f t="shared" si="182"/>
        <v>#DIV/0!</v>
      </c>
      <c r="AC122" s="78" t="e">
        <f t="shared" si="182"/>
        <v>#DIV/0!</v>
      </c>
      <c r="AD122" s="78" t="e">
        <f t="shared" si="182"/>
        <v>#DIV/0!</v>
      </c>
      <c r="AE122" s="78" t="e">
        <f t="shared" si="182"/>
        <v>#DIV/0!</v>
      </c>
      <c r="AF122" s="78" t="e">
        <f t="shared" si="182"/>
        <v>#DIV/0!</v>
      </c>
      <c r="AG122" s="78" t="e">
        <f t="shared" si="182"/>
        <v>#DIV/0!</v>
      </c>
      <c r="AH122" s="90"/>
      <c r="AI122" s="87" t="e">
        <f>SUM(D122:AG122)</f>
        <v>#DIV/0!</v>
      </c>
      <c r="AJ122" s="90"/>
      <c r="AK122" s="102"/>
      <c r="BH122" s="2" t="s">
        <v>579</v>
      </c>
      <c r="BI122" s="2">
        <v>1800</v>
      </c>
      <c r="BJ122" s="2">
        <v>400</v>
      </c>
      <c r="BN122" s="2">
        <v>950</v>
      </c>
      <c r="CC122" s="2">
        <v>4</v>
      </c>
      <c r="CD122" s="2">
        <v>1</v>
      </c>
      <c r="CK122" s="5"/>
      <c r="CL122" s="5"/>
      <c r="CM122" s="5"/>
      <c r="DR122" s="5"/>
      <c r="DS122" s="5"/>
      <c r="DT122" s="5"/>
      <c r="DW122" s="147"/>
      <c r="EA122" s="147"/>
      <c r="EC122" s="148"/>
      <c r="EH122" s="150"/>
      <c r="EI122" s="5"/>
    </row>
    <row r="123" spans="2:139">
      <c r="B123" s="46" t="s">
        <v>625</v>
      </c>
      <c r="C123" s="4"/>
      <c r="D123" s="54" t="e">
        <f>D122-D120</f>
        <v>#DIV/0!</v>
      </c>
      <c r="E123" s="54" t="e">
        <f t="shared" ref="E123:AG123" si="183">E122-E120</f>
        <v>#DIV/0!</v>
      </c>
      <c r="F123" s="54" t="e">
        <f t="shared" si="183"/>
        <v>#DIV/0!</v>
      </c>
      <c r="G123" s="54" t="e">
        <f t="shared" si="183"/>
        <v>#DIV/0!</v>
      </c>
      <c r="H123" s="54" t="e">
        <f t="shared" si="183"/>
        <v>#DIV/0!</v>
      </c>
      <c r="I123" s="54" t="e">
        <f t="shared" si="183"/>
        <v>#DIV/0!</v>
      </c>
      <c r="J123" s="54" t="e">
        <f t="shared" si="183"/>
        <v>#DIV/0!</v>
      </c>
      <c r="K123" s="54" t="e">
        <f t="shared" si="183"/>
        <v>#DIV/0!</v>
      </c>
      <c r="L123" s="54" t="e">
        <f t="shared" si="183"/>
        <v>#DIV/0!</v>
      </c>
      <c r="M123" s="54" t="e">
        <f t="shared" si="183"/>
        <v>#DIV/0!</v>
      </c>
      <c r="N123" s="54" t="e">
        <f t="shared" si="183"/>
        <v>#DIV/0!</v>
      </c>
      <c r="O123" s="54" t="e">
        <f t="shared" si="183"/>
        <v>#DIV/0!</v>
      </c>
      <c r="P123" s="54" t="e">
        <f t="shared" si="183"/>
        <v>#DIV/0!</v>
      </c>
      <c r="Q123" s="54" t="e">
        <f t="shared" si="183"/>
        <v>#DIV/0!</v>
      </c>
      <c r="R123" s="54" t="e">
        <f t="shared" si="183"/>
        <v>#DIV/0!</v>
      </c>
      <c r="S123" s="54" t="e">
        <f t="shared" si="183"/>
        <v>#DIV/0!</v>
      </c>
      <c r="T123" s="54" t="e">
        <f t="shared" si="183"/>
        <v>#DIV/0!</v>
      </c>
      <c r="U123" s="54" t="e">
        <f t="shared" si="183"/>
        <v>#DIV/0!</v>
      </c>
      <c r="V123" s="54" t="e">
        <f t="shared" si="183"/>
        <v>#DIV/0!</v>
      </c>
      <c r="W123" s="54" t="e">
        <f t="shared" si="183"/>
        <v>#DIV/0!</v>
      </c>
      <c r="X123" s="54" t="e">
        <f t="shared" si="183"/>
        <v>#DIV/0!</v>
      </c>
      <c r="Y123" s="54" t="e">
        <f t="shared" si="183"/>
        <v>#DIV/0!</v>
      </c>
      <c r="Z123" s="54" t="e">
        <f t="shared" si="183"/>
        <v>#DIV/0!</v>
      </c>
      <c r="AA123" s="54" t="e">
        <f t="shared" si="183"/>
        <v>#DIV/0!</v>
      </c>
      <c r="AB123" s="54" t="e">
        <f t="shared" si="183"/>
        <v>#DIV/0!</v>
      </c>
      <c r="AC123" s="54" t="e">
        <f t="shared" si="183"/>
        <v>#DIV/0!</v>
      </c>
      <c r="AD123" s="54" t="e">
        <f t="shared" si="183"/>
        <v>#DIV/0!</v>
      </c>
      <c r="AE123" s="54" t="e">
        <f t="shared" si="183"/>
        <v>#DIV/0!</v>
      </c>
      <c r="AF123" s="54" t="e">
        <f t="shared" si="183"/>
        <v>#DIV/0!</v>
      </c>
      <c r="AG123" s="54" t="e">
        <f t="shared" si="183"/>
        <v>#DIV/0!</v>
      </c>
      <c r="AH123" s="90"/>
      <c r="AI123" s="87" t="e">
        <f>SUM(D123:AG123)</f>
        <v>#DIV/0!</v>
      </c>
      <c r="AJ123" s="90"/>
      <c r="AK123" s="47"/>
      <c r="BH123" s="2" t="s">
        <v>579</v>
      </c>
      <c r="BI123" s="2">
        <v>2000</v>
      </c>
      <c r="BJ123" s="2">
        <v>400</v>
      </c>
      <c r="BN123" s="2">
        <v>1056</v>
      </c>
      <c r="CC123" s="2">
        <v>5</v>
      </c>
      <c r="CD123" s="2">
        <v>1</v>
      </c>
      <c r="CK123" s="5"/>
      <c r="CL123" s="5"/>
      <c r="CM123" s="5"/>
      <c r="DR123" s="5"/>
      <c r="DS123" s="5"/>
      <c r="DT123" s="5"/>
      <c r="DW123" s="147"/>
      <c r="EA123" s="147"/>
      <c r="EC123" s="148"/>
      <c r="EH123" s="150"/>
      <c r="EI123" s="5"/>
    </row>
    <row r="124" spans="2:139" ht="17.399999999999999" thickBot="1">
      <c r="B124" s="554" t="s">
        <v>626</v>
      </c>
      <c r="C124" s="555"/>
      <c r="D124" s="556" t="e">
        <f>D123/12</f>
        <v>#DIV/0!</v>
      </c>
      <c r="E124" s="556" t="e">
        <f t="shared" ref="E124:AG124" si="184">E123/12</f>
        <v>#DIV/0!</v>
      </c>
      <c r="F124" s="556" t="e">
        <f t="shared" si="184"/>
        <v>#DIV/0!</v>
      </c>
      <c r="G124" s="556" t="e">
        <f t="shared" si="184"/>
        <v>#DIV/0!</v>
      </c>
      <c r="H124" s="556" t="e">
        <f t="shared" si="184"/>
        <v>#DIV/0!</v>
      </c>
      <c r="I124" s="556" t="e">
        <f t="shared" si="184"/>
        <v>#DIV/0!</v>
      </c>
      <c r="J124" s="556" t="e">
        <f t="shared" si="184"/>
        <v>#DIV/0!</v>
      </c>
      <c r="K124" s="556" t="e">
        <f t="shared" si="184"/>
        <v>#DIV/0!</v>
      </c>
      <c r="L124" s="556" t="e">
        <f t="shared" si="184"/>
        <v>#DIV/0!</v>
      </c>
      <c r="M124" s="556" t="e">
        <f t="shared" si="184"/>
        <v>#DIV/0!</v>
      </c>
      <c r="N124" s="556" t="e">
        <f t="shared" si="184"/>
        <v>#DIV/0!</v>
      </c>
      <c r="O124" s="556" t="e">
        <f t="shared" si="184"/>
        <v>#DIV/0!</v>
      </c>
      <c r="P124" s="556" t="e">
        <f t="shared" si="184"/>
        <v>#DIV/0!</v>
      </c>
      <c r="Q124" s="556" t="e">
        <f t="shared" si="184"/>
        <v>#DIV/0!</v>
      </c>
      <c r="R124" s="556" t="e">
        <f t="shared" si="184"/>
        <v>#DIV/0!</v>
      </c>
      <c r="S124" s="556" t="e">
        <f t="shared" si="184"/>
        <v>#DIV/0!</v>
      </c>
      <c r="T124" s="556" t="e">
        <f t="shared" si="184"/>
        <v>#DIV/0!</v>
      </c>
      <c r="U124" s="556" t="e">
        <f t="shared" si="184"/>
        <v>#DIV/0!</v>
      </c>
      <c r="V124" s="556" t="e">
        <f t="shared" si="184"/>
        <v>#DIV/0!</v>
      </c>
      <c r="W124" s="556" t="e">
        <f t="shared" si="184"/>
        <v>#DIV/0!</v>
      </c>
      <c r="X124" s="556" t="e">
        <f t="shared" si="184"/>
        <v>#DIV/0!</v>
      </c>
      <c r="Y124" s="556" t="e">
        <f t="shared" si="184"/>
        <v>#DIV/0!</v>
      </c>
      <c r="Z124" s="556" t="e">
        <f t="shared" si="184"/>
        <v>#DIV/0!</v>
      </c>
      <c r="AA124" s="556" t="e">
        <f t="shared" si="184"/>
        <v>#DIV/0!</v>
      </c>
      <c r="AB124" s="556" t="e">
        <f t="shared" si="184"/>
        <v>#DIV/0!</v>
      </c>
      <c r="AC124" s="556" t="e">
        <f t="shared" si="184"/>
        <v>#DIV/0!</v>
      </c>
      <c r="AD124" s="556" t="e">
        <f t="shared" si="184"/>
        <v>#DIV/0!</v>
      </c>
      <c r="AE124" s="556" t="e">
        <f t="shared" si="184"/>
        <v>#DIV/0!</v>
      </c>
      <c r="AF124" s="556" t="e">
        <f t="shared" si="184"/>
        <v>#DIV/0!</v>
      </c>
      <c r="AG124" s="556" t="e">
        <f t="shared" si="184"/>
        <v>#DIV/0!</v>
      </c>
      <c r="AH124" s="557"/>
      <c r="AI124" s="558"/>
      <c r="AJ124" s="557"/>
      <c r="AK124" s="559"/>
      <c r="BH124" s="2" t="s">
        <v>579</v>
      </c>
      <c r="BI124" s="2">
        <v>2200</v>
      </c>
      <c r="BJ124" s="2">
        <v>400</v>
      </c>
      <c r="BN124" s="2">
        <v>1162</v>
      </c>
      <c r="CC124" s="2">
        <v>6</v>
      </c>
      <c r="CD124" s="2">
        <v>1</v>
      </c>
      <c r="CK124" s="5"/>
      <c r="CL124" s="5"/>
      <c r="CM124" s="5"/>
      <c r="DR124" s="5"/>
      <c r="DS124" s="5"/>
      <c r="DT124" s="5"/>
      <c r="DW124" s="147"/>
      <c r="EA124" s="147"/>
      <c r="EC124" s="148"/>
      <c r="EH124" s="150"/>
      <c r="EI124" s="5"/>
    </row>
    <row r="125" spans="2:139" ht="17.399999999999999" thickTop="1">
      <c r="BH125" s="2" t="s">
        <v>579</v>
      </c>
      <c r="BI125" s="2">
        <v>500</v>
      </c>
      <c r="BJ125" s="2">
        <v>500</v>
      </c>
      <c r="BN125" s="2">
        <v>316</v>
      </c>
      <c r="CC125" s="2">
        <v>7</v>
      </c>
      <c r="CD125" s="2">
        <v>1</v>
      </c>
      <c r="DR125" s="5"/>
      <c r="DS125" s="5"/>
      <c r="DT125" s="5"/>
      <c r="DW125" s="147"/>
      <c r="EA125" s="147"/>
      <c r="EC125" s="148"/>
      <c r="EH125" s="150"/>
      <c r="EI125" s="5"/>
    </row>
    <row r="126" spans="2:139">
      <c r="BH126" s="2" t="s">
        <v>579</v>
      </c>
      <c r="BI126" s="2">
        <v>600</v>
      </c>
      <c r="BJ126" s="2">
        <v>500</v>
      </c>
      <c r="BN126" s="2">
        <v>379</v>
      </c>
      <c r="CC126" s="2">
        <v>8</v>
      </c>
      <c r="CD126" s="2">
        <v>1</v>
      </c>
      <c r="DR126" s="5"/>
      <c r="DS126" s="5"/>
      <c r="DT126" s="5"/>
      <c r="DW126" s="147"/>
      <c r="EA126" s="147"/>
      <c r="EC126" s="148"/>
      <c r="EH126" s="150"/>
      <c r="EI126" s="5"/>
    </row>
    <row r="127" spans="2:139" s="4" customFormat="1">
      <c r="B127" s="4" t="s">
        <v>627</v>
      </c>
      <c r="D127" s="4">
        <v>2025</v>
      </c>
      <c r="E127" s="4">
        <v>2026</v>
      </c>
      <c r="F127" s="4">
        <v>2027</v>
      </c>
      <c r="G127" s="4">
        <v>2028</v>
      </c>
      <c r="H127" s="4">
        <v>2029</v>
      </c>
      <c r="I127" s="4">
        <v>2030</v>
      </c>
      <c r="J127" s="4">
        <v>2031</v>
      </c>
      <c r="K127" s="4">
        <v>2032</v>
      </c>
      <c r="L127" s="4">
        <v>2033</v>
      </c>
      <c r="M127" s="4">
        <v>2034</v>
      </c>
      <c r="N127" s="4">
        <v>2035</v>
      </c>
      <c r="O127" s="4">
        <v>2036</v>
      </c>
      <c r="P127" s="4">
        <v>2037</v>
      </c>
      <c r="Q127" s="4">
        <v>2038</v>
      </c>
      <c r="R127" s="4">
        <v>2039</v>
      </c>
      <c r="S127" s="4">
        <v>2040</v>
      </c>
      <c r="T127" s="4">
        <v>2041</v>
      </c>
      <c r="U127" s="4">
        <v>2042</v>
      </c>
      <c r="V127" s="4">
        <v>2043</v>
      </c>
      <c r="W127" s="4">
        <v>2044</v>
      </c>
      <c r="X127" s="4">
        <v>2045</v>
      </c>
      <c r="Y127" s="4">
        <v>2046</v>
      </c>
      <c r="Z127" s="4">
        <v>2047</v>
      </c>
      <c r="AA127" s="4">
        <v>2048</v>
      </c>
      <c r="AB127" s="4">
        <v>2049</v>
      </c>
      <c r="AC127" s="4">
        <v>2050</v>
      </c>
      <c r="AD127" s="4">
        <v>2051</v>
      </c>
      <c r="AE127" s="4">
        <v>2052</v>
      </c>
      <c r="AF127" s="4">
        <v>2053</v>
      </c>
      <c r="AG127" s="4">
        <v>2054</v>
      </c>
      <c r="BF127" s="535"/>
      <c r="BH127" s="4" t="s">
        <v>579</v>
      </c>
      <c r="BI127" s="4">
        <v>700</v>
      </c>
      <c r="BJ127" s="4">
        <v>500</v>
      </c>
      <c r="BN127" s="4">
        <v>442</v>
      </c>
      <c r="CC127" s="2">
        <v>9</v>
      </c>
      <c r="CD127" s="2">
        <v>1</v>
      </c>
      <c r="DR127" s="148"/>
      <c r="DS127" s="148"/>
      <c r="DT127" s="148"/>
      <c r="DU127" s="148"/>
      <c r="DV127" s="148"/>
      <c r="DW127" s="536"/>
      <c r="DX127" s="148"/>
      <c r="DY127" s="148"/>
      <c r="DZ127" s="148"/>
      <c r="EA127" s="536"/>
      <c r="EB127" s="148"/>
      <c r="EC127" s="148"/>
      <c r="ED127" s="148"/>
      <c r="EE127" s="148"/>
      <c r="EF127" s="148"/>
      <c r="EG127" s="148"/>
      <c r="EH127" s="537"/>
      <c r="EI127" s="148"/>
    </row>
    <row r="128" spans="2:139">
      <c r="BH128" s="2" t="s">
        <v>579</v>
      </c>
      <c r="BI128" s="2">
        <v>800</v>
      </c>
      <c r="BJ128" s="2">
        <v>500</v>
      </c>
      <c r="BN128" s="2">
        <v>505</v>
      </c>
      <c r="CC128" s="2">
        <v>10</v>
      </c>
      <c r="CD128" s="2">
        <v>1.0154000000000001</v>
      </c>
      <c r="DR128" s="5"/>
      <c r="DS128" s="5"/>
      <c r="DT128" s="5"/>
      <c r="DW128" s="147"/>
      <c r="EA128" s="147"/>
      <c r="EC128" s="148"/>
      <c r="EH128" s="150"/>
      <c r="EI128" s="5"/>
    </row>
    <row r="129" spans="2:139">
      <c r="BH129" s="2" t="s">
        <v>579</v>
      </c>
      <c r="BI129" s="2">
        <v>900</v>
      </c>
      <c r="BJ129" s="2">
        <v>500</v>
      </c>
      <c r="BN129" s="2">
        <v>568</v>
      </c>
      <c r="CC129" s="2">
        <v>11</v>
      </c>
      <c r="CD129" s="2">
        <v>1.0186999999999999</v>
      </c>
      <c r="DR129" s="5"/>
      <c r="DS129" s="5"/>
      <c r="DT129" s="5"/>
      <c r="DW129" s="147"/>
      <c r="EA129" s="147"/>
      <c r="EC129" s="148"/>
      <c r="EH129" s="150"/>
      <c r="EI129" s="5"/>
    </row>
    <row r="130" spans="2:139">
      <c r="D130" s="24"/>
      <c r="BH130" s="2" t="s">
        <v>579</v>
      </c>
      <c r="BI130" s="2">
        <v>1000</v>
      </c>
      <c r="BJ130" s="2">
        <v>500</v>
      </c>
      <c r="BN130" s="2">
        <v>631</v>
      </c>
      <c r="CC130" s="2">
        <v>12</v>
      </c>
      <c r="CD130" s="2">
        <v>1.0223</v>
      </c>
      <c r="DR130" s="5"/>
      <c r="DS130" s="5"/>
      <c r="DT130" s="5"/>
      <c r="DW130" s="147"/>
      <c r="EA130" s="147"/>
      <c r="EC130" s="148"/>
      <c r="EH130" s="150"/>
      <c r="EI130" s="5"/>
    </row>
    <row r="131" spans="2:139">
      <c r="BH131" s="2" t="s">
        <v>579</v>
      </c>
      <c r="BI131" s="2">
        <v>1100</v>
      </c>
      <c r="BJ131" s="2">
        <v>500</v>
      </c>
      <c r="BN131" s="2">
        <v>694</v>
      </c>
      <c r="CC131" s="2">
        <v>13</v>
      </c>
      <c r="CD131" s="2">
        <v>1.0263</v>
      </c>
      <c r="DR131" s="5"/>
      <c r="DS131" s="5"/>
      <c r="DT131" s="5"/>
      <c r="DW131" s="147"/>
      <c r="EA131" s="147"/>
      <c r="EC131" s="148"/>
      <c r="EH131" s="150"/>
      <c r="EI131" s="5"/>
    </row>
    <row r="132" spans="2:139" ht="70.8" thickBot="1">
      <c r="B132" s="515" t="s">
        <v>171</v>
      </c>
      <c r="BH132" s="2" t="s">
        <v>579</v>
      </c>
      <c r="BI132" s="2">
        <v>1200</v>
      </c>
      <c r="BJ132" s="2">
        <v>500</v>
      </c>
      <c r="BN132" s="2">
        <v>757</v>
      </c>
      <c r="CC132" s="2">
        <v>14</v>
      </c>
      <c r="CD132" s="2">
        <v>1.0306</v>
      </c>
      <c r="DR132" s="5"/>
      <c r="DS132" s="5"/>
      <c r="DT132" s="5"/>
      <c r="DW132" s="147"/>
      <c r="EA132" s="147"/>
      <c r="EC132" s="148"/>
      <c r="EH132" s="150"/>
      <c r="EI132" s="5"/>
    </row>
    <row r="133" spans="2:139" ht="19.2" thickBot="1">
      <c r="B133" s="61" t="str">
        <f>Allgemein!L59</f>
        <v>BEG WG</v>
      </c>
      <c r="C133" s="29"/>
      <c r="D133" s="30"/>
      <c r="E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BH133" s="2" t="s">
        <v>579</v>
      </c>
      <c r="BI133" s="2">
        <v>1400</v>
      </c>
      <c r="BJ133" s="2">
        <v>500</v>
      </c>
      <c r="BN133" s="2">
        <v>883</v>
      </c>
      <c r="CC133" s="2">
        <v>15</v>
      </c>
      <c r="CD133" s="2">
        <v>1.0351999999999999</v>
      </c>
      <c r="DR133" s="5"/>
      <c r="DS133" s="5"/>
      <c r="DT133" s="5"/>
      <c r="DW133" s="147"/>
      <c r="EA133" s="147"/>
      <c r="EC133" s="148"/>
      <c r="EH133" s="150"/>
      <c r="EI133" s="5"/>
    </row>
    <row r="134" spans="2:139" ht="17.399999999999999" thickBot="1">
      <c r="B134" s="56" t="s">
        <v>339</v>
      </c>
      <c r="C134" s="57"/>
      <c r="D134" s="58">
        <v>1</v>
      </c>
      <c r="E134" s="59">
        <v>2</v>
      </c>
      <c r="F134" s="58">
        <v>3</v>
      </c>
      <c r="G134" s="59">
        <v>4</v>
      </c>
      <c r="H134" s="58">
        <v>5</v>
      </c>
      <c r="I134" s="59">
        <v>6</v>
      </c>
      <c r="J134" s="59">
        <v>7</v>
      </c>
      <c r="K134" s="58">
        <v>8</v>
      </c>
      <c r="L134" s="58">
        <v>9</v>
      </c>
      <c r="M134" s="59">
        <v>10</v>
      </c>
      <c r="N134" s="59">
        <v>11</v>
      </c>
      <c r="O134" s="58">
        <v>12</v>
      </c>
      <c r="P134" s="58">
        <v>13</v>
      </c>
      <c r="Q134" s="59">
        <v>14</v>
      </c>
      <c r="R134" s="59">
        <v>15</v>
      </c>
      <c r="S134" s="58">
        <v>16</v>
      </c>
      <c r="T134" s="58">
        <v>17</v>
      </c>
      <c r="U134" s="59">
        <v>18</v>
      </c>
      <c r="V134" s="59">
        <v>19</v>
      </c>
      <c r="W134" s="58">
        <v>20</v>
      </c>
      <c r="X134" s="58">
        <v>21</v>
      </c>
      <c r="Y134" s="59">
        <v>22</v>
      </c>
      <c r="Z134" s="59">
        <v>23</v>
      </c>
      <c r="AA134" s="58">
        <v>24</v>
      </c>
      <c r="AB134" s="58">
        <v>25</v>
      </c>
      <c r="AC134" s="59">
        <v>26</v>
      </c>
      <c r="AD134" s="59">
        <v>27</v>
      </c>
      <c r="AE134" s="58">
        <v>28</v>
      </c>
      <c r="AF134" s="58">
        <v>29</v>
      </c>
      <c r="AG134" s="59">
        <v>30</v>
      </c>
      <c r="AH134" s="74">
        <v>31</v>
      </c>
      <c r="BH134" s="2" t="s">
        <v>579</v>
      </c>
      <c r="BI134" s="2">
        <v>1600</v>
      </c>
      <c r="BJ134" s="2">
        <v>500</v>
      </c>
      <c r="BN134" s="2">
        <v>1010</v>
      </c>
      <c r="CC134" s="2">
        <v>16</v>
      </c>
      <c r="CD134" s="2">
        <v>1.0402</v>
      </c>
      <c r="DR134" s="5"/>
      <c r="DS134" s="5"/>
      <c r="DT134" s="5"/>
      <c r="DW134" s="147"/>
      <c r="EA134" s="147"/>
      <c r="EC134" s="148"/>
      <c r="EH134" s="150"/>
      <c r="EI134" s="5"/>
    </row>
    <row r="135" spans="2:139">
      <c r="B135" s="1778" t="s">
        <v>545</v>
      </c>
      <c r="C135" s="1779"/>
      <c r="D135" s="71"/>
      <c r="E135" s="72"/>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BH135" s="2" t="s">
        <v>579</v>
      </c>
      <c r="BI135" s="2">
        <v>1800</v>
      </c>
      <c r="BJ135" s="2">
        <v>500</v>
      </c>
      <c r="BN135" s="2">
        <v>1136</v>
      </c>
      <c r="CC135" s="2">
        <v>17</v>
      </c>
      <c r="CD135" s="2">
        <v>1.0456000000000001</v>
      </c>
      <c r="DR135" s="5"/>
      <c r="DS135" s="5"/>
      <c r="DT135" s="5"/>
      <c r="DW135" s="147"/>
      <c r="EA135" s="147"/>
      <c r="EC135" s="148"/>
      <c r="EH135" s="150"/>
      <c r="EI135" s="5"/>
    </row>
    <row r="136" spans="2:139">
      <c r="B136" s="1774" t="s">
        <v>546</v>
      </c>
      <c r="C136" s="1775"/>
      <c r="D136" s="33">
        <f>Allgemein!$L$64</f>
        <v>0</v>
      </c>
      <c r="E136" s="33">
        <f t="shared" ref="E136:O136" si="185">IF(E135=0,D136,E135)</f>
        <v>0</v>
      </c>
      <c r="F136" s="33">
        <f t="shared" si="185"/>
        <v>0</v>
      </c>
      <c r="G136" s="33">
        <f t="shared" si="185"/>
        <v>0</v>
      </c>
      <c r="H136" s="33">
        <f t="shared" si="185"/>
        <v>0</v>
      </c>
      <c r="I136" s="33">
        <f t="shared" si="185"/>
        <v>0</v>
      </c>
      <c r="J136" s="33">
        <f t="shared" si="185"/>
        <v>0</v>
      </c>
      <c r="K136" s="33">
        <f t="shared" si="185"/>
        <v>0</v>
      </c>
      <c r="L136" s="33">
        <f t="shared" si="185"/>
        <v>0</v>
      </c>
      <c r="M136" s="33">
        <f t="shared" si="185"/>
        <v>0</v>
      </c>
      <c r="N136" s="33">
        <f t="shared" si="185"/>
        <v>0</v>
      </c>
      <c r="O136" s="33">
        <f t="shared" si="185"/>
        <v>0</v>
      </c>
      <c r="P136" s="33">
        <f t="shared" ref="P136:Q136" si="186">IF(P135=0,O136,P135)</f>
        <v>0</v>
      </c>
      <c r="Q136" s="33">
        <f t="shared" si="186"/>
        <v>0</v>
      </c>
      <c r="R136" s="33">
        <f t="shared" ref="R136" si="187">IF(R135=0,Q136,R135)</f>
        <v>0</v>
      </c>
      <c r="S136" s="33">
        <f t="shared" ref="S136" si="188">IF(S135=0,R136,S135)</f>
        <v>0</v>
      </c>
      <c r="T136" s="33">
        <f t="shared" ref="T136" si="189">IF(T135=0,S136,T135)</f>
        <v>0</v>
      </c>
      <c r="U136" s="33">
        <f t="shared" ref="U136" si="190">IF(U135=0,T136,U135)</f>
        <v>0</v>
      </c>
      <c r="V136" s="33">
        <f t="shared" ref="V136" si="191">IF(V135=0,U136,V135)</f>
        <v>0</v>
      </c>
      <c r="W136" s="33">
        <f t="shared" ref="W136" si="192">IF(W135=0,V136,W135)</f>
        <v>0</v>
      </c>
      <c r="X136" s="33">
        <f t="shared" ref="X136" si="193">IF(X135=0,W136,X135)</f>
        <v>0</v>
      </c>
      <c r="Y136" s="33">
        <f t="shared" ref="Y136" si="194">IF(Y135=0,X136,Y135)</f>
        <v>0</v>
      </c>
      <c r="Z136" s="33">
        <f t="shared" ref="Z136" si="195">IF(Z135=0,Y136,Z135)</f>
        <v>0</v>
      </c>
      <c r="AA136" s="33">
        <f t="shared" ref="AA136" si="196">IF(AA135=0,Z136,AA135)</f>
        <v>0</v>
      </c>
      <c r="AB136" s="33">
        <f t="shared" ref="AB136" si="197">IF(AB135=0,AA136,AB135)</f>
        <v>0</v>
      </c>
      <c r="AC136" s="33">
        <f t="shared" ref="AC136" si="198">IF(AC135=0,AB136,AC135)</f>
        <v>0</v>
      </c>
      <c r="AD136" s="33">
        <f t="shared" ref="AD136" si="199">IF(AD135=0,AC136,AD135)</f>
        <v>0</v>
      </c>
      <c r="AE136" s="33">
        <f t="shared" ref="AE136" si="200">IF(AE135=0,AD136,AE135)</f>
        <v>0</v>
      </c>
      <c r="AF136" s="33">
        <f t="shared" ref="AF136" si="201">IF(AF135=0,AE136,AF135)</f>
        <v>0</v>
      </c>
      <c r="AG136" s="33">
        <f t="shared" ref="AG136" si="202">IF(AG135=0,AF136,AG135)</f>
        <v>0</v>
      </c>
      <c r="AH136" s="33">
        <f t="shared" ref="AH136" si="203">IF(AH135=0,AG136,AH135)</f>
        <v>0</v>
      </c>
      <c r="BH136" s="2" t="s">
        <v>579</v>
      </c>
      <c r="BI136" s="2">
        <v>2000</v>
      </c>
      <c r="BJ136" s="2">
        <v>500</v>
      </c>
      <c r="BN136" s="2">
        <v>1262</v>
      </c>
      <c r="CC136" s="2">
        <v>18</v>
      </c>
      <c r="CD136" s="2">
        <v>1.0513999999999999</v>
      </c>
      <c r="DR136" s="5"/>
      <c r="DS136" s="5"/>
      <c r="DT136" s="5"/>
      <c r="DW136" s="147"/>
      <c r="EA136" s="147"/>
      <c r="EC136" s="148"/>
      <c r="EH136" s="150"/>
      <c r="EI136" s="5"/>
    </row>
    <row r="137" spans="2:139">
      <c r="B137" s="1780"/>
      <c r="C137" s="1781"/>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BH137" s="2" t="s">
        <v>579</v>
      </c>
      <c r="BI137" s="2">
        <v>2200</v>
      </c>
      <c r="BJ137" s="2">
        <v>500</v>
      </c>
      <c r="BN137" s="2">
        <v>1388</v>
      </c>
      <c r="CC137" s="2">
        <v>19</v>
      </c>
      <c r="CD137" s="2">
        <v>1.0576000000000001</v>
      </c>
      <c r="DR137" s="5"/>
      <c r="DS137" s="5"/>
      <c r="DT137" s="5"/>
      <c r="DW137" s="147"/>
      <c r="EA137" s="147"/>
      <c r="EC137" s="148"/>
      <c r="EH137" s="150"/>
      <c r="EI137" s="5"/>
    </row>
    <row r="138" spans="2:139">
      <c r="B138" s="1774" t="s">
        <v>548</v>
      </c>
      <c r="C138" s="1775"/>
      <c r="D138" s="36">
        <f>Allgemein!$L$62</f>
        <v>0</v>
      </c>
      <c r="E138" s="36">
        <f>IF(E134=Allgemein!$L$66+2,(Allgemein!$L$62-Allgemein!$L$70)-D142,D147)</f>
        <v>0</v>
      </c>
      <c r="F138" s="36">
        <f>IF(F134=Allgemein!$L$66+2,(Allgemein!$L$62-Allgemein!$L$70)-E142,E147)</f>
        <v>0</v>
      </c>
      <c r="G138" s="36">
        <f>IF(G134=Allgemein!$L$66+2,(Allgemein!$L$62-Allgemein!$L$70)-F142,F147)</f>
        <v>0</v>
      </c>
      <c r="H138" s="36">
        <f>IF(H134=Allgemein!$L$66+2,(Allgemein!$L$62-Allgemein!$L$70)-G142,G147)</f>
        <v>0</v>
      </c>
      <c r="I138" s="36">
        <f>IF(I134=Allgemein!$L$66+2,(Allgemein!$L$62-Allgemein!$L$70)-H142,H147)</f>
        <v>0</v>
      </c>
      <c r="J138" s="36">
        <f>IF(J134=Allgemein!$L$66+2,(Allgemein!$L$62-Allgemein!$L$70)-I142,I147)</f>
        <v>0</v>
      </c>
      <c r="K138" s="36">
        <f>IF(K134=Allgemein!$L$66+2,(Allgemein!$L$62-Allgemein!$L$70)-J142,J147)</f>
        <v>0</v>
      </c>
      <c r="L138" s="36">
        <f>IF(L134=Allgemein!$L$66+2,(Allgemein!$L$62-Allgemein!$L$70)-K142,K147)</f>
        <v>0</v>
      </c>
      <c r="M138" s="36">
        <f>IF(M134=Allgemein!$L$66+2,(Allgemein!$L$62-Allgemein!$L$70)-L142,L147)</f>
        <v>0</v>
      </c>
      <c r="N138" s="36">
        <f>IF(N134=Allgemein!$L$66+2,(Allgemein!$L$62-Allgemein!$L$70)-M142,M147)</f>
        <v>0</v>
      </c>
      <c r="O138" s="36">
        <f>IF(O134=Allgemein!$L$66+2,(Allgemein!$L$62-Allgemein!$L$70)-N142,N147)</f>
        <v>0</v>
      </c>
      <c r="P138" s="36">
        <f>IF(P134=Allgemein!$L$66+2,(Allgemein!$L$62-Allgemein!$L$70)-O142,O147)</f>
        <v>0</v>
      </c>
      <c r="Q138" s="36">
        <f>IF(Q134=Allgemein!$L$66+2,(Allgemein!$L$62-Allgemein!$L$70)-P142,P147)</f>
        <v>0</v>
      </c>
      <c r="R138" s="36">
        <f>IF(R134=Allgemein!$L$66+2,(Allgemein!$L$62-Allgemein!$L$70)-Q142,Q147)</f>
        <v>0</v>
      </c>
      <c r="S138" s="36">
        <f>IF(S134=Allgemein!$L$66+2,(Allgemein!$L$62-Allgemein!$L$70)-R142,R147)</f>
        <v>0</v>
      </c>
      <c r="T138" s="36">
        <f>IF(T134=Allgemein!$L$66+2,(Allgemein!$L$62-Allgemein!$L$70)-S142,S147)</f>
        <v>0</v>
      </c>
      <c r="U138" s="36">
        <f>IF(U134=Allgemein!$L$66+2,(Allgemein!$L$62-Allgemein!$L$70)-T142,T147)</f>
        <v>0</v>
      </c>
      <c r="V138" s="36">
        <f>IF(V134=Allgemein!$L$66+2,(Allgemein!$L$62-Allgemein!$L$70)-U142,U147)</f>
        <v>0</v>
      </c>
      <c r="W138" s="36">
        <f>IF(W134=Allgemein!$L$66+2,(Allgemein!$L$62-Allgemein!$L$70)-V142,V147)</f>
        <v>0</v>
      </c>
      <c r="X138" s="36">
        <f>IF(X134=Allgemein!$L$66+2,(Allgemein!$L$62-Allgemein!$L$70)-W142,W147)</f>
        <v>0</v>
      </c>
      <c r="Y138" s="36">
        <f>IF(Y134=Allgemein!$L$66+2,(Allgemein!$L$62-Allgemein!$L$70)-X142,X147)</f>
        <v>0</v>
      </c>
      <c r="Z138" s="36">
        <f>IF(Z134=Allgemein!$L$66+2,(Allgemein!$L$62-Allgemein!$L$70)-Y142,Y147)</f>
        <v>0</v>
      </c>
      <c r="AA138" s="36">
        <f>IF(AA134=Allgemein!$L$66+2,(Allgemein!$L$62-Allgemein!$L$70)-Z142,Z147)</f>
        <v>0</v>
      </c>
      <c r="AB138" s="36">
        <f>IF(AB134=Allgemein!$L$66+2,(Allgemein!$L$62-Allgemein!$L$70)-AA142,AA147)</f>
        <v>0</v>
      </c>
      <c r="AC138" s="36">
        <f>IF(AC134=Allgemein!$L$66+2,(Allgemein!$L$62-Allgemein!$L$70)-AB142,AB147)</f>
        <v>0</v>
      </c>
      <c r="AD138" s="36">
        <f>IF(AD134=Allgemein!$L$66+2,(Allgemein!$L$62-Allgemein!$L$70)-AC142,AC147)</f>
        <v>0</v>
      </c>
      <c r="AE138" s="36">
        <f>IF(AE134=Allgemein!$L$66+2,(Allgemein!$L$62-Allgemein!$L$70)-AD142,AD147)</f>
        <v>0</v>
      </c>
      <c r="AF138" s="36">
        <f>IF(AF134=Allgemein!$L$66+2,(Allgemein!$L$62-Allgemein!$L$70)-AE142,AE147)</f>
        <v>0</v>
      </c>
      <c r="AG138" s="36">
        <f>IF(AG134=Allgemein!$L$66+2,(Allgemein!$L$62-Allgemein!$L$70)-AF142,AF147)</f>
        <v>0</v>
      </c>
      <c r="AH138" s="36">
        <f>IF(AH134=Allgemein!$L$66+2,(Allgemein!$L$62-Allgemein!$L$70)-AG142,AG147)</f>
        <v>0</v>
      </c>
      <c r="BH138" s="2" t="s">
        <v>579</v>
      </c>
      <c r="BI138" s="2">
        <v>2300</v>
      </c>
      <c r="BJ138" s="2">
        <v>500</v>
      </c>
      <c r="BN138" s="2">
        <v>1451</v>
      </c>
      <c r="CC138" s="2">
        <v>20</v>
      </c>
      <c r="CD138" s="2">
        <v>1.0641</v>
      </c>
      <c r="DR138" s="5"/>
      <c r="DS138" s="5"/>
      <c r="DT138" s="5"/>
      <c r="DW138" s="147"/>
      <c r="EA138" s="147"/>
      <c r="EC138" s="148"/>
      <c r="EH138" s="150"/>
      <c r="EI138" s="5"/>
    </row>
    <row r="139" spans="2:139">
      <c r="B139" s="31" t="s">
        <v>549</v>
      </c>
      <c r="C139" s="32"/>
      <c r="D139" s="36">
        <f>D138*D136</f>
        <v>0</v>
      </c>
      <c r="E139" s="36">
        <f>IF(E138=0,0,E136*E138)</f>
        <v>0</v>
      </c>
      <c r="F139" s="36">
        <f>IF(F138=0,0,F136*F138)</f>
        <v>0</v>
      </c>
      <c r="G139" s="36">
        <f t="shared" ref="G139:AH139" si="204">IF(G138=0,0,G136*G138)</f>
        <v>0</v>
      </c>
      <c r="H139" s="36">
        <f t="shared" ref="H139:N139" si="205">IF(H138=0,0,H136*H138)</f>
        <v>0</v>
      </c>
      <c r="I139" s="36">
        <f t="shared" si="205"/>
        <v>0</v>
      </c>
      <c r="J139" s="36">
        <f t="shared" si="205"/>
        <v>0</v>
      </c>
      <c r="K139" s="36">
        <f t="shared" si="205"/>
        <v>0</v>
      </c>
      <c r="L139" s="36">
        <f t="shared" si="205"/>
        <v>0</v>
      </c>
      <c r="M139" s="36">
        <f t="shared" si="205"/>
        <v>0</v>
      </c>
      <c r="N139" s="36">
        <f t="shared" si="205"/>
        <v>0</v>
      </c>
      <c r="O139" s="36">
        <f t="shared" si="204"/>
        <v>0</v>
      </c>
      <c r="P139" s="36">
        <f t="shared" si="204"/>
        <v>0</v>
      </c>
      <c r="Q139" s="36">
        <f t="shared" si="204"/>
        <v>0</v>
      </c>
      <c r="R139" s="36">
        <f t="shared" si="204"/>
        <v>0</v>
      </c>
      <c r="S139" s="36">
        <f t="shared" si="204"/>
        <v>0</v>
      </c>
      <c r="T139" s="36">
        <f t="shared" si="204"/>
        <v>0</v>
      </c>
      <c r="U139" s="36">
        <f t="shared" si="204"/>
        <v>0</v>
      </c>
      <c r="V139" s="36">
        <f t="shared" si="204"/>
        <v>0</v>
      </c>
      <c r="W139" s="36">
        <f t="shared" si="204"/>
        <v>0</v>
      </c>
      <c r="X139" s="36">
        <f t="shared" si="204"/>
        <v>0</v>
      </c>
      <c r="Y139" s="36">
        <f t="shared" si="204"/>
        <v>0</v>
      </c>
      <c r="Z139" s="36">
        <f t="shared" si="204"/>
        <v>0</v>
      </c>
      <c r="AA139" s="36">
        <f t="shared" si="204"/>
        <v>0</v>
      </c>
      <c r="AB139" s="36">
        <f t="shared" si="204"/>
        <v>0</v>
      </c>
      <c r="AC139" s="36">
        <f t="shared" si="204"/>
        <v>0</v>
      </c>
      <c r="AD139" s="36">
        <f t="shared" si="204"/>
        <v>0</v>
      </c>
      <c r="AE139" s="36">
        <f t="shared" si="204"/>
        <v>0</v>
      </c>
      <c r="AF139" s="36">
        <f t="shared" si="204"/>
        <v>0</v>
      </c>
      <c r="AG139" s="36">
        <f t="shared" si="204"/>
        <v>0</v>
      </c>
      <c r="AH139" s="36">
        <f t="shared" si="204"/>
        <v>0</v>
      </c>
      <c r="BH139" s="2" t="s">
        <v>579</v>
      </c>
      <c r="BI139" s="2">
        <v>2600</v>
      </c>
      <c r="BJ139" s="2">
        <v>500</v>
      </c>
      <c r="BN139" s="2">
        <v>1641</v>
      </c>
      <c r="CC139" s="2">
        <v>21</v>
      </c>
      <c r="CD139" s="2">
        <v>1.0710999999999999</v>
      </c>
      <c r="DR139" s="5"/>
      <c r="DS139" s="5"/>
      <c r="DT139" s="5"/>
      <c r="DW139" s="147"/>
      <c r="EA139" s="147"/>
      <c r="EC139" s="148"/>
      <c r="EH139" s="150"/>
      <c r="EI139" s="5"/>
    </row>
    <row r="140" spans="2:139">
      <c r="B140" s="34"/>
      <c r="C140" s="35"/>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BH140" s="2" t="s">
        <v>579</v>
      </c>
      <c r="BI140" s="2">
        <v>3000</v>
      </c>
      <c r="BJ140" s="2">
        <v>500</v>
      </c>
      <c r="BN140" s="2">
        <v>1893</v>
      </c>
      <c r="CC140" s="2">
        <v>22</v>
      </c>
      <c r="CD140" s="2">
        <v>1.0785</v>
      </c>
      <c r="DR140" s="5"/>
      <c r="DS140" s="5"/>
      <c r="DT140" s="5"/>
      <c r="DW140" s="147"/>
      <c r="EA140" s="147"/>
      <c r="EC140" s="148"/>
      <c r="EH140" s="150"/>
      <c r="EI140" s="5"/>
    </row>
    <row r="141" spans="2:139">
      <c r="B141" s="31" t="s">
        <v>550</v>
      </c>
      <c r="C141" s="32"/>
      <c r="D141" s="36"/>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BH141" s="2" t="s">
        <v>579</v>
      </c>
      <c r="BI141" s="2">
        <v>400</v>
      </c>
      <c r="BJ141" s="2">
        <v>600</v>
      </c>
      <c r="BN141" s="2">
        <v>292</v>
      </c>
      <c r="CC141" s="2">
        <v>23</v>
      </c>
      <c r="CD141" s="2">
        <v>1.0863</v>
      </c>
      <c r="DR141" s="5"/>
      <c r="DS141" s="5"/>
      <c r="DT141" s="5"/>
      <c r="DW141" s="147"/>
      <c r="EA141" s="147"/>
      <c r="EC141" s="148"/>
      <c r="EH141" s="150"/>
      <c r="EI141" s="5"/>
    </row>
    <row r="142" spans="2:139">
      <c r="B142" s="31" t="s">
        <v>551</v>
      </c>
      <c r="C142" s="32"/>
      <c r="D142" s="36">
        <f>D143*D138</f>
        <v>0</v>
      </c>
      <c r="E142" s="36">
        <f t="shared" ref="E142:N142" si="206">IF(D142=0,E143*E138,E145-E139)</f>
        <v>0</v>
      </c>
      <c r="F142" s="36">
        <f t="shared" si="206"/>
        <v>0</v>
      </c>
      <c r="G142" s="36">
        <f t="shared" si="206"/>
        <v>0</v>
      </c>
      <c r="H142" s="36">
        <f t="shared" si="206"/>
        <v>0</v>
      </c>
      <c r="I142" s="36">
        <f t="shared" si="206"/>
        <v>0</v>
      </c>
      <c r="J142" s="36">
        <f t="shared" si="206"/>
        <v>0</v>
      </c>
      <c r="K142" s="36">
        <f t="shared" si="206"/>
        <v>0</v>
      </c>
      <c r="L142" s="36">
        <f t="shared" si="206"/>
        <v>0</v>
      </c>
      <c r="M142" s="36">
        <f t="shared" si="206"/>
        <v>0</v>
      </c>
      <c r="N142" s="36">
        <f t="shared" si="206"/>
        <v>0</v>
      </c>
      <c r="O142" s="36">
        <f t="shared" ref="O142" si="207">IF(N142=0,O143*O138,O145-O139)</f>
        <v>0</v>
      </c>
      <c r="P142" s="36">
        <f>IF(O142=0,P143*P138,P145-P139)</f>
        <v>0</v>
      </c>
      <c r="Q142" s="36">
        <f t="shared" ref="Q142" si="208">IF(P142=0,Q143*Q138,Q145-Q139)</f>
        <v>0</v>
      </c>
      <c r="R142" s="36">
        <f>IF(Q142=0,R143*R138,R145-R139)</f>
        <v>0</v>
      </c>
      <c r="S142" s="36">
        <f t="shared" ref="S142" si="209">IF(R142=0,S143*S138,S145-S139)</f>
        <v>0</v>
      </c>
      <c r="T142" s="36">
        <f t="shared" ref="T142" si="210">IF(S142=0,T143*T138,T145-T139)</f>
        <v>0</v>
      </c>
      <c r="U142" s="36">
        <f t="shared" ref="U142" si="211">IF(T142=0,U143*U138,U145-U139)</f>
        <v>0</v>
      </c>
      <c r="V142" s="36">
        <f t="shared" ref="V142" si="212">IF(U142=0,V143*V138,V145-V139)</f>
        <v>0</v>
      </c>
      <c r="W142" s="36">
        <f t="shared" ref="W142" si="213">IF(V142=0,W143*W138,W145-W139)</f>
        <v>0</v>
      </c>
      <c r="X142" s="36">
        <f t="shared" ref="X142" si="214">IF(W142=0,X143*X138,X145-X139)</f>
        <v>0</v>
      </c>
      <c r="Y142" s="36">
        <f t="shared" ref="Y142" si="215">IF(X142=0,Y143*Y138,Y145-Y139)</f>
        <v>0</v>
      </c>
      <c r="Z142" s="36">
        <f t="shared" ref="Z142" si="216">IF(Y142=0,Z143*Z138,Z145-Z139)</f>
        <v>0</v>
      </c>
      <c r="AA142" s="36">
        <f t="shared" ref="AA142" si="217">IF(Z142=0,AA143*AA138,AA145-AA139)</f>
        <v>0</v>
      </c>
      <c r="AB142" s="36">
        <f t="shared" ref="AB142" si="218">IF(AA142=0,AB143*AB138,AB145-AB139)</f>
        <v>0</v>
      </c>
      <c r="AC142" s="36">
        <f t="shared" ref="AC142" si="219">IF(AB142=0,AC143*AC138,AC145-AC139)</f>
        <v>0</v>
      </c>
      <c r="AD142" s="36">
        <f t="shared" ref="AD142" si="220">IF(AC142=0,AD143*AD138,AD145-AD139)</f>
        <v>0</v>
      </c>
      <c r="AE142" s="36">
        <f t="shared" ref="AE142" si="221">IF(AD142=0,AE143*AE138,AE145-AE139)</f>
        <v>0</v>
      </c>
      <c r="AF142" s="36">
        <f>IF(AE142=0,AF143*AF138,AF145-AF139)</f>
        <v>0</v>
      </c>
      <c r="AG142" s="36">
        <f>IF(AF142=0,AG143*AG138,AG145-AG139)</f>
        <v>0</v>
      </c>
      <c r="AH142" s="36">
        <f t="shared" ref="AH142" si="222">IF(AG142=0,AH143*AH138,AH145-AH139)</f>
        <v>0</v>
      </c>
      <c r="BH142" s="2" t="s">
        <v>579</v>
      </c>
      <c r="BI142" s="2">
        <v>500</v>
      </c>
      <c r="BJ142" s="2">
        <v>600</v>
      </c>
      <c r="BN142" s="2">
        <v>366</v>
      </c>
      <c r="CC142" s="2">
        <v>24</v>
      </c>
      <c r="CD142" s="2">
        <v>1.0946</v>
      </c>
      <c r="DR142" s="5"/>
      <c r="DS142" s="5"/>
      <c r="DT142" s="5"/>
      <c r="DW142" s="147"/>
      <c r="EA142" s="147"/>
      <c r="EC142" s="148"/>
      <c r="EH142" s="150"/>
      <c r="EI142" s="5"/>
    </row>
    <row r="143" spans="2:139">
      <c r="B143" s="38" t="s">
        <v>554</v>
      </c>
      <c r="C143" s="39"/>
      <c r="D143" s="33">
        <f>IF(Allgemein!$L$66&gt;=D134,0,Allgemein!$L$67)</f>
        <v>0</v>
      </c>
      <c r="E143" s="33">
        <f>IF(Allgemein!$L$66&gt;=E134,0,IF(D142=0,Allgemein!$L$67,IF(E138=0,0,E142/E138)))</f>
        <v>0</v>
      </c>
      <c r="F143" s="33">
        <f>IF(Allgemein!$L$66&gt;=F134,0,IF(E142=0,Allgemein!$L$67,IF(F138=0,0,F142/F138)))</f>
        <v>0</v>
      </c>
      <c r="G143" s="33">
        <f>IF(Allgemein!$L$66&gt;=G134,0,IF(F142=0,Allgemein!$L$67,IF(G138=0,0,G142/G138)))</f>
        <v>0</v>
      </c>
      <c r="H143" s="33">
        <f>IF(Allgemein!$L$66&gt;=H134,0,IF(G142=0,Allgemein!$L$67,IF(H138=0,0,H142/H138)))</f>
        <v>0</v>
      </c>
      <c r="I143" s="33">
        <f>IF(Allgemein!$L$66&gt;=I134,0,IF(H142=0,Allgemein!$L$67,IF(I138=0,0,I142/I138)))</f>
        <v>0</v>
      </c>
      <c r="J143" s="33">
        <f>IF(Allgemein!$L$66&gt;=J134,0,IF(I142=0,Allgemein!$L$67,IF(J138=0,0,J142/J138)))</f>
        <v>0</v>
      </c>
      <c r="K143" s="33">
        <f>IF(Allgemein!$L$66&gt;=K134,0,IF(J142=0,Allgemein!$L$67,IF(K138=0,0,K142/K138)))</f>
        <v>0</v>
      </c>
      <c r="L143" s="33">
        <f>IF(Allgemein!$L$66&gt;=L134,0,IF(K142=0,Allgemein!$L$67,IF(L138=0,0,L142/L138)))</f>
        <v>0</v>
      </c>
      <c r="M143" s="33">
        <f>IF(Allgemein!$L$66&gt;=M134,0,IF(L142=0,Allgemein!$L$67,IF(M138=0,0,M142/M138)))</f>
        <v>0</v>
      </c>
      <c r="N143" s="33">
        <f>IF(Allgemein!$L$66&gt;=N134,0,IF(M142=0,Allgemein!$L$67,IF(N138=0,0,N142/N138)))</f>
        <v>0</v>
      </c>
      <c r="O143" s="33">
        <f>IF(Allgemein!$L$66&gt;=O134,0,IF(N142=0,Allgemein!$L$67,IF(O138=0,0,O142/O138)))</f>
        <v>0</v>
      </c>
      <c r="P143" s="33">
        <f>IF(Allgemein!$L$66&gt;=P134,0,IF(O142=0,Allgemein!$L$67,IF(P138=0,0,P142/P138)))</f>
        <v>0</v>
      </c>
      <c r="Q143" s="33">
        <f>IF(Allgemein!$L$66&gt;=Q134,0,IF(P142=0,Allgemein!$L$67,IF(Q138=0,0,Q142/Q138)))</f>
        <v>0</v>
      </c>
      <c r="R143" s="33">
        <f>IF(Allgemein!$L$66&gt;=R134,0,IF(Q142=0,Allgemein!$L$67,IF(R138=0,0,R142/R138)))</f>
        <v>0</v>
      </c>
      <c r="S143" s="33">
        <f>IF(Allgemein!$L$66&gt;=S134,0,IF(R142=0,Allgemein!$L$67,IF(S138=0,0,S142/S138)))</f>
        <v>0</v>
      </c>
      <c r="T143" s="33">
        <f>IF(Allgemein!$L$66&gt;=T134,0,IF(S142=0,Allgemein!$L$67,IF(T138=0,0,T142/T138)))</f>
        <v>0</v>
      </c>
      <c r="U143" s="33">
        <f>IF(Allgemein!$L$66&gt;=U134,0,IF(T142=0,Allgemein!$L$67,IF(U138=0,0,U142/U138)))</f>
        <v>0</v>
      </c>
      <c r="V143" s="33">
        <f>IF(Allgemein!$L$66&gt;=V134,0,IF(U142=0,Allgemein!$L$67,IF(V138=0,0,V142/V138)))</f>
        <v>0</v>
      </c>
      <c r="W143" s="33">
        <f>IF(Allgemein!$L$66&gt;=W134,0,IF(V142=0,Allgemein!$L$67,IF(W138=0,0,W142/W138)))</f>
        <v>0</v>
      </c>
      <c r="X143" s="33">
        <f>IF(Allgemein!$L$66&gt;=X134,0,IF(W142=0,Allgemein!$L$67,IF(X138=0,0,X142/X138)))</f>
        <v>0</v>
      </c>
      <c r="Y143" s="33">
        <f>IF(Allgemein!$L$66&gt;=Y134,0,IF(X142=0,Allgemein!$L$67,IF(Y138=0,0,Y142/Y138)))</f>
        <v>0</v>
      </c>
      <c r="Z143" s="33">
        <f>IF(Allgemein!$L$66&gt;=Z134,0,IF(Y142=0,Allgemein!$L$67,IF(Z138=0,0,Z142/Z138)))</f>
        <v>0</v>
      </c>
      <c r="AA143" s="33">
        <f>IF(Allgemein!$L$66&gt;=AA134,0,IF(Z142=0,Allgemein!$L$67,IF(AA138=0,0,AA142/AA138)))</f>
        <v>0</v>
      </c>
      <c r="AB143" s="33">
        <f>IF(Allgemein!$L$66&gt;=AB134,0,IF(AA142=0,Allgemein!$L$67,IF(AB138=0,0,AB142/AB138)))</f>
        <v>0</v>
      </c>
      <c r="AC143" s="33">
        <f>IF(Allgemein!$L$66&gt;=AC134,0,IF(AB142=0,Allgemein!$L$67,IF(AC138=0,0,AC142/AC138)))</f>
        <v>0</v>
      </c>
      <c r="AD143" s="33">
        <f>IF(Allgemein!$L$66&gt;=AD134,0,IF(AC142=0,Allgemein!$L$67,IF(AD138=0,0,AD142/AD138)))</f>
        <v>0</v>
      </c>
      <c r="AE143" s="33">
        <f>IF(Allgemein!$L$66&gt;=AE134,0,IF(AD142=0,Allgemein!$L$67,IF(AE138=0,0,AE142/AE138)))</f>
        <v>0</v>
      </c>
      <c r="AF143" s="33">
        <f>IF(Allgemein!$L$66&gt;=AF134,0,IF(AE142=0,Allgemein!$L$67,IF(AF138=0,0,AF142/AF138)))</f>
        <v>0</v>
      </c>
      <c r="AG143" s="33">
        <f>IF(Allgemein!$L$66&gt;=AG134,0,IF(AF142=0,Allgemein!$L$67,IF(AG138=0,0,AG142/AG138)))</f>
        <v>0</v>
      </c>
      <c r="AH143" s="33">
        <f>IF(Allgemein!$L$66&gt;=AH134,0,IF(AG142=0,Allgemein!$L$67,IF(AH138=0,0,AH142/AH138)))</f>
        <v>0</v>
      </c>
      <c r="BH143" s="2" t="s">
        <v>579</v>
      </c>
      <c r="BI143" s="2">
        <v>600</v>
      </c>
      <c r="BJ143" s="2">
        <v>600</v>
      </c>
      <c r="BN143" s="2">
        <v>439</v>
      </c>
      <c r="CC143" s="2">
        <v>25</v>
      </c>
      <c r="CD143" s="2">
        <v>1.1032999999999999</v>
      </c>
      <c r="DR143" s="5"/>
      <c r="DS143" s="5"/>
      <c r="DT143" s="5"/>
      <c r="DW143" s="147"/>
      <c r="EA143" s="147"/>
      <c r="EC143" s="148"/>
      <c r="EH143" s="150"/>
      <c r="EI143" s="5"/>
    </row>
    <row r="144" spans="2:139">
      <c r="B144" s="34"/>
      <c r="C144" s="35"/>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BH144" s="2" t="s">
        <v>579</v>
      </c>
      <c r="BI144" s="2">
        <v>700</v>
      </c>
      <c r="BJ144" s="2">
        <v>600</v>
      </c>
      <c r="BN144" s="2">
        <v>512</v>
      </c>
      <c r="CC144" s="2">
        <v>26</v>
      </c>
      <c r="CD144" s="2">
        <v>1.1126</v>
      </c>
      <c r="DR144" s="5"/>
      <c r="DS144" s="5"/>
      <c r="DT144" s="5"/>
      <c r="DW144" s="147"/>
      <c r="EA144" s="147"/>
      <c r="EC144" s="148"/>
      <c r="EH144" s="150"/>
      <c r="EI144" s="5"/>
    </row>
    <row r="145" spans="2:139">
      <c r="B145" s="31" t="s">
        <v>555</v>
      </c>
      <c r="C145" s="32"/>
      <c r="D145" s="36">
        <f>D142+D139</f>
        <v>0</v>
      </c>
      <c r="E145" s="36">
        <f>IF(D142=0,E139+E142,IF(E138=0,0,IF(E138&lt;D145,E138+E139,IF(E141=0,D145,E141+E139))))</f>
        <v>0</v>
      </c>
      <c r="F145" s="36">
        <f>IF(E142=0,F139+F142,IF(F138=0,0,IF(F138&lt;E145,F138+F139,IF(F141=0,E145,F141+F139))))</f>
        <v>0</v>
      </c>
      <c r="G145" s="36">
        <f>IF(F142=0,G139+G142,IF(G138=0,0,IF(G138&lt;F145,G138+G139,IF(G141=0,F145,G141+G139))))</f>
        <v>0</v>
      </c>
      <c r="H145" s="36">
        <f>IF(G142=0,H139+H142,IF(H138=0,0,IF(H138&lt;G145,H138+H139,IF(H141=0,G145,H141+H139))))</f>
        <v>0</v>
      </c>
      <c r="I145" s="36">
        <f t="shared" ref="I145" si="223">IF(H142=0,I139+I142,IF(I138=0,0,IF(I138&lt;H145,I138+I139,IF(I141=0,H145,I141+I139))))</f>
        <v>0</v>
      </c>
      <c r="J145" s="36">
        <f>IF(I142=0,J139+J142,IF(J138=0,0,IF(J138&lt;I145,J138+J139,IF(J141=0,I145,J141+J139))))</f>
        <v>0</v>
      </c>
      <c r="K145" s="36">
        <f t="shared" ref="K145" si="224">IF(J142=0,K139+K142,IF(K138=0,0,IF(K138&lt;J145,K138+K139,IF(K141=0,J145,K141+K139))))</f>
        <v>0</v>
      </c>
      <c r="L145" s="36">
        <f t="shared" ref="L145" si="225">IF(K142=0,L139+L142,IF(L138=0,0,IF(L138&lt;K145,L138+L139,IF(L141=0,K145,L141+L139))))</f>
        <v>0</v>
      </c>
      <c r="M145" s="36">
        <f t="shared" ref="M145" si="226">IF(L142=0,M139+M142,IF(M138=0,0,IF(M138&lt;L145,M138+M139,IF(M141=0,L145,M141+M139))))</f>
        <v>0</v>
      </c>
      <c r="N145" s="36">
        <f t="shared" ref="N145" si="227">IF(M142=0,N139+N142,IF(N138=0,0,IF(N138&lt;M145,N138+N139,IF(N141=0,M145,N141+N139))))</f>
        <v>0</v>
      </c>
      <c r="O145" s="36">
        <f t="shared" ref="O145" si="228">IF(N142=0,O139+O142,IF(O138=0,0,IF(O138&lt;N145,O138+O139,IF(O141=0,N145,O141+O139))))</f>
        <v>0</v>
      </c>
      <c r="P145" s="36">
        <f t="shared" ref="P145" si="229">IF(O142=0,P139+P142,IF(P138=0,0,IF(P138&lt;O145,P138+P139,IF(P141=0,O145,P141+P139))))</f>
        <v>0</v>
      </c>
      <c r="Q145" s="36">
        <f t="shared" ref="Q145" si="230">IF(P142=0,Q139+Q142,IF(Q138=0,0,IF(Q138&lt;P145,Q138+Q139,IF(Q141=0,P145,Q141+Q139))))</f>
        <v>0</v>
      </c>
      <c r="R145" s="36">
        <f t="shared" ref="R145" si="231">IF(Q142=0,R139+R142,IF(R138=0,0,IF(R138&lt;Q145,R138+R139,IF(R141=0,Q145,R141+R139))))</f>
        <v>0</v>
      </c>
      <c r="S145" s="36">
        <f t="shared" ref="S145" si="232">IF(R142=0,S139+S142,IF(S138=0,0,IF(S138&lt;R145,S138+S139,IF(S141=0,R145,S141+S139))))</f>
        <v>0</v>
      </c>
      <c r="T145" s="36">
        <f t="shared" ref="T145" si="233">IF(S142=0,T139+T142,IF(T138=0,0,IF(T138&lt;S145,T138+T139,IF(T141=0,S145,T141+T139))))</f>
        <v>0</v>
      </c>
      <c r="U145" s="36">
        <f t="shared" ref="U145" si="234">IF(T142=0,U139+U142,IF(U138=0,0,IF(U138&lt;T145,U138+U139,IF(U141=0,T145,U141+U139))))</f>
        <v>0</v>
      </c>
      <c r="V145" s="36">
        <f t="shared" ref="V145" si="235">IF(U142=0,V139+V142,IF(V138=0,0,IF(V138&lt;U145,V138+V139,IF(V141=0,U145,V141+V139))))</f>
        <v>0</v>
      </c>
      <c r="W145" s="36">
        <f t="shared" ref="W145" si="236">IF(V142=0,W139+W142,IF(W138=0,0,IF(W138&lt;V145,W138+W139,IF(W141=0,V145,W141+W139))))</f>
        <v>0</v>
      </c>
      <c r="X145" s="36">
        <f t="shared" ref="X145" si="237">IF(W142=0,X139+X142,IF(X138=0,0,IF(X138&lt;W145,X138+X139,IF(X141=0,W145,X141+X139))))</f>
        <v>0</v>
      </c>
      <c r="Y145" s="36">
        <f t="shared" ref="Y145" si="238">IF(X142=0,Y139+Y142,IF(Y138=0,0,IF(Y138&lt;X145,Y138+Y139,IF(Y141=0,X145,Y141+Y139))))</f>
        <v>0</v>
      </c>
      <c r="Z145" s="36">
        <f t="shared" ref="Z145" si="239">IF(Y142=0,Z139+Z142,IF(Z138=0,0,IF(Z138&lt;Y145,Z138+Z139,IF(Z141=0,Y145,Z141+Z139))))</f>
        <v>0</v>
      </c>
      <c r="AA145" s="36">
        <f t="shared" ref="AA145" si="240">IF(Z142=0,AA139+AA142,IF(AA138=0,0,IF(AA138&lt;Z145,AA138+AA139,IF(AA141=0,Z145,AA141+AA139))))</f>
        <v>0</v>
      </c>
      <c r="AB145" s="36">
        <f t="shared" ref="AB145" si="241">IF(AA142=0,AB139+AB142,IF(AB138=0,0,IF(AB138&lt;AA145,AB138+AB139,IF(AB141=0,AA145,AB141+AB139))))</f>
        <v>0</v>
      </c>
      <c r="AC145" s="36">
        <f t="shared" ref="AC145" si="242">IF(AB142=0,AC139+AC142,IF(AC138=0,0,IF(AC138&lt;AB145,AC138+AC139,IF(AC141=0,AB145,AC141+AC139))))</f>
        <v>0</v>
      </c>
      <c r="AD145" s="36">
        <f t="shared" ref="AD145" si="243">IF(AC142=0,AD139+AD142,IF(AD138=0,0,IF(AD138&lt;AC145,AD138+AD139,IF(AD141=0,AC145,AD141+AD139))))</f>
        <v>0</v>
      </c>
      <c r="AE145" s="36">
        <f t="shared" ref="AE145" si="244">IF(AD142=0,AE139+AE142,IF(AE138=0,0,IF(AE138&lt;AD145,AE138+AE139,IF(AE141=0,AD145,AE141+AE139))))</f>
        <v>0</v>
      </c>
      <c r="AF145" s="36">
        <f t="shared" ref="AF145" si="245">IF(AE142=0,AF139+AF142,IF(AF138=0,0,IF(AF138&lt;AE145,AF138+AF139,IF(AF141=0,AE145,AF141+AF139))))</f>
        <v>0</v>
      </c>
      <c r="AG145" s="36">
        <f t="shared" ref="AG145" si="246">IF(AF142=0,AG139+AG142,IF(AG138=0,0,IF(AG138&lt;AF145,AG138+AG139,IF(AG141=0,AF145,AG141+AG139))))</f>
        <v>0</v>
      </c>
      <c r="AH145" s="36">
        <f t="shared" ref="AH145" si="247">IF(AG142=0,AH139+AH142,IF(AH138=0,0,IF(AH138&lt;AG145,AH138+AH139,IF(AH141=0,AG145,AH141+AH139))))</f>
        <v>0</v>
      </c>
      <c r="BH145" s="2" t="s">
        <v>579</v>
      </c>
      <c r="BI145" s="2">
        <v>800</v>
      </c>
      <c r="BJ145" s="2">
        <v>600</v>
      </c>
      <c r="BN145" s="2">
        <v>585</v>
      </c>
      <c r="CC145" s="2">
        <v>27</v>
      </c>
      <c r="CD145" s="2">
        <v>1.1223000000000001</v>
      </c>
      <c r="DR145" s="5"/>
      <c r="DS145" s="5"/>
      <c r="DT145" s="5"/>
      <c r="DW145" s="147"/>
      <c r="EA145" s="147"/>
      <c r="EC145" s="148"/>
      <c r="EH145" s="150"/>
      <c r="EI145" s="5"/>
    </row>
    <row r="146" spans="2:139">
      <c r="B146" s="31" t="s">
        <v>556</v>
      </c>
      <c r="C146" s="32"/>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BH146" s="2" t="s">
        <v>579</v>
      </c>
      <c r="BI146" s="2">
        <v>900</v>
      </c>
      <c r="BJ146" s="2">
        <v>600</v>
      </c>
      <c r="BN146" s="2">
        <v>658</v>
      </c>
      <c r="CC146" s="2">
        <v>28</v>
      </c>
      <c r="CD146" s="2">
        <v>1.1325000000000001</v>
      </c>
      <c r="DR146" s="5"/>
      <c r="DS146" s="5"/>
      <c r="DT146" s="5"/>
      <c r="DW146" s="147"/>
      <c r="EA146" s="147"/>
      <c r="EC146" s="148"/>
      <c r="EH146" s="150"/>
      <c r="EI146" s="5"/>
    </row>
    <row r="147" spans="2:139">
      <c r="B147" s="31" t="s">
        <v>557</v>
      </c>
      <c r="C147" s="32"/>
      <c r="D147" s="36">
        <f>D138-D142</f>
        <v>0</v>
      </c>
      <c r="E147" s="36">
        <f t="shared" ref="E147:AH147" si="248">E138-E142</f>
        <v>0</v>
      </c>
      <c r="F147" s="36">
        <f t="shared" si="248"/>
        <v>0</v>
      </c>
      <c r="G147" s="36">
        <f t="shared" si="248"/>
        <v>0</v>
      </c>
      <c r="H147" s="36">
        <f t="shared" si="248"/>
        <v>0</v>
      </c>
      <c r="I147" s="36">
        <f t="shared" si="248"/>
        <v>0</v>
      </c>
      <c r="J147" s="36">
        <f t="shared" si="248"/>
        <v>0</v>
      </c>
      <c r="K147" s="36">
        <f t="shared" si="248"/>
        <v>0</v>
      </c>
      <c r="L147" s="36">
        <f t="shared" si="248"/>
        <v>0</v>
      </c>
      <c r="M147" s="36">
        <f t="shared" si="248"/>
        <v>0</v>
      </c>
      <c r="N147" s="36">
        <f t="shared" si="248"/>
        <v>0</v>
      </c>
      <c r="O147" s="36">
        <f t="shared" si="248"/>
        <v>0</v>
      </c>
      <c r="P147" s="36">
        <f t="shared" si="248"/>
        <v>0</v>
      </c>
      <c r="Q147" s="36">
        <f t="shared" si="248"/>
        <v>0</v>
      </c>
      <c r="R147" s="36">
        <f t="shared" si="248"/>
        <v>0</v>
      </c>
      <c r="S147" s="36">
        <f t="shared" si="248"/>
        <v>0</v>
      </c>
      <c r="T147" s="36">
        <f t="shared" si="248"/>
        <v>0</v>
      </c>
      <c r="U147" s="36">
        <f t="shared" si="248"/>
        <v>0</v>
      </c>
      <c r="V147" s="36">
        <f t="shared" si="248"/>
        <v>0</v>
      </c>
      <c r="W147" s="36">
        <f t="shared" si="248"/>
        <v>0</v>
      </c>
      <c r="X147" s="36">
        <f t="shared" si="248"/>
        <v>0</v>
      </c>
      <c r="Y147" s="36">
        <f t="shared" si="248"/>
        <v>0</v>
      </c>
      <c r="Z147" s="36">
        <f t="shared" si="248"/>
        <v>0</v>
      </c>
      <c r="AA147" s="36">
        <f t="shared" si="248"/>
        <v>0</v>
      </c>
      <c r="AB147" s="36">
        <f t="shared" si="248"/>
        <v>0</v>
      </c>
      <c r="AC147" s="36">
        <f t="shared" si="248"/>
        <v>0</v>
      </c>
      <c r="AD147" s="36">
        <f t="shared" si="248"/>
        <v>0</v>
      </c>
      <c r="AE147" s="36">
        <f t="shared" si="248"/>
        <v>0</v>
      </c>
      <c r="AF147" s="36">
        <f t="shared" si="248"/>
        <v>0</v>
      </c>
      <c r="AG147" s="36">
        <f t="shared" si="248"/>
        <v>0</v>
      </c>
      <c r="AH147" s="36">
        <f t="shared" si="248"/>
        <v>0</v>
      </c>
      <c r="BH147" s="2" t="s">
        <v>579</v>
      </c>
      <c r="BI147" s="2">
        <v>1000</v>
      </c>
      <c r="BJ147" s="2">
        <v>600</v>
      </c>
      <c r="BN147" s="2">
        <v>731</v>
      </c>
      <c r="CC147" s="2">
        <v>29</v>
      </c>
      <c r="CD147" s="2">
        <v>1.1433</v>
      </c>
      <c r="DR147" s="5"/>
      <c r="DS147" s="5"/>
      <c r="DT147" s="5"/>
      <c r="DW147" s="147"/>
      <c r="EA147" s="147"/>
      <c r="EC147" s="148"/>
      <c r="EH147" s="150"/>
      <c r="EI147" s="5"/>
    </row>
    <row r="148" spans="2:139" ht="17.399999999999999" thickBot="1">
      <c r="B148" s="40" t="s">
        <v>558</v>
      </c>
      <c r="C148" s="41"/>
      <c r="D148" s="42">
        <f>D145/12</f>
        <v>0</v>
      </c>
      <c r="E148" s="42">
        <f>E145/12</f>
        <v>0</v>
      </c>
      <c r="F148" s="42">
        <f>F145/12</f>
        <v>0</v>
      </c>
      <c r="G148" s="42">
        <f>G145/12</f>
        <v>0</v>
      </c>
      <c r="H148" s="42">
        <f t="shared" ref="H148:AH148" si="249">H145/12</f>
        <v>0</v>
      </c>
      <c r="I148" s="42">
        <f t="shared" si="249"/>
        <v>0</v>
      </c>
      <c r="J148" s="42">
        <f t="shared" si="249"/>
        <v>0</v>
      </c>
      <c r="K148" s="42">
        <f t="shared" si="249"/>
        <v>0</v>
      </c>
      <c r="L148" s="42">
        <f t="shared" si="249"/>
        <v>0</v>
      </c>
      <c r="M148" s="42">
        <f t="shared" si="249"/>
        <v>0</v>
      </c>
      <c r="N148" s="42">
        <f t="shared" si="249"/>
        <v>0</v>
      </c>
      <c r="O148" s="42">
        <f t="shared" si="249"/>
        <v>0</v>
      </c>
      <c r="P148" s="42">
        <f t="shared" si="249"/>
        <v>0</v>
      </c>
      <c r="Q148" s="42">
        <f t="shared" si="249"/>
        <v>0</v>
      </c>
      <c r="R148" s="42">
        <f t="shared" si="249"/>
        <v>0</v>
      </c>
      <c r="S148" s="42">
        <f t="shared" si="249"/>
        <v>0</v>
      </c>
      <c r="T148" s="42">
        <f t="shared" si="249"/>
        <v>0</v>
      </c>
      <c r="U148" s="42">
        <f t="shared" si="249"/>
        <v>0</v>
      </c>
      <c r="V148" s="42">
        <f t="shared" si="249"/>
        <v>0</v>
      </c>
      <c r="W148" s="42">
        <f t="shared" si="249"/>
        <v>0</v>
      </c>
      <c r="X148" s="42">
        <f t="shared" si="249"/>
        <v>0</v>
      </c>
      <c r="Y148" s="42">
        <f t="shared" si="249"/>
        <v>0</v>
      </c>
      <c r="Z148" s="42">
        <f t="shared" si="249"/>
        <v>0</v>
      </c>
      <c r="AA148" s="42">
        <f t="shared" si="249"/>
        <v>0</v>
      </c>
      <c r="AB148" s="42">
        <f t="shared" si="249"/>
        <v>0</v>
      </c>
      <c r="AC148" s="42">
        <f t="shared" si="249"/>
        <v>0</v>
      </c>
      <c r="AD148" s="42">
        <f t="shared" si="249"/>
        <v>0</v>
      </c>
      <c r="AE148" s="42">
        <f t="shared" si="249"/>
        <v>0</v>
      </c>
      <c r="AF148" s="42">
        <f t="shared" si="249"/>
        <v>0</v>
      </c>
      <c r="AG148" s="42">
        <f t="shared" si="249"/>
        <v>0</v>
      </c>
      <c r="AH148" s="42">
        <f t="shared" si="249"/>
        <v>0</v>
      </c>
      <c r="BH148" s="2" t="s">
        <v>579</v>
      </c>
      <c r="BI148" s="2">
        <v>1100</v>
      </c>
      <c r="BJ148" s="2">
        <v>600</v>
      </c>
      <c r="BN148" s="2">
        <v>804</v>
      </c>
      <c r="CC148" s="2">
        <v>30</v>
      </c>
      <c r="CD148" s="2">
        <v>1.1547000000000001</v>
      </c>
      <c r="DR148" s="5"/>
      <c r="DS148" s="5"/>
      <c r="DT148" s="5"/>
      <c r="DW148" s="147"/>
      <c r="EA148" s="147"/>
      <c r="EC148" s="148"/>
      <c r="EH148" s="150"/>
      <c r="EI148" s="5"/>
    </row>
    <row r="149" spans="2:139" ht="17.399999999999999" thickBot="1">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BH149" s="2" t="s">
        <v>579</v>
      </c>
      <c r="BI149" s="2">
        <v>1200</v>
      </c>
      <c r="BJ149" s="2">
        <v>600</v>
      </c>
      <c r="BN149" s="2">
        <v>877</v>
      </c>
      <c r="CC149" s="2">
        <v>31</v>
      </c>
      <c r="CD149" s="2">
        <v>1.1666000000000001</v>
      </c>
      <c r="DR149" s="5"/>
      <c r="DS149" s="5"/>
      <c r="DT149" s="5"/>
      <c r="DW149" s="147"/>
      <c r="EA149" s="147"/>
      <c r="EC149" s="148"/>
      <c r="EH149" s="150"/>
      <c r="EI149" s="5"/>
    </row>
    <row r="150" spans="2:139" ht="19.2" thickBot="1">
      <c r="B150" s="61" t="str">
        <f>Allgemein!M59</f>
        <v>Ergänzungskredit</v>
      </c>
      <c r="C150" s="29"/>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BH150" s="2" t="s">
        <v>579</v>
      </c>
      <c r="BI150" s="2">
        <v>1400</v>
      </c>
      <c r="BJ150" s="2">
        <v>600</v>
      </c>
      <c r="BN150" s="2">
        <v>1023</v>
      </c>
      <c r="CC150" s="2">
        <v>32</v>
      </c>
      <c r="CD150" s="2">
        <v>1.1791</v>
      </c>
    </row>
    <row r="151" spans="2:139" ht="17.399999999999999" thickBot="1">
      <c r="B151" s="56" t="s">
        <v>339</v>
      </c>
      <c r="C151" s="57"/>
      <c r="D151" s="58">
        <v>1</v>
      </c>
      <c r="E151" s="59">
        <v>2</v>
      </c>
      <c r="F151" s="59">
        <v>3</v>
      </c>
      <c r="G151" s="58">
        <v>4</v>
      </c>
      <c r="H151" s="58">
        <v>5</v>
      </c>
      <c r="I151" s="59">
        <v>6</v>
      </c>
      <c r="J151" s="59">
        <v>7</v>
      </c>
      <c r="K151" s="58">
        <v>8</v>
      </c>
      <c r="L151" s="58">
        <v>9</v>
      </c>
      <c r="M151" s="59">
        <v>10</v>
      </c>
      <c r="N151" s="59">
        <v>11</v>
      </c>
      <c r="O151" s="58">
        <v>12</v>
      </c>
      <c r="P151" s="58">
        <v>13</v>
      </c>
      <c r="Q151" s="59">
        <v>14</v>
      </c>
      <c r="R151" s="59">
        <v>15</v>
      </c>
      <c r="S151" s="58">
        <v>16</v>
      </c>
      <c r="T151" s="58">
        <v>17</v>
      </c>
      <c r="U151" s="59">
        <v>18</v>
      </c>
      <c r="V151" s="59">
        <v>19</v>
      </c>
      <c r="W151" s="58">
        <v>20</v>
      </c>
      <c r="X151" s="58">
        <v>21</v>
      </c>
      <c r="Y151" s="59">
        <v>22</v>
      </c>
      <c r="Z151" s="59">
        <v>23</v>
      </c>
      <c r="AA151" s="58">
        <v>24</v>
      </c>
      <c r="AB151" s="58">
        <v>25</v>
      </c>
      <c r="AC151" s="59">
        <v>26</v>
      </c>
      <c r="AD151" s="59">
        <v>27</v>
      </c>
      <c r="AE151" s="58">
        <v>28</v>
      </c>
      <c r="AF151" s="58">
        <v>29</v>
      </c>
      <c r="AG151" s="59">
        <v>30</v>
      </c>
      <c r="AH151" s="74">
        <v>31</v>
      </c>
      <c r="BH151" s="2" t="s">
        <v>579</v>
      </c>
      <c r="BI151" s="2">
        <v>1600</v>
      </c>
      <c r="BJ151" s="2">
        <v>600</v>
      </c>
      <c r="BN151" s="2">
        <v>1170</v>
      </c>
      <c r="CC151" s="2">
        <v>33</v>
      </c>
      <c r="CD151" s="2">
        <v>1.1922999999999999</v>
      </c>
    </row>
    <row r="152" spans="2:139">
      <c r="B152" s="69" t="s">
        <v>545</v>
      </c>
      <c r="C152" s="70"/>
      <c r="D152" s="71"/>
      <c r="E152" s="72"/>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BH152" s="2" t="s">
        <v>579</v>
      </c>
      <c r="BI152" s="2">
        <v>1800</v>
      </c>
      <c r="BJ152" s="2">
        <v>600</v>
      </c>
      <c r="BN152" s="2">
        <v>1316</v>
      </c>
      <c r="CC152" s="2">
        <v>34</v>
      </c>
      <c r="CD152" s="2">
        <v>1.2061999999999999</v>
      </c>
    </row>
    <row r="153" spans="2:139">
      <c r="B153" s="31" t="s">
        <v>546</v>
      </c>
      <c r="C153" s="32"/>
      <c r="D153" s="33">
        <f>Allgemein!$M$64</f>
        <v>0</v>
      </c>
      <c r="E153" s="33">
        <f t="shared" ref="E153:T153" si="250">IF(E152=0,D153,E152)</f>
        <v>0</v>
      </c>
      <c r="F153" s="33">
        <f t="shared" si="250"/>
        <v>0</v>
      </c>
      <c r="G153" s="33">
        <f t="shared" si="250"/>
        <v>0</v>
      </c>
      <c r="H153" s="33">
        <f t="shared" si="250"/>
        <v>0</v>
      </c>
      <c r="I153" s="33">
        <f t="shared" si="250"/>
        <v>0</v>
      </c>
      <c r="J153" s="33">
        <f t="shared" si="250"/>
        <v>0</v>
      </c>
      <c r="K153" s="33">
        <f t="shared" si="250"/>
        <v>0</v>
      </c>
      <c r="L153" s="33">
        <f t="shared" si="250"/>
        <v>0</v>
      </c>
      <c r="M153" s="33">
        <f t="shared" si="250"/>
        <v>0</v>
      </c>
      <c r="N153" s="33">
        <f t="shared" si="250"/>
        <v>0</v>
      </c>
      <c r="O153" s="33">
        <f t="shared" si="250"/>
        <v>0</v>
      </c>
      <c r="P153" s="33">
        <f t="shared" si="250"/>
        <v>0</v>
      </c>
      <c r="Q153" s="33">
        <f t="shared" si="250"/>
        <v>0</v>
      </c>
      <c r="R153" s="33">
        <f t="shared" si="250"/>
        <v>0</v>
      </c>
      <c r="S153" s="33">
        <f t="shared" si="250"/>
        <v>0</v>
      </c>
      <c r="T153" s="33">
        <f t="shared" si="250"/>
        <v>0</v>
      </c>
      <c r="U153" s="33">
        <f t="shared" ref="U153" si="251">IF(U152=0,T153,U152)</f>
        <v>0</v>
      </c>
      <c r="V153" s="33">
        <f t="shared" ref="V153" si="252">IF(V152=0,U153,V152)</f>
        <v>0</v>
      </c>
      <c r="W153" s="33">
        <f t="shared" ref="W153" si="253">IF(W152=0,V153,W152)</f>
        <v>0</v>
      </c>
      <c r="X153" s="33">
        <f t="shared" ref="X153" si="254">IF(X152=0,W153,X152)</f>
        <v>0</v>
      </c>
      <c r="Y153" s="33">
        <f t="shared" ref="Y153" si="255">IF(Y152=0,X153,Y152)</f>
        <v>0</v>
      </c>
      <c r="Z153" s="33">
        <f t="shared" ref="Z153" si="256">IF(Z152=0,Y153,Z152)</f>
        <v>0</v>
      </c>
      <c r="AA153" s="33">
        <f t="shared" ref="AA153" si="257">IF(AA152=0,Z153,AA152)</f>
        <v>0</v>
      </c>
      <c r="AB153" s="33">
        <f t="shared" ref="AB153" si="258">IF(AB152=0,AA153,AB152)</f>
        <v>0</v>
      </c>
      <c r="AC153" s="33">
        <f t="shared" ref="AC153" si="259">IF(AC152=0,AB153,AC152)</f>
        <v>0</v>
      </c>
      <c r="AD153" s="33">
        <f t="shared" ref="AD153" si="260">IF(AD152=0,AC153,AD152)</f>
        <v>0</v>
      </c>
      <c r="AE153" s="33">
        <f t="shared" ref="AE153" si="261">IF(AE152=0,AD153,AE152)</f>
        <v>0</v>
      </c>
      <c r="AF153" s="33">
        <f t="shared" ref="AF153" si="262">IF(AF152=0,AE153,AF152)</f>
        <v>0</v>
      </c>
      <c r="AG153" s="33">
        <f t="shared" ref="AG153" si="263">IF(AG152=0,AF153,AG152)</f>
        <v>0</v>
      </c>
      <c r="AH153" s="33">
        <f t="shared" ref="AH153" si="264">IF(AH152=0,AG153,AH152)</f>
        <v>0</v>
      </c>
      <c r="BH153" s="2" t="s">
        <v>579</v>
      </c>
      <c r="BI153" s="2">
        <v>2000</v>
      </c>
      <c r="BJ153" s="2">
        <v>600</v>
      </c>
      <c r="BN153" s="2">
        <v>1462</v>
      </c>
      <c r="CC153" s="2">
        <v>35</v>
      </c>
      <c r="CD153" s="2">
        <v>1.2206999999999999</v>
      </c>
    </row>
    <row r="154" spans="2:139">
      <c r="B154" s="34"/>
      <c r="C154" s="35"/>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BH154" s="2" t="s">
        <v>579</v>
      </c>
      <c r="BI154" s="2">
        <v>2200</v>
      </c>
      <c r="BJ154" s="2">
        <v>600</v>
      </c>
      <c r="BN154" s="2">
        <v>1608</v>
      </c>
      <c r="CC154" s="2">
        <v>36</v>
      </c>
      <c r="CD154" s="2">
        <v>1.236</v>
      </c>
    </row>
    <row r="155" spans="2:139">
      <c r="B155" s="31" t="s">
        <v>548</v>
      </c>
      <c r="C155" s="32"/>
      <c r="D155" s="36">
        <f>Allgemein!$M$62</f>
        <v>0</v>
      </c>
      <c r="E155" s="36">
        <f>IF(E151=Allgemein!$M$66+2,(Allgemein!$M$62-Allgemein!$M$70)-D159,D164)</f>
        <v>0</v>
      </c>
      <c r="F155" s="36">
        <f>IF(F151=Allgemein!$M$66+2,(Allgemein!$M$62-Allgemein!$M$70)-E159,E164)</f>
        <v>0</v>
      </c>
      <c r="G155" s="36">
        <f>IF(G151=Allgemein!$M$66+2,(Allgemein!$M$62-Allgemein!$M$70)-F159,F164)</f>
        <v>0</v>
      </c>
      <c r="H155" s="36">
        <f>IF(H151=Allgemein!$M$66+2,(Allgemein!$M$62-Allgemein!$M$70)-G159,G164)</f>
        <v>0</v>
      </c>
      <c r="I155" s="36">
        <f>IF(I151=Allgemein!$M$66+2,(Allgemein!$M$62-Allgemein!$M$70)-H159,H164)</f>
        <v>0</v>
      </c>
      <c r="J155" s="36">
        <f>IF(J151=Allgemein!$M$66+2,(Allgemein!$M$62-Allgemein!$M$70)-I159,I164)</f>
        <v>0</v>
      </c>
      <c r="K155" s="36">
        <f>IF(K151=Allgemein!$M$66+2,(Allgemein!$M$62-Allgemein!$M$70)-J159,J164)</f>
        <v>0</v>
      </c>
      <c r="L155" s="36">
        <f>IF(L151=Allgemein!$M$66+2,(Allgemein!$M$62-Allgemein!$M$70)-K159,K164)</f>
        <v>0</v>
      </c>
      <c r="M155" s="36">
        <f>IF(M151=Allgemein!$M$66+2,(Allgemein!$M$62-Allgemein!$M$70)-L159,L164)</f>
        <v>0</v>
      </c>
      <c r="N155" s="36">
        <f>IF(N151=Allgemein!$M$66+2,(Allgemein!$M$62-Allgemein!$M$70)-M159,M164)</f>
        <v>0</v>
      </c>
      <c r="O155" s="36">
        <f>IF(O151=Allgemein!$M$66+2,(Allgemein!$M$62-Allgemein!$M$70)-N159,N164)</f>
        <v>0</v>
      </c>
      <c r="P155" s="36">
        <f>IF(P151=Allgemein!$M$66+2,(Allgemein!$M$62-Allgemein!$M$70)-O159,O164)</f>
        <v>0</v>
      </c>
      <c r="Q155" s="36">
        <f>IF(Q151=Allgemein!$M$66+2,(Allgemein!$M$62-Allgemein!$M$70)-P159,P164)</f>
        <v>0</v>
      </c>
      <c r="R155" s="36">
        <f>IF(R151=Allgemein!$M$66+2,(Allgemein!$M$62-Allgemein!$M$70)-Q159,Q164)</f>
        <v>0</v>
      </c>
      <c r="S155" s="36">
        <f>IF(S151=Allgemein!$M$66+2,(Allgemein!$M$62-Allgemein!$M$70)-R159,R164)</f>
        <v>0</v>
      </c>
      <c r="T155" s="36">
        <f>IF(T151=Allgemein!$M$66+2,(Allgemein!$M$62-Allgemein!$M$70)-S159,S164)</f>
        <v>0</v>
      </c>
      <c r="U155" s="36">
        <f>IF(U151=Allgemein!$M$66+2,(Allgemein!$M$62-Allgemein!$M$70)-T159,T164)</f>
        <v>0</v>
      </c>
      <c r="V155" s="36">
        <f>IF(V151=Allgemein!$M$66+2,(Allgemein!$M$62-Allgemein!$M$70)-U159,U164)</f>
        <v>0</v>
      </c>
      <c r="W155" s="36">
        <f>IF(W151=Allgemein!$M$66+2,(Allgemein!$M$62-Allgemein!$M$70)-V159,V164)</f>
        <v>0</v>
      </c>
      <c r="X155" s="36">
        <f>IF(X151=Allgemein!$M$66+2,(Allgemein!$M$62-Allgemein!$M$70)-W159,W164)</f>
        <v>0</v>
      </c>
      <c r="Y155" s="36">
        <f>IF(Y151=Allgemein!$M$66+2,(Allgemein!$M$62-Allgemein!$M$70)-X159,X164)</f>
        <v>0</v>
      </c>
      <c r="Z155" s="36">
        <f>IF(Z151=Allgemein!$M$66+2,(Allgemein!$M$62-Allgemein!$M$70)-Y159,Y164)</f>
        <v>0</v>
      </c>
      <c r="AA155" s="36">
        <f>IF(AA151=Allgemein!$M$66+2,(Allgemein!$M$62-Allgemein!$M$70)-Z159,Z164)</f>
        <v>0</v>
      </c>
      <c r="AB155" s="36">
        <f>IF(AB151=Allgemein!$M$66+2,(Allgemein!$M$62-Allgemein!$M$70)-AA159,AA164)</f>
        <v>0</v>
      </c>
      <c r="AC155" s="36">
        <f>IF(AC151=Allgemein!$M$66+2,(Allgemein!$M$62-Allgemein!$M$70)-AB159,AB164)</f>
        <v>0</v>
      </c>
      <c r="AD155" s="36">
        <f>IF(AD151=Allgemein!$M$66+2,(Allgemein!$M$62-Allgemein!$M$70)-AC159,AC164)</f>
        <v>0</v>
      </c>
      <c r="AE155" s="36">
        <f>IF(AE151=Allgemein!$M$66+2,(Allgemein!$M$62-Allgemein!$M$70)-AD159,AD164)</f>
        <v>0</v>
      </c>
      <c r="AF155" s="36">
        <f>IF(AF151=Allgemein!$M$66+2,(Allgemein!$M$62-Allgemein!$M$70)-AE159,AE164)</f>
        <v>0</v>
      </c>
      <c r="AG155" s="36">
        <f>IF(AG151=Allgemein!$M$66+2,(Allgemein!$M$62-Allgemein!$M$70)-AF159,AF164)</f>
        <v>0</v>
      </c>
      <c r="AH155" s="36">
        <f>IF(AH151=Allgemein!$M$66+2,(Allgemein!$M$62-Allgemein!$M$70)-AG159,AG164)</f>
        <v>0</v>
      </c>
      <c r="BH155" s="2" t="s">
        <v>579</v>
      </c>
      <c r="BI155" s="2">
        <v>2300</v>
      </c>
      <c r="BJ155" s="2">
        <v>600</v>
      </c>
      <c r="BN155" s="2">
        <v>1681</v>
      </c>
      <c r="CC155" s="2">
        <v>37</v>
      </c>
      <c r="CD155" s="2">
        <v>1.2521</v>
      </c>
    </row>
    <row r="156" spans="2:139">
      <c r="B156" s="31" t="s">
        <v>549</v>
      </c>
      <c r="C156" s="32"/>
      <c r="D156" s="36">
        <f>D155*D153</f>
        <v>0</v>
      </c>
      <c r="E156" s="36">
        <f t="shared" ref="E156:M156" si="265">IF(E155=0,0,E153*E155)</f>
        <v>0</v>
      </c>
      <c r="F156" s="36">
        <f t="shared" si="265"/>
        <v>0</v>
      </c>
      <c r="G156" s="36">
        <f t="shared" si="265"/>
        <v>0</v>
      </c>
      <c r="H156" s="36">
        <f t="shared" si="265"/>
        <v>0</v>
      </c>
      <c r="I156" s="36">
        <f t="shared" si="265"/>
        <v>0</v>
      </c>
      <c r="J156" s="36">
        <f t="shared" si="265"/>
        <v>0</v>
      </c>
      <c r="K156" s="36">
        <f t="shared" si="265"/>
        <v>0</v>
      </c>
      <c r="L156" s="36">
        <f t="shared" si="265"/>
        <v>0</v>
      </c>
      <c r="M156" s="36">
        <f t="shared" si="265"/>
        <v>0</v>
      </c>
      <c r="N156" s="36">
        <f t="shared" ref="N156:AH156" si="266">IF(N155=0,0,N153*N155)</f>
        <v>0</v>
      </c>
      <c r="O156" s="36">
        <f t="shared" si="266"/>
        <v>0</v>
      </c>
      <c r="P156" s="36">
        <f t="shared" si="266"/>
        <v>0</v>
      </c>
      <c r="Q156" s="36">
        <f t="shared" si="266"/>
        <v>0</v>
      </c>
      <c r="R156" s="36">
        <f t="shared" si="266"/>
        <v>0</v>
      </c>
      <c r="S156" s="36">
        <f t="shared" si="266"/>
        <v>0</v>
      </c>
      <c r="T156" s="36">
        <f t="shared" si="266"/>
        <v>0</v>
      </c>
      <c r="U156" s="36">
        <f t="shared" si="266"/>
        <v>0</v>
      </c>
      <c r="V156" s="36">
        <f t="shared" si="266"/>
        <v>0</v>
      </c>
      <c r="W156" s="36">
        <f t="shared" si="266"/>
        <v>0</v>
      </c>
      <c r="X156" s="36">
        <f t="shared" si="266"/>
        <v>0</v>
      </c>
      <c r="Y156" s="36">
        <f t="shared" si="266"/>
        <v>0</v>
      </c>
      <c r="Z156" s="36">
        <f t="shared" si="266"/>
        <v>0</v>
      </c>
      <c r="AA156" s="36">
        <f t="shared" si="266"/>
        <v>0</v>
      </c>
      <c r="AB156" s="36">
        <f t="shared" si="266"/>
        <v>0</v>
      </c>
      <c r="AC156" s="36">
        <f t="shared" si="266"/>
        <v>0</v>
      </c>
      <c r="AD156" s="36">
        <f t="shared" si="266"/>
        <v>0</v>
      </c>
      <c r="AE156" s="36">
        <f t="shared" si="266"/>
        <v>0</v>
      </c>
      <c r="AF156" s="36">
        <f t="shared" si="266"/>
        <v>0</v>
      </c>
      <c r="AG156" s="36">
        <f t="shared" si="266"/>
        <v>0</v>
      </c>
      <c r="AH156" s="36">
        <f t="shared" si="266"/>
        <v>0</v>
      </c>
      <c r="BH156" s="2" t="s">
        <v>579</v>
      </c>
      <c r="BI156" s="2">
        <v>2600</v>
      </c>
      <c r="BJ156" s="2">
        <v>600</v>
      </c>
      <c r="BN156" s="2">
        <v>1901</v>
      </c>
      <c r="CC156" s="2">
        <v>38</v>
      </c>
      <c r="CD156" s="2">
        <v>1.2689999999999999</v>
      </c>
    </row>
    <row r="157" spans="2:139">
      <c r="B157" s="34"/>
      <c r="C157" s="35"/>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BH157" s="2" t="s">
        <v>579</v>
      </c>
      <c r="BI157" s="2">
        <v>3000</v>
      </c>
      <c r="BJ157" s="2">
        <v>600</v>
      </c>
      <c r="BN157" s="2">
        <v>2193</v>
      </c>
      <c r="CC157" s="2">
        <v>39</v>
      </c>
      <c r="CD157" s="2">
        <v>1.2867</v>
      </c>
    </row>
    <row r="158" spans="2:139">
      <c r="B158" s="31" t="s">
        <v>550</v>
      </c>
      <c r="C158" s="32"/>
      <c r="D158" s="36"/>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BH158" s="2" t="s">
        <v>579</v>
      </c>
      <c r="BI158" s="2">
        <v>400</v>
      </c>
      <c r="BJ158" s="2">
        <v>900</v>
      </c>
      <c r="BN158" s="2">
        <v>404</v>
      </c>
      <c r="CC158" s="2">
        <v>40</v>
      </c>
      <c r="CD158" s="2">
        <v>1.3053999999999999</v>
      </c>
    </row>
    <row r="159" spans="2:139">
      <c r="B159" s="31" t="s">
        <v>551</v>
      </c>
      <c r="C159" s="32"/>
      <c r="D159" s="36">
        <f>D160*D155</f>
        <v>0</v>
      </c>
      <c r="E159" s="36">
        <f>IF(D159=0,E160*E155,E162-E156)</f>
        <v>0</v>
      </c>
      <c r="F159" s="36">
        <f>IF(E159=0,F160*F155,F162-F156)</f>
        <v>0</v>
      </c>
      <c r="G159" s="36">
        <f>IF(F159=0,G160*G155,G162-G156)</f>
        <v>0</v>
      </c>
      <c r="H159" s="36">
        <f>IF(G159=0,H160*H155,H162-H156)</f>
        <v>0</v>
      </c>
      <c r="I159" s="36">
        <f t="shared" ref="I159" si="267">IF(H159=0,I160*I155,I162-I156)</f>
        <v>0</v>
      </c>
      <c r="J159" s="36">
        <f>IF(I159=0,J160*J155,J162-J156)</f>
        <v>0</v>
      </c>
      <c r="K159" s="36">
        <f t="shared" ref="K159" si="268">IF(J159=0,K160*K155,K162-K156)</f>
        <v>0</v>
      </c>
      <c r="L159" s="36">
        <f t="shared" ref="L159" si="269">IF(K159=0,L160*L155,L162-L156)</f>
        <v>0</v>
      </c>
      <c r="M159" s="36">
        <f t="shared" ref="M159" si="270">IF(L159=0,M160*M155,M162-M156)</f>
        <v>0</v>
      </c>
      <c r="N159" s="36">
        <f t="shared" ref="N159" si="271">IF(M159=0,N160*N155,N162-N156)</f>
        <v>0</v>
      </c>
      <c r="O159" s="36">
        <f t="shared" ref="O159" si="272">IF(N159=0,O160*O155,O162-O156)</f>
        <v>0</v>
      </c>
      <c r="P159" s="36">
        <f t="shared" ref="P159" si="273">IF(O159=0,P160*P155,P162-P156)</f>
        <v>0</v>
      </c>
      <c r="Q159" s="36">
        <f t="shared" ref="Q159" si="274">IF(P159=0,Q160*Q155,Q162-Q156)</f>
        <v>0</v>
      </c>
      <c r="R159" s="36">
        <f t="shared" ref="R159" si="275">IF(Q159=0,R160*R155,R162-R156)</f>
        <v>0</v>
      </c>
      <c r="S159" s="36">
        <f t="shared" ref="S159" si="276">IF(R159=0,S160*S155,S162-S156)</f>
        <v>0</v>
      </c>
      <c r="T159" s="36">
        <f t="shared" ref="T159" si="277">IF(S159=0,T160*T155,T162-T156)</f>
        <v>0</v>
      </c>
      <c r="U159" s="36">
        <f t="shared" ref="U159" si="278">IF(T159=0,U160*U155,U162-U156)</f>
        <v>0</v>
      </c>
      <c r="V159" s="36">
        <f t="shared" ref="V159" si="279">IF(U159=0,V160*V155,V162-V156)</f>
        <v>0</v>
      </c>
      <c r="W159" s="36">
        <f t="shared" ref="W159" si="280">IF(V159=0,W160*W155,W162-W156)</f>
        <v>0</v>
      </c>
      <c r="X159" s="36">
        <f t="shared" ref="X159" si="281">IF(W159=0,X160*X155,X162-X156)</f>
        <v>0</v>
      </c>
      <c r="Y159" s="36">
        <f t="shared" ref="Y159" si="282">IF(X159=0,Y160*Y155,Y162-Y156)</f>
        <v>0</v>
      </c>
      <c r="Z159" s="36">
        <f t="shared" ref="Z159" si="283">IF(Y159=0,Z160*Z155,Z162-Z156)</f>
        <v>0</v>
      </c>
      <c r="AA159" s="36">
        <f t="shared" ref="AA159" si="284">IF(Z159=0,AA160*AA155,AA162-AA156)</f>
        <v>0</v>
      </c>
      <c r="AB159" s="36">
        <f t="shared" ref="AB159" si="285">IF(AA159=0,AB160*AB155,AB162-AB156)</f>
        <v>0</v>
      </c>
      <c r="AC159" s="36">
        <f t="shared" ref="AC159" si="286">IF(AB159=0,AC160*AC155,AC162-AC156)</f>
        <v>0</v>
      </c>
      <c r="AD159" s="36">
        <f t="shared" ref="AD159" si="287">IF(AC159=0,AD160*AD155,AD162-AD156)</f>
        <v>0</v>
      </c>
      <c r="AE159" s="36">
        <f t="shared" ref="AE159" si="288">IF(AD159=0,AE160*AE155,AE162-AE156)</f>
        <v>0</v>
      </c>
      <c r="AF159" s="36">
        <f t="shared" ref="AF159" si="289">IF(AE159=0,AF160*AF155,AF162-AF156)</f>
        <v>0</v>
      </c>
      <c r="AG159" s="36">
        <f t="shared" ref="AG159" si="290">IF(AF159=0,AG160*AG155,AG162-AG156)</f>
        <v>0</v>
      </c>
      <c r="AH159" s="36">
        <f t="shared" ref="AH159" si="291">IF(AG159=0,AH160*AH155,AH162-AH156)</f>
        <v>0</v>
      </c>
      <c r="BH159" s="2" t="s">
        <v>579</v>
      </c>
      <c r="BI159" s="2">
        <v>500</v>
      </c>
      <c r="BJ159" s="2">
        <v>900</v>
      </c>
      <c r="BN159" s="2">
        <v>506</v>
      </c>
      <c r="CC159" s="2">
        <v>41</v>
      </c>
      <c r="CD159" s="2">
        <v>1.325</v>
      </c>
    </row>
    <row r="160" spans="2:139">
      <c r="B160" s="38" t="s">
        <v>554</v>
      </c>
      <c r="C160" s="39"/>
      <c r="D160" s="33">
        <f>IF(Allgemein!$M$66&gt;=D151,0,Allgemein!$M$67)</f>
        <v>0</v>
      </c>
      <c r="E160" s="33">
        <f>IF(Allgemein!$M$66&gt;=E151,0,IF(D159=0,Allgemein!$M$67,IF(E155=0,0,E159/E155)))</f>
        <v>0</v>
      </c>
      <c r="F160" s="33">
        <f>IF(Allgemein!$M$66&gt;=F151,0,IF(E159=0,Allgemein!$M$67,IF(F155=0,0,F159/F155)))</f>
        <v>0</v>
      </c>
      <c r="G160" s="33">
        <f>IF(Allgemein!$M$66&gt;=G151,0,IF(F159=0,Allgemein!$M$67,IF(G155=0,0,G159/G155)))</f>
        <v>0</v>
      </c>
      <c r="H160" s="33">
        <f>IF(Allgemein!$M$66&gt;=H151,0,IF(G159=0,Allgemein!$M$67,IF(H155=0,0,H159/H155)))</f>
        <v>0</v>
      </c>
      <c r="I160" s="33">
        <f>IF(Allgemein!$M$66&gt;=I151,0,IF(H159=0,Allgemein!$M$67,IF(I155=0,0,I159/I155)))</f>
        <v>0</v>
      </c>
      <c r="J160" s="33">
        <f>IF(Allgemein!$M$66&gt;=J151,0,IF(I159=0,Allgemein!$M$67,IF(J155=0,0,J159/J155)))</f>
        <v>0</v>
      </c>
      <c r="K160" s="33">
        <f>IF(Allgemein!$M$66&gt;=K151,0,IF(J159=0,Allgemein!$M$67,IF(K155=0,0,K159/K155)))</f>
        <v>0</v>
      </c>
      <c r="L160" s="33">
        <f>IF(Allgemein!$M$66&gt;=L151,0,IF(K159=0,Allgemein!$M$67,IF(L155=0,0,L159/L155)))</f>
        <v>0</v>
      </c>
      <c r="M160" s="33">
        <f>IF(Allgemein!$M$66&gt;=M151,0,IF(L159=0,Allgemein!$M$67,IF(M155=0,0,M159/M155)))</f>
        <v>0</v>
      </c>
      <c r="N160" s="33">
        <f>IF(Allgemein!$M$66&gt;=N151,0,IF(M159=0,Allgemein!$M$67,IF(N155=0,0,N159/N155)))</f>
        <v>0</v>
      </c>
      <c r="O160" s="33">
        <f>IF(Allgemein!$M$66&gt;=O151,0,IF(N159=0,Allgemein!$M$67,IF(O155=0,0,O159/O155)))</f>
        <v>0</v>
      </c>
      <c r="P160" s="33">
        <f>IF(Allgemein!$M$66&gt;=P151,0,IF(O159=0,Allgemein!$M$67,IF(P155=0,0,P159/P155)))</f>
        <v>0</v>
      </c>
      <c r="Q160" s="33">
        <f>IF(Allgemein!$M$66&gt;=Q151,0,IF(P159=0,Allgemein!$M$67,IF(Q155=0,0,Q159/Q155)))</f>
        <v>0</v>
      </c>
      <c r="R160" s="33">
        <f>IF(Allgemein!$M$66&gt;=R151,0,IF(Q159=0,Allgemein!$M$67,IF(R155=0,0,R159/R155)))</f>
        <v>0</v>
      </c>
      <c r="S160" s="33">
        <f>IF(Allgemein!$M$66&gt;=S151,0,IF(R159=0,Allgemein!$M$67,IF(S155=0,0,S159/S155)))</f>
        <v>0</v>
      </c>
      <c r="T160" s="33">
        <f>IF(Allgemein!$M$66&gt;=T151,0,IF(S159=0,Allgemein!$M$67,IF(T155=0,0,T159/T155)))</f>
        <v>0</v>
      </c>
      <c r="U160" s="33">
        <f>IF(Allgemein!$M$66&gt;=U151,0,IF(T159=0,Allgemein!$M$67,IF(U155=0,0,U159/U155)))</f>
        <v>0</v>
      </c>
      <c r="V160" s="33">
        <f>IF(Allgemein!$M$66&gt;=V151,0,IF(U159=0,Allgemein!$M$67,IF(V155=0,0,V159/V155)))</f>
        <v>0</v>
      </c>
      <c r="W160" s="33">
        <f>IF(Allgemein!$M$66&gt;=W151,0,IF(V159=0,Allgemein!$M$67,IF(W155=0,0,W159/W155)))</f>
        <v>0</v>
      </c>
      <c r="X160" s="33">
        <f>IF(Allgemein!$M$66&gt;=X151,0,IF(W159=0,Allgemein!$M$67,IF(X155=0,0,X159/X155)))</f>
        <v>0</v>
      </c>
      <c r="Y160" s="33">
        <f>IF(Allgemein!$M$66&gt;=Y151,0,IF(X159=0,Allgemein!$M$67,IF(Y155=0,0,Y159/Y155)))</f>
        <v>0</v>
      </c>
      <c r="Z160" s="33">
        <f>IF(Allgemein!$M$66&gt;=Z151,0,IF(Y159=0,Allgemein!$M$67,IF(Z155=0,0,Z159/Z155)))</f>
        <v>0</v>
      </c>
      <c r="AA160" s="33">
        <f>IF(Allgemein!$M$66&gt;=AA151,0,IF(Z159=0,Allgemein!$M$67,IF(AA155=0,0,AA159/AA155)))</f>
        <v>0</v>
      </c>
      <c r="AB160" s="33">
        <f>IF(Allgemein!$M$66&gt;=AB151,0,IF(AA159=0,Allgemein!$M$67,IF(AB155=0,0,AB159/AB155)))</f>
        <v>0</v>
      </c>
      <c r="AC160" s="33">
        <f>IF(Allgemein!$M$66&gt;=AC151,0,IF(AB159=0,Allgemein!$M$67,IF(AC155=0,0,AC159/AC155)))</f>
        <v>0</v>
      </c>
      <c r="AD160" s="33">
        <f>IF(Allgemein!$M$66&gt;=AD151,0,IF(AC159=0,Allgemein!$M$67,IF(AD155=0,0,AD159/AD155)))</f>
        <v>0</v>
      </c>
      <c r="AE160" s="33">
        <f>IF(Allgemein!$M$66&gt;=AE151,0,IF(AD159=0,Allgemein!$M$67,IF(AE155=0,0,AE159/AE155)))</f>
        <v>0</v>
      </c>
      <c r="AF160" s="33">
        <f>IF(Allgemein!$M$66&gt;=AF151,0,IF(AE159=0,Allgemein!$M$67,IF(AF155=0,0,AF159/AF155)))</f>
        <v>0</v>
      </c>
      <c r="AG160" s="33">
        <f>IF(Allgemein!$M$66&gt;=AG151,0,IF(AF159=0,Allgemein!$M$67,IF(AG155=0,0,AG159/AG155)))</f>
        <v>0</v>
      </c>
      <c r="AH160" s="33">
        <f>IF(Allgemein!$M$66&gt;=AH151,0,IF(AG159=0,Allgemein!$M$67,IF(AH155=0,0,AH159/AH155)))</f>
        <v>0</v>
      </c>
      <c r="BH160" s="2" t="s">
        <v>579</v>
      </c>
      <c r="BI160" s="2">
        <v>600</v>
      </c>
      <c r="BJ160" s="2">
        <v>900</v>
      </c>
      <c r="BN160" s="2">
        <v>607</v>
      </c>
      <c r="CC160" s="2">
        <v>42</v>
      </c>
      <c r="CD160" s="2">
        <v>1.3455999999999999</v>
      </c>
    </row>
    <row r="161" spans="2:82">
      <c r="B161" s="34"/>
      <c r="C161" s="35"/>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BH161" s="2" t="s">
        <v>579</v>
      </c>
      <c r="BI161" s="2">
        <v>700</v>
      </c>
      <c r="BJ161" s="2">
        <v>900</v>
      </c>
      <c r="BN161" s="2">
        <v>708</v>
      </c>
      <c r="CC161" s="2">
        <v>43</v>
      </c>
      <c r="CD161" s="2">
        <v>1.3673</v>
      </c>
    </row>
    <row r="162" spans="2:82">
      <c r="B162" s="31" t="s">
        <v>555</v>
      </c>
      <c r="C162" s="32"/>
      <c r="D162" s="36">
        <f>D159+D156</f>
        <v>0</v>
      </c>
      <c r="E162" s="36">
        <f>IF(D159=0,E156+E159,IF(E155=0,0,IF(E155&lt;D162,E155+E156,IF(E158=0,D162,E158+E156))))</f>
        <v>0</v>
      </c>
      <c r="F162" s="36">
        <f>IF(E159=0,F156+F159,IF(F155=0,0,IF(F155&lt;E162,F155+F156,IF(F158=0,E162,F158+F156))))</f>
        <v>0</v>
      </c>
      <c r="G162" s="36">
        <f>IF(F159=0,G156+G159,IF(G155=0,0,IF(G155&lt;F162,G155+G156,IF(G158=0,F162,G158+G156))))</f>
        <v>0</v>
      </c>
      <c r="H162" s="36">
        <f>IF(G159=0,H156+H159,IF(H155=0,0,IF(H155&lt;G162,H155+H156,IF(H158=0,G162,H158+H156))))</f>
        <v>0</v>
      </c>
      <c r="I162" s="36">
        <f t="shared" ref="I162" si="292">IF(H159=0,I156+I159,IF(I155=0,0,IF(I155&lt;H162,I155+I156,IF(I158=0,H162,I158+I156))))</f>
        <v>0</v>
      </c>
      <c r="J162" s="36">
        <f>IF(I159=0,J156+J159,IF(J155=0,0,IF(J155&lt;I162,J155+J156,IF(J158=0,I162,J158+J156))))</f>
        <v>0</v>
      </c>
      <c r="K162" s="36">
        <f t="shared" ref="K162" si="293">IF(J159=0,K156+K159,IF(K155=0,0,IF(K155&lt;J162,K155+K156,IF(K158=0,J162,K158+K156))))</f>
        <v>0</v>
      </c>
      <c r="L162" s="36">
        <f t="shared" ref="L162" si="294">IF(K159=0,L156+L159,IF(L155=0,0,IF(L155&lt;K162,L155+L156,IF(L158=0,K162,L158+L156))))</f>
        <v>0</v>
      </c>
      <c r="M162" s="36">
        <f t="shared" ref="M162" si="295">IF(L159=0,M156+M159,IF(M155=0,0,IF(M155&lt;L162,M155+M156,IF(M158=0,L162,M158+M156))))</f>
        <v>0</v>
      </c>
      <c r="N162" s="36">
        <f t="shared" ref="N162" si="296">IF(M159=0,N156+N159,IF(N155=0,0,IF(N155&lt;M162,N155+N156,IF(N158=0,M162,N158+N156))))</f>
        <v>0</v>
      </c>
      <c r="O162" s="36">
        <f t="shared" ref="O162" si="297">IF(N159=0,O156+O159,IF(O155=0,0,IF(O155&lt;N162,O155+O156,IF(O158=0,N162,O158+O156))))</f>
        <v>0</v>
      </c>
      <c r="P162" s="36">
        <f t="shared" ref="P162" si="298">IF(O159=0,P156+P159,IF(P155=0,0,IF(P155&lt;O162,P155+P156,IF(P158=0,O162,P158+P156))))</f>
        <v>0</v>
      </c>
      <c r="Q162" s="36">
        <f t="shared" ref="Q162" si="299">IF(P159=0,Q156+Q159,IF(Q155=0,0,IF(Q155&lt;P162,Q155+Q156,IF(Q158=0,P162,Q158+Q156))))</f>
        <v>0</v>
      </c>
      <c r="R162" s="36">
        <f t="shared" ref="R162" si="300">IF(Q159=0,R156+R159,IF(R155=0,0,IF(R155&lt;Q162,R155+R156,IF(R158=0,Q162,R158+R156))))</f>
        <v>0</v>
      </c>
      <c r="S162" s="36">
        <f t="shared" ref="S162" si="301">IF(R159=0,S156+S159,IF(S155=0,0,IF(S155&lt;R162,S155+S156,IF(S158=0,R162,S158+S156))))</f>
        <v>0</v>
      </c>
      <c r="T162" s="36">
        <f t="shared" ref="T162" si="302">IF(S159=0,T156+T159,IF(T155=0,0,IF(T155&lt;S162,T155+T156,IF(T158=0,S162,T158+T156))))</f>
        <v>0</v>
      </c>
      <c r="U162" s="36">
        <f t="shared" ref="U162" si="303">IF(T159=0,U156+U159,IF(U155=0,0,IF(U155&lt;T162,U155+U156,IF(U158=0,T162,U158+U156))))</f>
        <v>0</v>
      </c>
      <c r="V162" s="36">
        <f t="shared" ref="V162" si="304">IF(U159=0,V156+V159,IF(V155=0,0,IF(V155&lt;U162,V155+V156,IF(V158=0,U162,V158+V156))))</f>
        <v>0</v>
      </c>
      <c r="W162" s="36">
        <f t="shared" ref="W162" si="305">IF(V159=0,W156+W159,IF(W155=0,0,IF(W155&lt;V162,W155+W156,IF(W158=0,V162,W158+W156))))</f>
        <v>0</v>
      </c>
      <c r="X162" s="36">
        <f t="shared" ref="X162" si="306">IF(W159=0,X156+X159,IF(X155=0,0,IF(X155&lt;W162,X155+X156,IF(X158=0,W162,X158+X156))))</f>
        <v>0</v>
      </c>
      <c r="Y162" s="36">
        <f t="shared" ref="Y162" si="307">IF(X159=0,Y156+Y159,IF(Y155=0,0,IF(Y155&lt;X162,Y155+Y156,IF(Y158=0,X162,Y158+Y156))))</f>
        <v>0</v>
      </c>
      <c r="Z162" s="36">
        <f t="shared" ref="Z162" si="308">IF(Y159=0,Z156+Z159,IF(Z155=0,0,IF(Z155&lt;Y162,Z155+Z156,IF(Z158=0,Y162,Z158+Z156))))</f>
        <v>0</v>
      </c>
      <c r="AA162" s="36">
        <f t="shared" ref="AA162" si="309">IF(Z159=0,AA156+AA159,IF(AA155=0,0,IF(AA155&lt;Z162,AA155+AA156,IF(AA158=0,Z162,AA158+AA156))))</f>
        <v>0</v>
      </c>
      <c r="AB162" s="36">
        <f t="shared" ref="AB162" si="310">IF(AA159=0,AB156+AB159,IF(AB155=0,0,IF(AB155&lt;AA162,AB155+AB156,IF(AB158=0,AA162,AB158+AB156))))</f>
        <v>0</v>
      </c>
      <c r="AC162" s="36">
        <f t="shared" ref="AC162" si="311">IF(AB159=0,AC156+AC159,IF(AC155=0,0,IF(AC155&lt;AB162,AC155+AC156,IF(AC158=0,AB162,AC158+AC156))))</f>
        <v>0</v>
      </c>
      <c r="AD162" s="36">
        <f t="shared" ref="AD162" si="312">IF(AC159=0,AD156+AD159,IF(AD155=0,0,IF(AD155&lt;AC162,AD155+AD156,IF(AD158=0,AC162,AD158+AD156))))</f>
        <v>0</v>
      </c>
      <c r="AE162" s="36">
        <f t="shared" ref="AE162" si="313">IF(AD159=0,AE156+AE159,IF(AE155=0,0,IF(AE155&lt;AD162,AE155+AE156,IF(AE158=0,AD162,AE158+AE156))))</f>
        <v>0</v>
      </c>
      <c r="AF162" s="36">
        <f t="shared" ref="AF162" si="314">IF(AE159=0,AF156+AF159,IF(AF155=0,0,IF(AF155&lt;AE162,AF155+AF156,IF(AF158=0,AE162,AF158+AF156))))</f>
        <v>0</v>
      </c>
      <c r="AG162" s="36">
        <f t="shared" ref="AG162" si="315">IF(AF159=0,AG156+AG159,IF(AG155=0,0,IF(AG155&lt;AF162,AG155+AG156,IF(AG158=0,AF162,AG158+AG156))))</f>
        <v>0</v>
      </c>
      <c r="AH162" s="36">
        <f t="shared" ref="AH162" si="316">IF(AG159=0,AH156+AH159,IF(AH155=0,0,IF(AH155&lt;AG162,AH155+AH156,IF(AH158=0,AG162,AH158+AH156))))</f>
        <v>0</v>
      </c>
      <c r="BH162" s="2" t="s">
        <v>579</v>
      </c>
      <c r="BI162" s="2">
        <v>800</v>
      </c>
      <c r="BJ162" s="2">
        <v>900</v>
      </c>
      <c r="BN162" s="2">
        <v>809</v>
      </c>
      <c r="CC162" s="2">
        <v>44</v>
      </c>
      <c r="CD162" s="2">
        <v>1.3900999999999999</v>
      </c>
    </row>
    <row r="163" spans="2:82">
      <c r="B163" s="31" t="s">
        <v>556</v>
      </c>
      <c r="C163" s="32"/>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BH163" s="2" t="s">
        <v>579</v>
      </c>
      <c r="BI163" s="2">
        <v>900</v>
      </c>
      <c r="BJ163" s="2">
        <v>900</v>
      </c>
      <c r="BN163" s="2">
        <v>910</v>
      </c>
      <c r="CC163" s="2">
        <v>45</v>
      </c>
      <c r="CD163" s="2">
        <v>1.4141999999999999</v>
      </c>
    </row>
    <row r="164" spans="2:82">
      <c r="B164" s="31" t="s">
        <v>557</v>
      </c>
      <c r="C164" s="32"/>
      <c r="D164" s="36">
        <f>D155-D159</f>
        <v>0</v>
      </c>
      <c r="E164" s="36">
        <f t="shared" ref="E164:AH164" si="317">E155-E159</f>
        <v>0</v>
      </c>
      <c r="F164" s="36">
        <f t="shared" si="317"/>
        <v>0</v>
      </c>
      <c r="G164" s="36">
        <f t="shared" si="317"/>
        <v>0</v>
      </c>
      <c r="H164" s="36">
        <f t="shared" si="317"/>
        <v>0</v>
      </c>
      <c r="I164" s="36">
        <f t="shared" si="317"/>
        <v>0</v>
      </c>
      <c r="J164" s="36">
        <f t="shared" si="317"/>
        <v>0</v>
      </c>
      <c r="K164" s="36">
        <f t="shared" si="317"/>
        <v>0</v>
      </c>
      <c r="L164" s="36">
        <f t="shared" si="317"/>
        <v>0</v>
      </c>
      <c r="M164" s="36">
        <f t="shared" si="317"/>
        <v>0</v>
      </c>
      <c r="N164" s="36">
        <f t="shared" si="317"/>
        <v>0</v>
      </c>
      <c r="O164" s="36">
        <f t="shared" si="317"/>
        <v>0</v>
      </c>
      <c r="P164" s="36">
        <f t="shared" si="317"/>
        <v>0</v>
      </c>
      <c r="Q164" s="36">
        <f t="shared" si="317"/>
        <v>0</v>
      </c>
      <c r="R164" s="36">
        <f t="shared" si="317"/>
        <v>0</v>
      </c>
      <c r="S164" s="36">
        <f t="shared" si="317"/>
        <v>0</v>
      </c>
      <c r="T164" s="36">
        <f t="shared" si="317"/>
        <v>0</v>
      </c>
      <c r="U164" s="36">
        <f t="shared" si="317"/>
        <v>0</v>
      </c>
      <c r="V164" s="36">
        <f t="shared" si="317"/>
        <v>0</v>
      </c>
      <c r="W164" s="36">
        <f t="shared" si="317"/>
        <v>0</v>
      </c>
      <c r="X164" s="36">
        <f t="shared" si="317"/>
        <v>0</v>
      </c>
      <c r="Y164" s="36">
        <f t="shared" si="317"/>
        <v>0</v>
      </c>
      <c r="Z164" s="36">
        <f t="shared" si="317"/>
        <v>0</v>
      </c>
      <c r="AA164" s="36">
        <f t="shared" si="317"/>
        <v>0</v>
      </c>
      <c r="AB164" s="36">
        <f t="shared" si="317"/>
        <v>0</v>
      </c>
      <c r="AC164" s="36">
        <f t="shared" si="317"/>
        <v>0</v>
      </c>
      <c r="AD164" s="36">
        <f t="shared" si="317"/>
        <v>0</v>
      </c>
      <c r="AE164" s="36">
        <f t="shared" si="317"/>
        <v>0</v>
      </c>
      <c r="AF164" s="36">
        <f t="shared" si="317"/>
        <v>0</v>
      </c>
      <c r="AG164" s="36">
        <f t="shared" si="317"/>
        <v>0</v>
      </c>
      <c r="AH164" s="36">
        <f t="shared" si="317"/>
        <v>0</v>
      </c>
      <c r="BH164" s="2" t="s">
        <v>579</v>
      </c>
      <c r="BI164" s="2">
        <v>1000</v>
      </c>
      <c r="BJ164" s="2">
        <v>900</v>
      </c>
      <c r="BN164" s="2">
        <v>1011</v>
      </c>
      <c r="CC164" s="2">
        <v>46</v>
      </c>
      <c r="CD164" s="2">
        <v>1.4395</v>
      </c>
    </row>
    <row r="165" spans="2:82" ht="17.399999999999999" thickBot="1">
      <c r="B165" s="40" t="s">
        <v>558</v>
      </c>
      <c r="C165" s="41"/>
      <c r="D165" s="42">
        <f>D162/12</f>
        <v>0</v>
      </c>
      <c r="E165" s="42">
        <f t="shared" ref="E165:AH165" si="318">E162/12</f>
        <v>0</v>
      </c>
      <c r="F165" s="42">
        <f t="shared" si="318"/>
        <v>0</v>
      </c>
      <c r="G165" s="42">
        <f t="shared" si="318"/>
        <v>0</v>
      </c>
      <c r="H165" s="42">
        <f t="shared" si="318"/>
        <v>0</v>
      </c>
      <c r="I165" s="42">
        <f t="shared" si="318"/>
        <v>0</v>
      </c>
      <c r="J165" s="42">
        <f t="shared" si="318"/>
        <v>0</v>
      </c>
      <c r="K165" s="42">
        <f t="shared" si="318"/>
        <v>0</v>
      </c>
      <c r="L165" s="42">
        <f t="shared" si="318"/>
        <v>0</v>
      </c>
      <c r="M165" s="42">
        <f t="shared" si="318"/>
        <v>0</v>
      </c>
      <c r="N165" s="42">
        <f t="shared" si="318"/>
        <v>0</v>
      </c>
      <c r="O165" s="42">
        <f t="shared" si="318"/>
        <v>0</v>
      </c>
      <c r="P165" s="42">
        <f t="shared" si="318"/>
        <v>0</v>
      </c>
      <c r="Q165" s="42">
        <f t="shared" si="318"/>
        <v>0</v>
      </c>
      <c r="R165" s="42">
        <f t="shared" si="318"/>
        <v>0</v>
      </c>
      <c r="S165" s="42">
        <f t="shared" si="318"/>
        <v>0</v>
      </c>
      <c r="T165" s="42">
        <f t="shared" si="318"/>
        <v>0</v>
      </c>
      <c r="U165" s="42">
        <f t="shared" si="318"/>
        <v>0</v>
      </c>
      <c r="V165" s="42">
        <f t="shared" si="318"/>
        <v>0</v>
      </c>
      <c r="W165" s="42">
        <f t="shared" si="318"/>
        <v>0</v>
      </c>
      <c r="X165" s="42">
        <f t="shared" si="318"/>
        <v>0</v>
      </c>
      <c r="Y165" s="42">
        <f t="shared" si="318"/>
        <v>0</v>
      </c>
      <c r="Z165" s="42">
        <f t="shared" si="318"/>
        <v>0</v>
      </c>
      <c r="AA165" s="42">
        <f t="shared" si="318"/>
        <v>0</v>
      </c>
      <c r="AB165" s="42">
        <f t="shared" si="318"/>
        <v>0</v>
      </c>
      <c r="AC165" s="42">
        <f t="shared" si="318"/>
        <v>0</v>
      </c>
      <c r="AD165" s="42">
        <f t="shared" si="318"/>
        <v>0</v>
      </c>
      <c r="AE165" s="42">
        <f t="shared" si="318"/>
        <v>0</v>
      </c>
      <c r="AF165" s="42">
        <f t="shared" si="318"/>
        <v>0</v>
      </c>
      <c r="AG165" s="42">
        <f t="shared" si="318"/>
        <v>0</v>
      </c>
      <c r="AH165" s="42">
        <f t="shared" si="318"/>
        <v>0</v>
      </c>
      <c r="BH165" s="2" t="s">
        <v>579</v>
      </c>
      <c r="BI165" s="2">
        <v>1100</v>
      </c>
      <c r="BJ165" s="2">
        <v>900</v>
      </c>
      <c r="BN165" s="2">
        <v>1112</v>
      </c>
      <c r="CC165" s="2">
        <v>47</v>
      </c>
      <c r="CD165" s="2">
        <v>1.4661999999999999</v>
      </c>
    </row>
    <row r="166" spans="2:82" ht="17.399999999999999" thickBot="1">
      <c r="B166" s="30"/>
      <c r="C166" s="30"/>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BH166" s="2" t="s">
        <v>579</v>
      </c>
      <c r="BI166" s="2">
        <v>1200</v>
      </c>
      <c r="BJ166" s="2">
        <v>900</v>
      </c>
      <c r="BN166" s="2">
        <v>1213</v>
      </c>
      <c r="CC166" s="2">
        <v>48</v>
      </c>
      <c r="CD166" s="2">
        <v>1.4946999999999999</v>
      </c>
    </row>
    <row r="167" spans="2:82" ht="19.2" thickBot="1">
      <c r="B167" s="61" t="str">
        <f>Allgemein!N59</f>
        <v>Zusatz Darlehen</v>
      </c>
      <c r="C167" s="29"/>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BH167" s="2" t="s">
        <v>579</v>
      </c>
      <c r="BI167" s="2">
        <v>1400</v>
      </c>
      <c r="BJ167" s="2">
        <v>900</v>
      </c>
      <c r="BN167" s="2">
        <v>1415</v>
      </c>
      <c r="CC167" s="2">
        <v>49</v>
      </c>
      <c r="CD167" s="2">
        <v>1.5242</v>
      </c>
    </row>
    <row r="168" spans="2:82" ht="17.399999999999999" thickBot="1">
      <c r="B168" s="56" t="s">
        <v>339</v>
      </c>
      <c r="C168" s="57"/>
      <c r="D168" s="58">
        <v>1</v>
      </c>
      <c r="E168" s="59">
        <v>2</v>
      </c>
      <c r="F168" s="59">
        <v>3</v>
      </c>
      <c r="G168" s="58">
        <v>4</v>
      </c>
      <c r="H168" s="58">
        <v>5</v>
      </c>
      <c r="I168" s="59">
        <v>6</v>
      </c>
      <c r="J168" s="59">
        <v>7</v>
      </c>
      <c r="K168" s="58">
        <v>8</v>
      </c>
      <c r="L168" s="58">
        <v>9</v>
      </c>
      <c r="M168" s="59">
        <v>10</v>
      </c>
      <c r="N168" s="59">
        <v>11</v>
      </c>
      <c r="O168" s="58">
        <v>12</v>
      </c>
      <c r="P168" s="58">
        <v>13</v>
      </c>
      <c r="Q168" s="59">
        <v>14</v>
      </c>
      <c r="R168" s="59">
        <v>15</v>
      </c>
      <c r="S168" s="58">
        <v>16</v>
      </c>
      <c r="T168" s="58">
        <v>17</v>
      </c>
      <c r="U168" s="59">
        <v>18</v>
      </c>
      <c r="V168" s="59">
        <v>19</v>
      </c>
      <c r="W168" s="58">
        <v>20</v>
      </c>
      <c r="X168" s="58">
        <v>21</v>
      </c>
      <c r="Y168" s="59">
        <v>22</v>
      </c>
      <c r="Z168" s="59">
        <v>23</v>
      </c>
      <c r="AA168" s="58">
        <v>24</v>
      </c>
      <c r="AB168" s="58">
        <v>25</v>
      </c>
      <c r="AC168" s="59">
        <v>26</v>
      </c>
      <c r="AD168" s="59">
        <v>27</v>
      </c>
      <c r="AE168" s="58">
        <v>28</v>
      </c>
      <c r="AF168" s="58">
        <v>29</v>
      </c>
      <c r="AG168" s="59">
        <v>30</v>
      </c>
      <c r="AH168" s="74">
        <v>31</v>
      </c>
      <c r="BH168" s="2" t="s">
        <v>579</v>
      </c>
      <c r="BI168" s="2">
        <v>1600</v>
      </c>
      <c r="BJ168" s="2">
        <v>900</v>
      </c>
      <c r="BN168" s="2">
        <v>1618</v>
      </c>
      <c r="CC168" s="2">
        <v>50</v>
      </c>
      <c r="CD168" s="2">
        <v>1.5559000000000001</v>
      </c>
    </row>
    <row r="169" spans="2:82">
      <c r="B169" s="69" t="s">
        <v>545</v>
      </c>
      <c r="C169" s="70"/>
      <c r="D169" s="71"/>
      <c r="E169" s="72"/>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BH169" s="2" t="s">
        <v>579</v>
      </c>
      <c r="BI169" s="2">
        <v>1800</v>
      </c>
      <c r="BJ169" s="2">
        <v>900</v>
      </c>
      <c r="BN169" s="2">
        <v>1820</v>
      </c>
      <c r="CC169" s="2">
        <v>51</v>
      </c>
      <c r="CD169" s="2">
        <v>1.589</v>
      </c>
    </row>
    <row r="170" spans="2:82">
      <c r="B170" s="31" t="s">
        <v>546</v>
      </c>
      <c r="C170" s="32"/>
      <c r="D170" s="33">
        <f>Allgemein!$N$64</f>
        <v>0</v>
      </c>
      <c r="E170" s="33">
        <f t="shared" ref="E170:P170" si="319">IF(E169=0,D170,E169)</f>
        <v>0</v>
      </c>
      <c r="F170" s="33">
        <f t="shared" si="319"/>
        <v>0</v>
      </c>
      <c r="G170" s="33">
        <f t="shared" si="319"/>
        <v>0</v>
      </c>
      <c r="H170" s="33">
        <f t="shared" si="319"/>
        <v>0</v>
      </c>
      <c r="I170" s="33">
        <f t="shared" si="319"/>
        <v>0</v>
      </c>
      <c r="J170" s="33">
        <f t="shared" si="319"/>
        <v>0</v>
      </c>
      <c r="K170" s="33">
        <f t="shared" si="319"/>
        <v>0</v>
      </c>
      <c r="L170" s="33">
        <f t="shared" si="319"/>
        <v>0</v>
      </c>
      <c r="M170" s="33">
        <f t="shared" si="319"/>
        <v>0</v>
      </c>
      <c r="N170" s="33">
        <f t="shared" si="319"/>
        <v>0</v>
      </c>
      <c r="O170" s="33">
        <f t="shared" si="319"/>
        <v>0</v>
      </c>
      <c r="P170" s="33">
        <f t="shared" si="319"/>
        <v>0</v>
      </c>
      <c r="Q170" s="33">
        <f t="shared" ref="Q170" si="320">IF(Q169=0,P170,Q169)</f>
        <v>0</v>
      </c>
      <c r="R170" s="33">
        <f t="shared" ref="R170" si="321">IF(R169=0,Q170,R169)</f>
        <v>0</v>
      </c>
      <c r="S170" s="33">
        <f t="shared" ref="S170" si="322">IF(S169=0,R170,S169)</f>
        <v>0</v>
      </c>
      <c r="T170" s="33">
        <f t="shared" ref="T170" si="323">IF(T169=0,S170,T169)</f>
        <v>0</v>
      </c>
      <c r="U170" s="33">
        <f t="shared" ref="U170" si="324">IF(U169=0,T170,U169)</f>
        <v>0</v>
      </c>
      <c r="V170" s="33">
        <f t="shared" ref="V170" si="325">IF(V169=0,U170,V169)</f>
        <v>0</v>
      </c>
      <c r="W170" s="33">
        <f t="shared" ref="W170" si="326">IF(W169=0,V170,W169)</f>
        <v>0</v>
      </c>
      <c r="X170" s="33">
        <f t="shared" ref="X170" si="327">IF(X169=0,W170,X169)</f>
        <v>0</v>
      </c>
      <c r="Y170" s="33">
        <f t="shared" ref="Y170" si="328">IF(Y169=0,X170,Y169)</f>
        <v>0</v>
      </c>
      <c r="Z170" s="33">
        <f t="shared" ref="Z170" si="329">IF(Z169=0,Y170,Z169)</f>
        <v>0</v>
      </c>
      <c r="AA170" s="33">
        <f t="shared" ref="AA170" si="330">IF(AA169=0,Z170,AA169)</f>
        <v>0</v>
      </c>
      <c r="AB170" s="33">
        <f t="shared" ref="AB170" si="331">IF(AB169=0,AA170,AB169)</f>
        <v>0</v>
      </c>
      <c r="AC170" s="33">
        <f t="shared" ref="AC170" si="332">IF(AC169=0,AB170,AC169)</f>
        <v>0</v>
      </c>
      <c r="AD170" s="33">
        <f t="shared" ref="AD170" si="333">IF(AD169=0,AC170,AD169)</f>
        <v>0</v>
      </c>
      <c r="AE170" s="33">
        <f t="shared" ref="AE170" si="334">IF(AE169=0,AD170,AE169)</f>
        <v>0</v>
      </c>
      <c r="AF170" s="33">
        <f t="shared" ref="AF170" si="335">IF(AF169=0,AE170,AF169)</f>
        <v>0</v>
      </c>
      <c r="AG170" s="33">
        <f t="shared" ref="AG170" si="336">IF(AG169=0,AF170,AG169)</f>
        <v>0</v>
      </c>
      <c r="AH170" s="33">
        <f t="shared" ref="AH170" si="337">IF(AH169=0,AG170,AH169)</f>
        <v>0</v>
      </c>
      <c r="BH170" s="2" t="s">
        <v>579</v>
      </c>
      <c r="BI170" s="2">
        <v>2000</v>
      </c>
      <c r="BJ170" s="2">
        <v>900</v>
      </c>
      <c r="BN170" s="2">
        <v>2022</v>
      </c>
      <c r="CC170" s="2">
        <v>52</v>
      </c>
      <c r="CD170" s="2">
        <v>1.6242000000000001</v>
      </c>
    </row>
    <row r="171" spans="2:82">
      <c r="B171" s="34"/>
      <c r="C171" s="35"/>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BH171" s="2" t="s">
        <v>579</v>
      </c>
      <c r="BI171" s="2">
        <v>2200</v>
      </c>
      <c r="BJ171" s="2">
        <v>900</v>
      </c>
      <c r="BN171" s="2">
        <v>2224</v>
      </c>
      <c r="CC171" s="2">
        <v>53</v>
      </c>
      <c r="CD171" s="2">
        <v>1.6616</v>
      </c>
    </row>
    <row r="172" spans="2:82">
      <c r="B172" s="31" t="s">
        <v>548</v>
      </c>
      <c r="C172" s="32"/>
      <c r="D172" s="36">
        <f>Allgemein!$N$62</f>
        <v>0</v>
      </c>
      <c r="E172" s="36">
        <f>IF(D181&lt;0,0,D181)</f>
        <v>0</v>
      </c>
      <c r="F172" s="36">
        <f t="shared" ref="F172:J172" si="338">IF(E181&lt;0,0,E181)</f>
        <v>0</v>
      </c>
      <c r="G172" s="36">
        <f t="shared" si="338"/>
        <v>0</v>
      </c>
      <c r="H172" s="36">
        <f t="shared" si="338"/>
        <v>0</v>
      </c>
      <c r="I172" s="36">
        <f t="shared" si="338"/>
        <v>0</v>
      </c>
      <c r="J172" s="36">
        <f t="shared" si="338"/>
        <v>0</v>
      </c>
      <c r="K172" s="36">
        <f t="shared" ref="K172" si="339">IF(J181&lt;0,0,J181)</f>
        <v>0</v>
      </c>
      <c r="L172" s="36">
        <f t="shared" ref="L172" si="340">IF(K181&lt;0,0,K181)</f>
        <v>0</v>
      </c>
      <c r="M172" s="36">
        <f t="shared" ref="M172" si="341">IF(L181&lt;0,0,L181)</f>
        <v>0</v>
      </c>
      <c r="N172" s="36">
        <f t="shared" ref="N172" si="342">IF(M181&lt;0,0,M181)</f>
        <v>0</v>
      </c>
      <c r="O172" s="36">
        <f t="shared" ref="O172" si="343">IF(N181&lt;0,0,N181)</f>
        <v>0</v>
      </c>
      <c r="P172" s="36">
        <f t="shared" ref="P172" si="344">IF(O181&lt;0,0,O181)</f>
        <v>0</v>
      </c>
      <c r="Q172" s="36">
        <f t="shared" ref="Q172" si="345">IF(P181&lt;0,0,P181)</f>
        <v>0</v>
      </c>
      <c r="R172" s="36">
        <f t="shared" ref="R172" si="346">IF(Q181&lt;0,0,Q181)</f>
        <v>0</v>
      </c>
      <c r="S172" s="36">
        <f t="shared" ref="S172" si="347">IF(R181&lt;0,0,R181)</f>
        <v>0</v>
      </c>
      <c r="T172" s="36">
        <f t="shared" ref="T172" si="348">IF(S181&lt;0,0,S181)</f>
        <v>0</v>
      </c>
      <c r="U172" s="36">
        <f t="shared" ref="U172" si="349">IF(T181&lt;0,0,T181)</f>
        <v>0</v>
      </c>
      <c r="V172" s="36">
        <f t="shared" ref="V172" si="350">IF(U181&lt;0,0,U181)</f>
        <v>0</v>
      </c>
      <c r="W172" s="36">
        <f t="shared" ref="W172" si="351">IF(V181&lt;0,0,V181)</f>
        <v>0</v>
      </c>
      <c r="X172" s="36">
        <f t="shared" ref="X172" si="352">IF(W181&lt;0,0,W181)</f>
        <v>0</v>
      </c>
      <c r="Y172" s="36">
        <f t="shared" ref="Y172" si="353">IF(X181&lt;0,0,X181)</f>
        <v>0</v>
      </c>
      <c r="Z172" s="36">
        <f t="shared" ref="Z172" si="354">IF(Y181&lt;0,0,Y181)</f>
        <v>0</v>
      </c>
      <c r="AA172" s="36">
        <f t="shared" ref="AA172" si="355">IF(Z181&lt;0,0,Z181)</f>
        <v>0</v>
      </c>
      <c r="AB172" s="36">
        <f t="shared" ref="AB172" si="356">IF(AA181&lt;0,0,AA181)</f>
        <v>0</v>
      </c>
      <c r="AC172" s="36">
        <f t="shared" ref="AC172" si="357">IF(AB181&lt;0,0,AB181)</f>
        <v>0</v>
      </c>
      <c r="AD172" s="36">
        <f t="shared" ref="AD172" si="358">IF(AC181&lt;0,0,AC181)</f>
        <v>0</v>
      </c>
      <c r="AE172" s="36">
        <f t="shared" ref="AE172" si="359">IF(AD181&lt;0,0,AD181)</f>
        <v>0</v>
      </c>
      <c r="AF172" s="36">
        <f t="shared" ref="AF172" si="360">IF(AE181&lt;0,0,AE181)</f>
        <v>0</v>
      </c>
      <c r="AG172" s="36">
        <f t="shared" ref="AG172" si="361">IF(AF181&lt;0,0,AF181)</f>
        <v>0</v>
      </c>
      <c r="AH172" s="36">
        <f t="shared" ref="AH172" si="362">IF(AG181&lt;0,0,AG181)</f>
        <v>0</v>
      </c>
      <c r="BH172" s="2" t="s">
        <v>579</v>
      </c>
      <c r="BI172" s="2">
        <v>2300</v>
      </c>
      <c r="BJ172" s="2">
        <v>900</v>
      </c>
      <c r="BN172" s="2">
        <v>2325</v>
      </c>
      <c r="CC172" s="2">
        <v>54</v>
      </c>
      <c r="CD172" s="2">
        <v>1.7013</v>
      </c>
    </row>
    <row r="173" spans="2:82">
      <c r="B173" s="31" t="s">
        <v>549</v>
      </c>
      <c r="C173" s="32"/>
      <c r="D173" s="36">
        <f>D172*D170</f>
        <v>0</v>
      </c>
      <c r="E173" s="36">
        <f>IF(E172=0,0,E170*E172)</f>
        <v>0</v>
      </c>
      <c r="F173" s="36">
        <f t="shared" ref="F173:AH173" si="363">IF(F172=0,0,F170*F172)</f>
        <v>0</v>
      </c>
      <c r="G173" s="36">
        <f t="shared" si="363"/>
        <v>0</v>
      </c>
      <c r="H173" s="36">
        <f t="shared" si="363"/>
        <v>0</v>
      </c>
      <c r="I173" s="36">
        <f t="shared" si="363"/>
        <v>0</v>
      </c>
      <c r="J173" s="36">
        <f t="shared" si="363"/>
        <v>0</v>
      </c>
      <c r="K173" s="36">
        <f t="shared" si="363"/>
        <v>0</v>
      </c>
      <c r="L173" s="36">
        <f t="shared" si="363"/>
        <v>0</v>
      </c>
      <c r="M173" s="36">
        <f t="shared" si="363"/>
        <v>0</v>
      </c>
      <c r="N173" s="36">
        <f t="shared" si="363"/>
        <v>0</v>
      </c>
      <c r="O173" s="36">
        <f t="shared" si="363"/>
        <v>0</v>
      </c>
      <c r="P173" s="36">
        <f t="shared" si="363"/>
        <v>0</v>
      </c>
      <c r="Q173" s="36">
        <f t="shared" si="363"/>
        <v>0</v>
      </c>
      <c r="R173" s="36">
        <f t="shared" si="363"/>
        <v>0</v>
      </c>
      <c r="S173" s="36">
        <f t="shared" si="363"/>
        <v>0</v>
      </c>
      <c r="T173" s="36">
        <f t="shared" si="363"/>
        <v>0</v>
      </c>
      <c r="U173" s="36">
        <f t="shared" si="363"/>
        <v>0</v>
      </c>
      <c r="V173" s="36">
        <f t="shared" si="363"/>
        <v>0</v>
      </c>
      <c r="W173" s="36">
        <f t="shared" si="363"/>
        <v>0</v>
      </c>
      <c r="X173" s="36">
        <f t="shared" si="363"/>
        <v>0</v>
      </c>
      <c r="Y173" s="36">
        <f t="shared" si="363"/>
        <v>0</v>
      </c>
      <c r="Z173" s="36">
        <f t="shared" si="363"/>
        <v>0</v>
      </c>
      <c r="AA173" s="36">
        <f t="shared" si="363"/>
        <v>0</v>
      </c>
      <c r="AB173" s="36">
        <f t="shared" si="363"/>
        <v>0</v>
      </c>
      <c r="AC173" s="36">
        <f t="shared" si="363"/>
        <v>0</v>
      </c>
      <c r="AD173" s="36">
        <f t="shared" si="363"/>
        <v>0</v>
      </c>
      <c r="AE173" s="36">
        <f t="shared" si="363"/>
        <v>0</v>
      </c>
      <c r="AF173" s="36">
        <f t="shared" si="363"/>
        <v>0</v>
      </c>
      <c r="AG173" s="36">
        <f t="shared" si="363"/>
        <v>0</v>
      </c>
      <c r="AH173" s="36">
        <f t="shared" si="363"/>
        <v>0</v>
      </c>
      <c r="BH173" s="2" t="s">
        <v>579</v>
      </c>
      <c r="BI173" s="2">
        <v>2600</v>
      </c>
      <c r="BJ173" s="2">
        <v>900</v>
      </c>
      <c r="BN173" s="2">
        <v>2629</v>
      </c>
      <c r="CC173" s="2">
        <v>55</v>
      </c>
      <c r="CD173" s="2">
        <v>1.7433000000000001</v>
      </c>
    </row>
    <row r="174" spans="2:82">
      <c r="B174" s="34"/>
      <c r="C174" s="35"/>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BH174" s="2" t="s">
        <v>579</v>
      </c>
      <c r="BI174" s="2">
        <v>3000</v>
      </c>
      <c r="BJ174" s="2">
        <v>900</v>
      </c>
      <c r="BN174" s="2">
        <v>3033</v>
      </c>
      <c r="CC174" s="2">
        <v>56</v>
      </c>
      <c r="CD174" s="2">
        <v>1.7882</v>
      </c>
    </row>
    <row r="175" spans="2:82">
      <c r="B175" s="31" t="s">
        <v>550</v>
      </c>
      <c r="C175" s="32"/>
      <c r="D175" s="36"/>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BH175" s="2" t="s">
        <v>578</v>
      </c>
      <c r="BI175" s="2">
        <v>400</v>
      </c>
      <c r="BJ175" s="2">
        <v>300</v>
      </c>
      <c r="BN175" s="2">
        <v>205</v>
      </c>
      <c r="CC175" s="2">
        <v>57</v>
      </c>
      <c r="CD175" s="2">
        <v>1.8360000000000001</v>
      </c>
    </row>
    <row r="176" spans="2:82">
      <c r="B176" s="31" t="s">
        <v>551</v>
      </c>
      <c r="C176" s="32"/>
      <c r="D176" s="36">
        <f>D177*D172</f>
        <v>0</v>
      </c>
      <c r="E176" s="36">
        <f>IF(D176=0,E177*E172,E179-E173)</f>
        <v>0</v>
      </c>
      <c r="F176" s="36">
        <f>IF(E176=0,F177*F172,F179-F173)</f>
        <v>0</v>
      </c>
      <c r="G176" s="36">
        <f>IF(F176=0,G177*G172,G179-G173)</f>
        <v>0</v>
      </c>
      <c r="H176" s="36">
        <f>IF(G176=0,H177*H172,H179-H173)</f>
        <v>0</v>
      </c>
      <c r="I176" s="36">
        <f t="shared" ref="I176" si="364">IF(H176=0,I177*I172,I179-I173)</f>
        <v>0</v>
      </c>
      <c r="J176" s="36">
        <f>IF(I176=0,J177*J172,J179-J173)</f>
        <v>0</v>
      </c>
      <c r="K176" s="36">
        <f t="shared" ref="K176" si="365">IF(J176=0,K177*K172,K179-K173)</f>
        <v>0</v>
      </c>
      <c r="L176" s="36">
        <f t="shared" ref="L176" si="366">IF(K176=0,L177*L172,L179-L173)</f>
        <v>0</v>
      </c>
      <c r="M176" s="36">
        <f t="shared" ref="M176" si="367">IF(L176=0,M177*M172,M179-M173)</f>
        <v>0</v>
      </c>
      <c r="N176" s="36">
        <f t="shared" ref="N176" si="368">IF(M176=0,N177*N172,N179-N173)</f>
        <v>0</v>
      </c>
      <c r="O176" s="36">
        <f t="shared" ref="O176" si="369">IF(N176=0,O177*O172,O179-O173)</f>
        <v>0</v>
      </c>
      <c r="P176" s="36">
        <f t="shared" ref="P176" si="370">IF(O176=0,P177*P172,P179-P173)</f>
        <v>0</v>
      </c>
      <c r="Q176" s="36">
        <f t="shared" ref="Q176" si="371">IF(P176=0,Q177*Q172,Q179-Q173)</f>
        <v>0</v>
      </c>
      <c r="R176" s="36">
        <f t="shared" ref="R176" si="372">IF(Q176=0,R177*R172,R179-R173)</f>
        <v>0</v>
      </c>
      <c r="S176" s="36">
        <f t="shared" ref="S176" si="373">IF(R176=0,S177*S172,S179-S173)</f>
        <v>0</v>
      </c>
      <c r="T176" s="36">
        <f t="shared" ref="T176" si="374">IF(S176=0,T177*T172,T179-T173)</f>
        <v>0</v>
      </c>
      <c r="U176" s="36">
        <f t="shared" ref="U176" si="375">IF(T176=0,U177*U172,U179-U173)</f>
        <v>0</v>
      </c>
      <c r="V176" s="36">
        <f t="shared" ref="V176" si="376">IF(U176=0,V177*V172,V179-V173)</f>
        <v>0</v>
      </c>
      <c r="W176" s="36">
        <f t="shared" ref="W176" si="377">IF(V176=0,W177*W172,W179-W173)</f>
        <v>0</v>
      </c>
      <c r="X176" s="36">
        <f t="shared" ref="X176" si="378">IF(W176=0,X177*X172,X179-X173)</f>
        <v>0</v>
      </c>
      <c r="Y176" s="36">
        <f t="shared" ref="Y176" si="379">IF(X176=0,Y177*Y172,Y179-Y173)</f>
        <v>0</v>
      </c>
      <c r="Z176" s="36">
        <f t="shared" ref="Z176" si="380">IF(Y176=0,Z177*Z172,Z179-Z173)</f>
        <v>0</v>
      </c>
      <c r="AA176" s="36">
        <f t="shared" ref="AA176" si="381">IF(Z176=0,AA177*AA172,AA179-AA173)</f>
        <v>0</v>
      </c>
      <c r="AB176" s="36">
        <f t="shared" ref="AB176" si="382">IF(AA176=0,AB177*AB172,AB179-AB173)</f>
        <v>0</v>
      </c>
      <c r="AC176" s="36">
        <f t="shared" ref="AC176" si="383">IF(AB176=0,AC177*AC172,AC179-AC173)</f>
        <v>0</v>
      </c>
      <c r="AD176" s="36">
        <f t="shared" ref="AD176" si="384">IF(AC176=0,AD177*AD172,AD179-AD173)</f>
        <v>0</v>
      </c>
      <c r="AE176" s="36">
        <f t="shared" ref="AE176" si="385">IF(AD176=0,AE177*AE172,AE179-AE173)</f>
        <v>0</v>
      </c>
      <c r="AF176" s="36">
        <f t="shared" ref="AF176" si="386">IF(AE176=0,AF177*AF172,AF179-AF173)</f>
        <v>0</v>
      </c>
      <c r="AG176" s="36">
        <f t="shared" ref="AG176" si="387">IF(AF176=0,AG177*AG172,AG179-AG173)</f>
        <v>0</v>
      </c>
      <c r="AH176" s="36">
        <f t="shared" ref="AH176" si="388">IF(AG176=0,AH177*AH172,AH179-AH173)</f>
        <v>0</v>
      </c>
      <c r="BH176" s="2" t="s">
        <v>578</v>
      </c>
      <c r="BI176" s="2">
        <v>500</v>
      </c>
      <c r="BJ176" s="2">
        <v>300</v>
      </c>
      <c r="BN176" s="2">
        <v>256</v>
      </c>
      <c r="CC176" s="2">
        <v>58</v>
      </c>
      <c r="CD176" s="2">
        <v>1.8867</v>
      </c>
    </row>
    <row r="177" spans="2:82">
      <c r="B177" s="38" t="s">
        <v>554</v>
      </c>
      <c r="C177" s="39"/>
      <c r="D177" s="33">
        <f>IF(Allgemein!$N$66&gt;=D168,0,Allgemein!$N$67)</f>
        <v>0</v>
      </c>
      <c r="E177" s="33">
        <f>IF(Allgemein!$N$66&gt;=E168,0,IF(D176=0,Allgemein!$N$67,IF(E172=0,0,E176/E172)))</f>
        <v>0</v>
      </c>
      <c r="F177" s="33">
        <f>IF(Allgemein!$N$66&gt;=F168,0,IF(E176=0,Allgemein!$N$67,IF(F172=0,0,F176/F172)))</f>
        <v>0</v>
      </c>
      <c r="G177" s="33">
        <f>IF(Allgemein!$N$66&gt;=G168,0,IF(F176=0,Allgemein!$N$67,IF(G172=0,0,G176/G172)))</f>
        <v>0</v>
      </c>
      <c r="H177" s="33">
        <f>IF(Allgemein!$N$66&gt;=H168,0,IF(G176=0,Allgemein!$N$67,IF(H172=0,0,H176/H172)))</f>
        <v>0</v>
      </c>
      <c r="I177" s="33">
        <f>IF(Allgemein!$N$66&gt;=I168,0,IF(H176=0,Allgemein!$N$67,IF(I172=0,0,I176/I172)))</f>
        <v>0</v>
      </c>
      <c r="J177" s="33">
        <f>IF(Allgemein!$N$66&gt;=J168,0,IF(I176=0,Allgemein!$N$67,IF(J172=0,0,J176/J172)))</f>
        <v>0</v>
      </c>
      <c r="K177" s="33">
        <f>IF(Allgemein!$N$66&gt;=K168,0,IF(J176=0,Allgemein!$N$67,IF(K172=0,0,K176/K172)))</f>
        <v>0</v>
      </c>
      <c r="L177" s="33">
        <f>IF(Allgemein!$N$66&gt;=L168,0,IF(K176=0,Allgemein!$N$67,IF(L172=0,0,L176/L172)))</f>
        <v>0</v>
      </c>
      <c r="M177" s="33">
        <f>IF(Allgemein!$N$66&gt;=M168,0,IF(L176=0,Allgemein!$N$67,IF(M172=0,0,M176/M172)))</f>
        <v>0</v>
      </c>
      <c r="N177" s="33">
        <f>IF(Allgemein!$N$66&gt;=N168,0,IF(M176=0,Allgemein!$N$67,IF(N172=0,0,N176/N172)))</f>
        <v>0</v>
      </c>
      <c r="O177" s="33">
        <f>IF(Allgemein!$N$66&gt;=O168,0,IF(N176=0,Allgemein!$N$67,IF(O172=0,0,O176/O172)))</f>
        <v>0</v>
      </c>
      <c r="P177" s="33">
        <f>IF(Allgemein!$N$66&gt;=P168,0,IF(O176=0,Allgemein!$N$67,IF(P172=0,0,P176/P172)))</f>
        <v>0</v>
      </c>
      <c r="Q177" s="33">
        <f>IF(Allgemein!$N$66&gt;=Q168,0,IF(P176=0,Allgemein!$N$67,IF(Q172=0,0,Q176/Q172)))</f>
        <v>0</v>
      </c>
      <c r="R177" s="33">
        <f>IF(Allgemein!$N$66&gt;=R168,0,IF(Q176=0,Allgemein!$N$67,IF(R172=0,0,R176/R172)))</f>
        <v>0</v>
      </c>
      <c r="S177" s="33">
        <f>IF(Allgemein!$N$66&gt;=S168,0,IF(R176=0,Allgemein!$N$67,IF(S172=0,0,S176/S172)))</f>
        <v>0</v>
      </c>
      <c r="T177" s="33">
        <f>IF(Allgemein!$N$66&gt;=T168,0,IF(S176=0,Allgemein!$N$67,IF(T172=0,0,T176/T172)))</f>
        <v>0</v>
      </c>
      <c r="U177" s="33">
        <f>IF(Allgemein!$N$66&gt;=U168,0,IF(T176=0,Allgemein!$N$67,IF(U172=0,0,U176/U172)))</f>
        <v>0</v>
      </c>
      <c r="V177" s="33">
        <f>IF(Allgemein!$N$66&gt;=V168,0,IF(U176=0,Allgemein!$N$67,IF(V172=0,0,V176/V172)))</f>
        <v>0</v>
      </c>
      <c r="W177" s="33">
        <f>IF(Allgemein!$N$66&gt;=W168,0,IF(V176=0,Allgemein!$N$67,IF(W172=0,0,W176/W172)))</f>
        <v>0</v>
      </c>
      <c r="X177" s="33">
        <f>IF(Allgemein!$N$66&gt;=X168,0,IF(W176=0,Allgemein!$N$67,IF(X172=0,0,X176/X172)))</f>
        <v>0</v>
      </c>
      <c r="Y177" s="33">
        <f>IF(Allgemein!$N$66&gt;=Y168,0,IF(X176=0,Allgemein!$N$67,IF(Y172=0,0,Y176/Y172)))</f>
        <v>0</v>
      </c>
      <c r="Z177" s="33">
        <f>IF(Allgemein!$N$66&gt;=Z168,0,IF(Y176=0,Allgemein!$N$67,IF(Z172=0,0,Z176/Z172)))</f>
        <v>0</v>
      </c>
      <c r="AA177" s="33">
        <f>IF(Allgemein!$N$66&gt;=AA168,0,IF(Z176=0,Allgemein!$N$67,IF(AA172=0,0,AA176/AA172)))</f>
        <v>0</v>
      </c>
      <c r="AB177" s="33">
        <f>IF(Allgemein!$N$66&gt;=AB168,0,IF(AA176=0,Allgemein!$N$67,IF(AB172=0,0,AB176/AB172)))</f>
        <v>0</v>
      </c>
      <c r="AC177" s="33">
        <f>IF(Allgemein!$N$66&gt;=AC168,0,IF(AB176=0,Allgemein!$N$67,IF(AC172=0,0,AC176/AC172)))</f>
        <v>0</v>
      </c>
      <c r="AD177" s="33">
        <f>IF(Allgemein!$N$66&gt;=AD168,0,IF(AC176=0,Allgemein!$N$67,IF(AD172=0,0,AD176/AD172)))</f>
        <v>0</v>
      </c>
      <c r="AE177" s="33">
        <f>IF(Allgemein!$N$66&gt;=AE168,0,IF(AD176=0,Allgemein!$N$67,IF(AE172=0,0,AE176/AE172)))</f>
        <v>0</v>
      </c>
      <c r="AF177" s="33">
        <f>IF(Allgemein!$N$66&gt;=AF168,0,IF(AE176=0,Allgemein!$N$67,IF(AF172=0,0,AF176/AF172)))</f>
        <v>0</v>
      </c>
      <c r="AG177" s="33">
        <f>IF(Allgemein!$N$66&gt;=AG168,0,IF(AF176=0,Allgemein!$N$67,IF(AG172=0,0,AG176/AG172)))</f>
        <v>0</v>
      </c>
      <c r="AH177" s="33">
        <f>IF(Allgemein!$N$66&gt;=AH168,0,IF(AG176=0,Allgemein!$N$67,IF(AH172=0,0,AH176/AH172)))</f>
        <v>0</v>
      </c>
      <c r="BH177" s="2" t="s">
        <v>578</v>
      </c>
      <c r="BI177" s="2">
        <v>600</v>
      </c>
      <c r="BJ177" s="2">
        <v>300</v>
      </c>
      <c r="BN177" s="2">
        <v>307</v>
      </c>
      <c r="CC177" s="2">
        <v>59</v>
      </c>
      <c r="CD177" s="2">
        <v>1.9416</v>
      </c>
    </row>
    <row r="178" spans="2:82">
      <c r="B178" s="34"/>
      <c r="C178" s="35"/>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BH178" s="2" t="s">
        <v>578</v>
      </c>
      <c r="BI178" s="2">
        <v>700</v>
      </c>
      <c r="BJ178" s="2">
        <v>300</v>
      </c>
      <c r="BN178" s="2">
        <v>359</v>
      </c>
      <c r="CC178" s="2">
        <v>60</v>
      </c>
      <c r="CD178" s="2">
        <v>2</v>
      </c>
    </row>
    <row r="179" spans="2:82">
      <c r="B179" s="31" t="s">
        <v>555</v>
      </c>
      <c r="C179" s="32"/>
      <c r="D179" s="36">
        <f>D176+D173</f>
        <v>0</v>
      </c>
      <c r="E179" s="36">
        <f>IF(D176=0,E173+E176,IF(E172=0,0,IF(E172&lt;D179,E172+E173,IF(E175=0,D179,E175+E173))))</f>
        <v>0</v>
      </c>
      <c r="F179" s="36">
        <f>IF(E176=0,F173+F176,IF(F172=0,0,IF(F172&lt;E179,F172+F173,IF(F175=0,E179,F175+F173))))</f>
        <v>0</v>
      </c>
      <c r="G179" s="36">
        <f>IF(F176=0,G173+G176,IF(G172=0,0,IF(G172&lt;F179,G172+G173,IF(G175=0,F179,G175+G173))))</f>
        <v>0</v>
      </c>
      <c r="H179" s="36">
        <f>IF(G176=0,H173+H176,IF(H172=0,0,IF(H172&lt;G179,H172+H173,IF(H175=0,G179,H175+H173))))</f>
        <v>0</v>
      </c>
      <c r="I179" s="36">
        <f t="shared" ref="I179" si="389">IF(H176=0,I173+I176,IF(I172=0,0,IF(I172&lt;H179,I172+I173,IF(I175=0,H179,I175+I173))))</f>
        <v>0</v>
      </c>
      <c r="J179" s="36">
        <f>IF(I176=0,J173+J176,IF(J172=0,0,IF(J172&lt;I179,J172+J173,IF(J175=0,I179,J175+J173))))</f>
        <v>0</v>
      </c>
      <c r="K179" s="36">
        <f t="shared" ref="K179" si="390">IF(J176=0,K173+K176,IF(K172=0,0,IF(K172&lt;J179,K172+K173,IF(K175=0,J179,K175+K173))))</f>
        <v>0</v>
      </c>
      <c r="L179" s="36">
        <f t="shared" ref="L179" si="391">IF(K176=0,L173+L176,IF(L172=0,0,IF(L172&lt;K179,L172+L173,IF(L175=0,K179,L175+L173))))</f>
        <v>0</v>
      </c>
      <c r="M179" s="36">
        <f t="shared" ref="M179" si="392">IF(L176=0,M173+M176,IF(M172=0,0,IF(M172&lt;L179,M172+M173,IF(M175=0,L179,M175+M173))))</f>
        <v>0</v>
      </c>
      <c r="N179" s="36">
        <f t="shared" ref="N179" si="393">IF(M176=0,N173+N176,IF(N172=0,0,IF(N172&lt;M179,N172+N173,IF(N175=0,M179,N175+N173))))</f>
        <v>0</v>
      </c>
      <c r="O179" s="36">
        <f t="shared" ref="O179" si="394">IF(N176=0,O173+O176,IF(O172=0,0,IF(O172&lt;N179,O172+O173,IF(O175=0,N179,O175+O173))))</f>
        <v>0</v>
      </c>
      <c r="P179" s="36">
        <f t="shared" ref="P179" si="395">IF(O176=0,P173+P176,IF(P172=0,0,IF(P172&lt;O179,P172+P173,IF(P175=0,O179,P175+P173))))</f>
        <v>0</v>
      </c>
      <c r="Q179" s="36">
        <f t="shared" ref="Q179" si="396">IF(P176=0,Q173+Q176,IF(Q172=0,0,IF(Q172&lt;P179,Q172+Q173,IF(Q175=0,P179,Q175+Q173))))</f>
        <v>0</v>
      </c>
      <c r="R179" s="36">
        <f t="shared" ref="R179" si="397">IF(Q176=0,R173+R176,IF(R172=0,0,IF(R172&lt;Q179,R172+R173,IF(R175=0,Q179,R175+R173))))</f>
        <v>0</v>
      </c>
      <c r="S179" s="36">
        <f t="shared" ref="S179" si="398">IF(R176=0,S173+S176,IF(S172=0,0,IF(S172&lt;R179,S172+S173,IF(S175=0,R179,S175+S173))))</f>
        <v>0</v>
      </c>
      <c r="T179" s="36">
        <f t="shared" ref="T179" si="399">IF(S176=0,T173+T176,IF(T172=0,0,IF(T172&lt;S179,T172+T173,IF(T175=0,S179,T175+T173))))</f>
        <v>0</v>
      </c>
      <c r="U179" s="36">
        <f t="shared" ref="U179" si="400">IF(T176=0,U173+U176,IF(U172=0,0,IF(U172&lt;T179,U172+U173,IF(U175=0,T179,U175+U173))))</f>
        <v>0</v>
      </c>
      <c r="V179" s="36">
        <f t="shared" ref="V179" si="401">IF(U176=0,V173+V176,IF(V172=0,0,IF(V172&lt;U179,V172+V173,IF(V175=0,U179,V175+V173))))</f>
        <v>0</v>
      </c>
      <c r="W179" s="36">
        <f t="shared" ref="W179" si="402">IF(V176=0,W173+W176,IF(W172=0,0,IF(W172&lt;V179,W172+W173,IF(W175=0,V179,W175+W173))))</f>
        <v>0</v>
      </c>
      <c r="X179" s="36">
        <f t="shared" ref="X179" si="403">IF(W176=0,X173+X176,IF(X172=0,0,IF(X172&lt;W179,X172+X173,IF(X175=0,W179,X175+X173))))</f>
        <v>0</v>
      </c>
      <c r="Y179" s="36">
        <f t="shared" ref="Y179" si="404">IF(X176=0,Y173+Y176,IF(Y172=0,0,IF(Y172&lt;X179,Y172+Y173,IF(Y175=0,X179,Y175+Y173))))</f>
        <v>0</v>
      </c>
      <c r="Z179" s="36">
        <f t="shared" ref="Z179" si="405">IF(Y176=0,Z173+Z176,IF(Z172=0,0,IF(Z172&lt;Y179,Z172+Z173,IF(Z175=0,Y179,Z175+Z173))))</f>
        <v>0</v>
      </c>
      <c r="AA179" s="36">
        <f t="shared" ref="AA179" si="406">IF(Z176=0,AA173+AA176,IF(AA172=0,0,IF(AA172&lt;Z179,AA172+AA173,IF(AA175=0,Z179,AA175+AA173))))</f>
        <v>0</v>
      </c>
      <c r="AB179" s="36">
        <f t="shared" ref="AB179" si="407">IF(AA176=0,AB173+AB176,IF(AB172=0,0,IF(AB172&lt;AA179,AB172+AB173,IF(AB175=0,AA179,AB175+AB173))))</f>
        <v>0</v>
      </c>
      <c r="AC179" s="36">
        <f t="shared" ref="AC179" si="408">IF(AB176=0,AC173+AC176,IF(AC172=0,0,IF(AC172&lt;AB179,AC172+AC173,IF(AC175=0,AB179,AC175+AC173))))</f>
        <v>0</v>
      </c>
      <c r="AD179" s="36">
        <f t="shared" ref="AD179" si="409">IF(AC176=0,AD173+AD176,IF(AD172=0,0,IF(AD172&lt;AC179,AD172+AD173,IF(AD175=0,AC179,AD175+AD173))))</f>
        <v>0</v>
      </c>
      <c r="AE179" s="36">
        <f t="shared" ref="AE179" si="410">IF(AD176=0,AE173+AE176,IF(AE172=0,0,IF(AE172&lt;AD179,AE172+AE173,IF(AE175=0,AD179,AE175+AE173))))</f>
        <v>0</v>
      </c>
      <c r="AF179" s="36">
        <f t="shared" ref="AF179" si="411">IF(AE176=0,AF173+AF176,IF(AF172=0,0,IF(AF172&lt;AE179,AF172+AF173,IF(AF175=0,AE179,AF175+AF173))))</f>
        <v>0</v>
      </c>
      <c r="AG179" s="36">
        <f t="shared" ref="AG179" si="412">IF(AF176=0,AG173+AG176,IF(AG172=0,0,IF(AG172&lt;AF179,AG172+AG173,IF(AG175=0,AF179,AG175+AG173))))</f>
        <v>0</v>
      </c>
      <c r="AH179" s="36">
        <f t="shared" ref="AH179" si="413">IF(AG176=0,AH173+AH176,IF(AH172=0,0,IF(AH172&lt;AG179,AH172+AH173,IF(AH175=0,AG179,AH175+AH173))))</f>
        <v>0</v>
      </c>
      <c r="BH179" s="2" t="s">
        <v>578</v>
      </c>
      <c r="BI179" s="2">
        <v>800</v>
      </c>
      <c r="BJ179" s="2">
        <v>300</v>
      </c>
      <c r="BN179" s="2">
        <v>410</v>
      </c>
      <c r="CC179" s="2">
        <v>61</v>
      </c>
      <c r="CD179" s="2">
        <v>2.0626000000000002</v>
      </c>
    </row>
    <row r="180" spans="2:82">
      <c r="B180" s="31" t="s">
        <v>556</v>
      </c>
      <c r="C180" s="32"/>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BH180" s="2" t="s">
        <v>578</v>
      </c>
      <c r="BI180" s="2">
        <v>900</v>
      </c>
      <c r="BJ180" s="2">
        <v>300</v>
      </c>
      <c r="BN180" s="2">
        <v>461</v>
      </c>
      <c r="CC180" s="2">
        <v>62</v>
      </c>
      <c r="CD180" s="2">
        <v>2.13</v>
      </c>
    </row>
    <row r="181" spans="2:82">
      <c r="B181" s="31" t="s">
        <v>557</v>
      </c>
      <c r="C181" s="32"/>
      <c r="D181" s="36">
        <f>D172-D176</f>
        <v>0</v>
      </c>
      <c r="E181" s="36">
        <f t="shared" ref="E181:AH181" si="414">E172-E176</f>
        <v>0</v>
      </c>
      <c r="F181" s="36">
        <f t="shared" si="414"/>
        <v>0</v>
      </c>
      <c r="G181" s="36">
        <f t="shared" si="414"/>
        <v>0</v>
      </c>
      <c r="H181" s="36">
        <f t="shared" si="414"/>
        <v>0</v>
      </c>
      <c r="I181" s="36">
        <f t="shared" si="414"/>
        <v>0</v>
      </c>
      <c r="J181" s="36">
        <f t="shared" si="414"/>
        <v>0</v>
      </c>
      <c r="K181" s="36">
        <f t="shared" si="414"/>
        <v>0</v>
      </c>
      <c r="L181" s="36">
        <f t="shared" si="414"/>
        <v>0</v>
      </c>
      <c r="M181" s="36">
        <f t="shared" si="414"/>
        <v>0</v>
      </c>
      <c r="N181" s="36">
        <f t="shared" si="414"/>
        <v>0</v>
      </c>
      <c r="O181" s="36">
        <f t="shared" si="414"/>
        <v>0</v>
      </c>
      <c r="P181" s="36">
        <f t="shared" si="414"/>
        <v>0</v>
      </c>
      <c r="Q181" s="36">
        <f t="shared" si="414"/>
        <v>0</v>
      </c>
      <c r="R181" s="36">
        <f t="shared" si="414"/>
        <v>0</v>
      </c>
      <c r="S181" s="36">
        <f t="shared" si="414"/>
        <v>0</v>
      </c>
      <c r="T181" s="36">
        <f t="shared" si="414"/>
        <v>0</v>
      </c>
      <c r="U181" s="36">
        <f t="shared" si="414"/>
        <v>0</v>
      </c>
      <c r="V181" s="36">
        <f t="shared" si="414"/>
        <v>0</v>
      </c>
      <c r="W181" s="36">
        <f t="shared" si="414"/>
        <v>0</v>
      </c>
      <c r="X181" s="36">
        <f t="shared" si="414"/>
        <v>0</v>
      </c>
      <c r="Y181" s="36">
        <f t="shared" si="414"/>
        <v>0</v>
      </c>
      <c r="Z181" s="36">
        <f t="shared" si="414"/>
        <v>0</v>
      </c>
      <c r="AA181" s="36">
        <f t="shared" si="414"/>
        <v>0</v>
      </c>
      <c r="AB181" s="36">
        <f t="shared" si="414"/>
        <v>0</v>
      </c>
      <c r="AC181" s="36">
        <f t="shared" si="414"/>
        <v>0</v>
      </c>
      <c r="AD181" s="36">
        <f t="shared" si="414"/>
        <v>0</v>
      </c>
      <c r="AE181" s="36">
        <f t="shared" si="414"/>
        <v>0</v>
      </c>
      <c r="AF181" s="36">
        <f t="shared" si="414"/>
        <v>0</v>
      </c>
      <c r="AG181" s="36">
        <f t="shared" si="414"/>
        <v>0</v>
      </c>
      <c r="AH181" s="36">
        <f t="shared" si="414"/>
        <v>0</v>
      </c>
      <c r="BH181" s="2" t="s">
        <v>578</v>
      </c>
      <c r="BI181" s="2">
        <v>1000</v>
      </c>
      <c r="BJ181" s="2">
        <v>300</v>
      </c>
      <c r="BN181" s="2">
        <v>512</v>
      </c>
      <c r="CC181" s="2">
        <v>63</v>
      </c>
      <c r="CD181" s="2">
        <v>2.2029999999999998</v>
      </c>
    </row>
    <row r="182" spans="2:82" ht="17.399999999999999" thickBot="1">
      <c r="B182" s="40" t="s">
        <v>558</v>
      </c>
      <c r="C182" s="41"/>
      <c r="D182" s="42">
        <f>D179/12</f>
        <v>0</v>
      </c>
      <c r="E182" s="42">
        <f t="shared" ref="E182:AH182" si="415">E179/12</f>
        <v>0</v>
      </c>
      <c r="F182" s="42">
        <f t="shared" si="415"/>
        <v>0</v>
      </c>
      <c r="G182" s="42">
        <f t="shared" si="415"/>
        <v>0</v>
      </c>
      <c r="H182" s="42">
        <f t="shared" si="415"/>
        <v>0</v>
      </c>
      <c r="I182" s="42">
        <f t="shared" si="415"/>
        <v>0</v>
      </c>
      <c r="J182" s="42">
        <f t="shared" si="415"/>
        <v>0</v>
      </c>
      <c r="K182" s="42">
        <f t="shared" si="415"/>
        <v>0</v>
      </c>
      <c r="L182" s="42">
        <f t="shared" si="415"/>
        <v>0</v>
      </c>
      <c r="M182" s="42">
        <f t="shared" si="415"/>
        <v>0</v>
      </c>
      <c r="N182" s="42">
        <f t="shared" si="415"/>
        <v>0</v>
      </c>
      <c r="O182" s="42">
        <f t="shared" si="415"/>
        <v>0</v>
      </c>
      <c r="P182" s="42">
        <f t="shared" si="415"/>
        <v>0</v>
      </c>
      <c r="Q182" s="42">
        <f t="shared" si="415"/>
        <v>0</v>
      </c>
      <c r="R182" s="42">
        <f t="shared" si="415"/>
        <v>0</v>
      </c>
      <c r="S182" s="42">
        <f t="shared" si="415"/>
        <v>0</v>
      </c>
      <c r="T182" s="42">
        <f t="shared" si="415"/>
        <v>0</v>
      </c>
      <c r="U182" s="42">
        <f t="shared" si="415"/>
        <v>0</v>
      </c>
      <c r="V182" s="42">
        <f t="shared" si="415"/>
        <v>0</v>
      </c>
      <c r="W182" s="42">
        <f t="shared" si="415"/>
        <v>0</v>
      </c>
      <c r="X182" s="42">
        <f t="shared" si="415"/>
        <v>0</v>
      </c>
      <c r="Y182" s="42">
        <f t="shared" si="415"/>
        <v>0</v>
      </c>
      <c r="Z182" s="42">
        <f t="shared" si="415"/>
        <v>0</v>
      </c>
      <c r="AA182" s="42">
        <f t="shared" si="415"/>
        <v>0</v>
      </c>
      <c r="AB182" s="42">
        <f t="shared" si="415"/>
        <v>0</v>
      </c>
      <c r="AC182" s="42">
        <f t="shared" si="415"/>
        <v>0</v>
      </c>
      <c r="AD182" s="42">
        <f t="shared" si="415"/>
        <v>0</v>
      </c>
      <c r="AE182" s="42">
        <f t="shared" si="415"/>
        <v>0</v>
      </c>
      <c r="AF182" s="42">
        <f t="shared" si="415"/>
        <v>0</v>
      </c>
      <c r="AG182" s="42">
        <f t="shared" si="415"/>
        <v>0</v>
      </c>
      <c r="AH182" s="42">
        <f t="shared" si="415"/>
        <v>0</v>
      </c>
      <c r="BH182" s="2" t="s">
        <v>578</v>
      </c>
      <c r="BI182" s="2">
        <v>1100</v>
      </c>
      <c r="BJ182" s="2">
        <v>300</v>
      </c>
      <c r="BN182" s="2">
        <v>563</v>
      </c>
      <c r="CC182" s="2">
        <v>64</v>
      </c>
      <c r="CD182" s="2">
        <v>2.2810999999999999</v>
      </c>
    </row>
    <row r="183" spans="2:82">
      <c r="BH183" s="2" t="s">
        <v>578</v>
      </c>
      <c r="BI183" s="2">
        <v>1200</v>
      </c>
      <c r="BJ183" s="2">
        <v>300</v>
      </c>
      <c r="BN183" s="2">
        <v>615</v>
      </c>
      <c r="CC183" s="2">
        <v>65</v>
      </c>
      <c r="CD183" s="2">
        <v>2.3666</v>
      </c>
    </row>
    <row r="184" spans="2:82" ht="17.399999999999999" thickBot="1">
      <c r="BH184" s="2" t="s">
        <v>578</v>
      </c>
      <c r="BI184" s="2">
        <v>1400</v>
      </c>
      <c r="BJ184" s="2">
        <v>300</v>
      </c>
      <c r="BN184" s="2">
        <v>717</v>
      </c>
      <c r="CC184" s="2">
        <v>66</v>
      </c>
      <c r="CD184" s="2">
        <v>2.4584999999999999</v>
      </c>
    </row>
    <row r="185" spans="2:82" ht="19.2" thickBot="1">
      <c r="B185" s="68" t="s">
        <v>580</v>
      </c>
      <c r="C185" s="4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3"/>
      <c r="AE185" s="43"/>
      <c r="AF185" s="43"/>
      <c r="AG185" s="43"/>
      <c r="AH185" s="43"/>
      <c r="BH185" s="2" t="s">
        <v>578</v>
      </c>
      <c r="BI185" s="2">
        <v>1600</v>
      </c>
      <c r="BJ185" s="2">
        <v>300</v>
      </c>
      <c r="BN185" s="2">
        <v>819</v>
      </c>
      <c r="CC185" s="2">
        <v>67</v>
      </c>
      <c r="CD185" s="2">
        <v>2.5592999999999999</v>
      </c>
    </row>
    <row r="186" spans="2:82" ht="17.399999999999999" thickBot="1">
      <c r="B186" s="56" t="s">
        <v>339</v>
      </c>
      <c r="C186" s="57"/>
      <c r="D186" s="58">
        <v>1</v>
      </c>
      <c r="E186" s="59">
        <v>2</v>
      </c>
      <c r="F186" s="59">
        <v>3</v>
      </c>
      <c r="G186" s="58">
        <v>4</v>
      </c>
      <c r="H186" s="59">
        <v>5</v>
      </c>
      <c r="I186" s="59">
        <v>6</v>
      </c>
      <c r="J186" s="58">
        <v>7</v>
      </c>
      <c r="K186" s="59">
        <v>8</v>
      </c>
      <c r="L186" s="59">
        <v>9</v>
      </c>
      <c r="M186" s="58">
        <v>10</v>
      </c>
      <c r="N186" s="59">
        <v>11</v>
      </c>
      <c r="O186" s="59">
        <v>12</v>
      </c>
      <c r="P186" s="58">
        <v>13</v>
      </c>
      <c r="Q186" s="59">
        <v>14</v>
      </c>
      <c r="R186" s="59">
        <v>15</v>
      </c>
      <c r="S186" s="58">
        <v>16</v>
      </c>
      <c r="T186" s="59">
        <v>17</v>
      </c>
      <c r="U186" s="59">
        <v>18</v>
      </c>
      <c r="V186" s="58">
        <v>19</v>
      </c>
      <c r="W186" s="59">
        <v>20</v>
      </c>
      <c r="X186" s="59">
        <v>21</v>
      </c>
      <c r="Y186" s="58">
        <v>22</v>
      </c>
      <c r="Z186" s="59">
        <v>23</v>
      </c>
      <c r="AA186" s="59">
        <v>24</v>
      </c>
      <c r="AB186" s="58">
        <v>25</v>
      </c>
      <c r="AC186" s="59">
        <v>26</v>
      </c>
      <c r="AD186" s="59">
        <v>27</v>
      </c>
      <c r="AE186" s="58">
        <v>28</v>
      </c>
      <c r="AF186" s="59">
        <v>29</v>
      </c>
      <c r="AG186" s="59">
        <v>30</v>
      </c>
      <c r="AH186" s="60">
        <v>31</v>
      </c>
      <c r="BH186" s="2" t="s">
        <v>578</v>
      </c>
      <c r="BI186" s="2">
        <v>1800</v>
      </c>
      <c r="BJ186" s="2">
        <v>300</v>
      </c>
      <c r="BN186" s="2">
        <v>922</v>
      </c>
      <c r="CC186" s="2">
        <v>68</v>
      </c>
      <c r="CD186" s="2">
        <v>2.6694</v>
      </c>
    </row>
    <row r="187" spans="2:82">
      <c r="B187" s="69" t="s">
        <v>548</v>
      </c>
      <c r="C187" s="70"/>
      <c r="D187" s="45">
        <f>SUM(D188:D190)</f>
        <v>0</v>
      </c>
      <c r="E187" s="45">
        <f t="shared" ref="E187:AH187" si="416">SUM(E188:E190)</f>
        <v>0</v>
      </c>
      <c r="F187" s="45">
        <f t="shared" si="416"/>
        <v>0</v>
      </c>
      <c r="G187" s="45">
        <f t="shared" si="416"/>
        <v>0</v>
      </c>
      <c r="H187" s="45">
        <f t="shared" si="416"/>
        <v>0</v>
      </c>
      <c r="I187" s="45">
        <f t="shared" si="416"/>
        <v>0</v>
      </c>
      <c r="J187" s="45">
        <f t="shared" si="416"/>
        <v>0</v>
      </c>
      <c r="K187" s="45">
        <f t="shared" si="416"/>
        <v>0</v>
      </c>
      <c r="L187" s="45">
        <f t="shared" si="416"/>
        <v>0</v>
      </c>
      <c r="M187" s="45">
        <f t="shared" si="416"/>
        <v>0</v>
      </c>
      <c r="N187" s="45">
        <f t="shared" si="416"/>
        <v>0</v>
      </c>
      <c r="O187" s="45">
        <f t="shared" si="416"/>
        <v>0</v>
      </c>
      <c r="P187" s="45">
        <f t="shared" si="416"/>
        <v>0</v>
      </c>
      <c r="Q187" s="45">
        <f t="shared" si="416"/>
        <v>0</v>
      </c>
      <c r="R187" s="45">
        <f t="shared" si="416"/>
        <v>0</v>
      </c>
      <c r="S187" s="45">
        <f t="shared" si="416"/>
        <v>0</v>
      </c>
      <c r="T187" s="45">
        <f t="shared" si="416"/>
        <v>0</v>
      </c>
      <c r="U187" s="45">
        <f t="shared" si="416"/>
        <v>0</v>
      </c>
      <c r="V187" s="45">
        <f t="shared" si="416"/>
        <v>0</v>
      </c>
      <c r="W187" s="45">
        <f t="shared" si="416"/>
        <v>0</v>
      </c>
      <c r="X187" s="45">
        <f t="shared" si="416"/>
        <v>0</v>
      </c>
      <c r="Y187" s="45">
        <f t="shared" si="416"/>
        <v>0</v>
      </c>
      <c r="Z187" s="45">
        <f t="shared" si="416"/>
        <v>0</v>
      </c>
      <c r="AA187" s="45">
        <f t="shared" si="416"/>
        <v>0</v>
      </c>
      <c r="AB187" s="45">
        <f t="shared" si="416"/>
        <v>0</v>
      </c>
      <c r="AC187" s="45">
        <f t="shared" si="416"/>
        <v>0</v>
      </c>
      <c r="AD187" s="45">
        <f t="shared" si="416"/>
        <v>0</v>
      </c>
      <c r="AE187" s="45">
        <f t="shared" si="416"/>
        <v>0</v>
      </c>
      <c r="AF187" s="45">
        <f t="shared" si="416"/>
        <v>0</v>
      </c>
      <c r="AG187" s="45">
        <f t="shared" si="416"/>
        <v>0</v>
      </c>
      <c r="AH187" s="45">
        <f t="shared" si="416"/>
        <v>0</v>
      </c>
      <c r="BH187" s="2" t="s">
        <v>578</v>
      </c>
      <c r="BI187" s="2">
        <v>2000</v>
      </c>
      <c r="BJ187" s="2">
        <v>300</v>
      </c>
      <c r="BN187" s="2">
        <v>1024</v>
      </c>
      <c r="CC187" s="2">
        <v>69</v>
      </c>
      <c r="CD187" s="2">
        <v>2.7904</v>
      </c>
    </row>
    <row r="188" spans="2:82">
      <c r="B188" s="38" t="s">
        <v>582</v>
      </c>
      <c r="C188" s="39"/>
      <c r="D188" s="45">
        <f>D138</f>
        <v>0</v>
      </c>
      <c r="E188" s="45">
        <f>E138</f>
        <v>0</v>
      </c>
      <c r="F188" s="45">
        <f t="shared" ref="F188:AH188" si="417">F138</f>
        <v>0</v>
      </c>
      <c r="G188" s="45">
        <f t="shared" si="417"/>
        <v>0</v>
      </c>
      <c r="H188" s="45">
        <f t="shared" si="417"/>
        <v>0</v>
      </c>
      <c r="I188" s="45">
        <f t="shared" si="417"/>
        <v>0</v>
      </c>
      <c r="J188" s="45">
        <f t="shared" si="417"/>
        <v>0</v>
      </c>
      <c r="K188" s="45">
        <f t="shared" si="417"/>
        <v>0</v>
      </c>
      <c r="L188" s="45">
        <f t="shared" si="417"/>
        <v>0</v>
      </c>
      <c r="M188" s="45">
        <f t="shared" si="417"/>
        <v>0</v>
      </c>
      <c r="N188" s="45">
        <f t="shared" si="417"/>
        <v>0</v>
      </c>
      <c r="O188" s="45">
        <f t="shared" si="417"/>
        <v>0</v>
      </c>
      <c r="P188" s="45">
        <f t="shared" si="417"/>
        <v>0</v>
      </c>
      <c r="Q188" s="45">
        <f t="shared" si="417"/>
        <v>0</v>
      </c>
      <c r="R188" s="45">
        <f t="shared" si="417"/>
        <v>0</v>
      </c>
      <c r="S188" s="45">
        <f t="shared" si="417"/>
        <v>0</v>
      </c>
      <c r="T188" s="45">
        <f t="shared" si="417"/>
        <v>0</v>
      </c>
      <c r="U188" s="45">
        <f t="shared" si="417"/>
        <v>0</v>
      </c>
      <c r="V188" s="45">
        <f t="shared" si="417"/>
        <v>0</v>
      </c>
      <c r="W188" s="45">
        <f t="shared" si="417"/>
        <v>0</v>
      </c>
      <c r="X188" s="45">
        <f t="shared" si="417"/>
        <v>0</v>
      </c>
      <c r="Y188" s="45">
        <f t="shared" si="417"/>
        <v>0</v>
      </c>
      <c r="Z188" s="45">
        <f t="shared" si="417"/>
        <v>0</v>
      </c>
      <c r="AA188" s="45">
        <f t="shared" si="417"/>
        <v>0</v>
      </c>
      <c r="AB188" s="45">
        <f t="shared" si="417"/>
        <v>0</v>
      </c>
      <c r="AC188" s="45">
        <f t="shared" si="417"/>
        <v>0</v>
      </c>
      <c r="AD188" s="45">
        <f t="shared" si="417"/>
        <v>0</v>
      </c>
      <c r="AE188" s="45">
        <f t="shared" si="417"/>
        <v>0</v>
      </c>
      <c r="AF188" s="45">
        <f t="shared" si="417"/>
        <v>0</v>
      </c>
      <c r="AG188" s="45">
        <f t="shared" si="417"/>
        <v>0</v>
      </c>
      <c r="AH188" s="45">
        <f t="shared" si="417"/>
        <v>0</v>
      </c>
      <c r="BH188" s="2" t="s">
        <v>578</v>
      </c>
      <c r="BI188" s="2">
        <v>2200</v>
      </c>
      <c r="BJ188" s="2">
        <v>300</v>
      </c>
      <c r="BN188" s="2">
        <v>1127</v>
      </c>
      <c r="CC188" s="2">
        <v>70</v>
      </c>
      <c r="CD188" s="2">
        <v>2.9238</v>
      </c>
    </row>
    <row r="189" spans="2:82">
      <c r="B189" s="38" t="s">
        <v>583</v>
      </c>
      <c r="C189" s="39"/>
      <c r="D189" s="45">
        <f>D155</f>
        <v>0</v>
      </c>
      <c r="E189" s="45">
        <f t="shared" ref="E189:AH189" si="418">E155</f>
        <v>0</v>
      </c>
      <c r="F189" s="45">
        <f t="shared" si="418"/>
        <v>0</v>
      </c>
      <c r="G189" s="45">
        <f t="shared" si="418"/>
        <v>0</v>
      </c>
      <c r="H189" s="45">
        <f t="shared" si="418"/>
        <v>0</v>
      </c>
      <c r="I189" s="45">
        <f t="shared" si="418"/>
        <v>0</v>
      </c>
      <c r="J189" s="45">
        <f t="shared" si="418"/>
        <v>0</v>
      </c>
      <c r="K189" s="45">
        <f t="shared" si="418"/>
        <v>0</v>
      </c>
      <c r="L189" s="45">
        <f t="shared" si="418"/>
        <v>0</v>
      </c>
      <c r="M189" s="45">
        <f t="shared" si="418"/>
        <v>0</v>
      </c>
      <c r="N189" s="45">
        <f t="shared" si="418"/>
        <v>0</v>
      </c>
      <c r="O189" s="45">
        <f t="shared" si="418"/>
        <v>0</v>
      </c>
      <c r="P189" s="45">
        <f t="shared" si="418"/>
        <v>0</v>
      </c>
      <c r="Q189" s="45">
        <f t="shared" si="418"/>
        <v>0</v>
      </c>
      <c r="R189" s="45">
        <f t="shared" si="418"/>
        <v>0</v>
      </c>
      <c r="S189" s="45">
        <f t="shared" si="418"/>
        <v>0</v>
      </c>
      <c r="T189" s="45">
        <f t="shared" si="418"/>
        <v>0</v>
      </c>
      <c r="U189" s="45">
        <f t="shared" si="418"/>
        <v>0</v>
      </c>
      <c r="V189" s="45">
        <f t="shared" si="418"/>
        <v>0</v>
      </c>
      <c r="W189" s="45">
        <f t="shared" si="418"/>
        <v>0</v>
      </c>
      <c r="X189" s="45">
        <f t="shared" si="418"/>
        <v>0</v>
      </c>
      <c r="Y189" s="45">
        <f t="shared" si="418"/>
        <v>0</v>
      </c>
      <c r="Z189" s="45">
        <f t="shared" si="418"/>
        <v>0</v>
      </c>
      <c r="AA189" s="45">
        <f t="shared" si="418"/>
        <v>0</v>
      </c>
      <c r="AB189" s="45">
        <f t="shared" si="418"/>
        <v>0</v>
      </c>
      <c r="AC189" s="45">
        <f t="shared" si="418"/>
        <v>0</v>
      </c>
      <c r="AD189" s="45">
        <f t="shared" si="418"/>
        <v>0</v>
      </c>
      <c r="AE189" s="45">
        <f t="shared" si="418"/>
        <v>0</v>
      </c>
      <c r="AF189" s="45">
        <f t="shared" si="418"/>
        <v>0</v>
      </c>
      <c r="AG189" s="45">
        <f t="shared" si="418"/>
        <v>0</v>
      </c>
      <c r="AH189" s="45">
        <f t="shared" si="418"/>
        <v>0</v>
      </c>
      <c r="BH189" s="2" t="s">
        <v>578</v>
      </c>
      <c r="BI189" s="2">
        <v>2300</v>
      </c>
      <c r="BJ189" s="2">
        <v>300</v>
      </c>
      <c r="BN189" s="2">
        <v>1160</v>
      </c>
    </row>
    <row r="190" spans="2:82">
      <c r="B190" s="38" t="s">
        <v>584</v>
      </c>
      <c r="C190" s="39"/>
      <c r="D190" s="45">
        <f>D172</f>
        <v>0</v>
      </c>
      <c r="E190" s="45">
        <f t="shared" ref="E190:AH190" si="419">E172</f>
        <v>0</v>
      </c>
      <c r="F190" s="45">
        <f t="shared" si="419"/>
        <v>0</v>
      </c>
      <c r="G190" s="45">
        <f t="shared" si="419"/>
        <v>0</v>
      </c>
      <c r="H190" s="45">
        <f t="shared" si="419"/>
        <v>0</v>
      </c>
      <c r="I190" s="45">
        <f t="shared" si="419"/>
        <v>0</v>
      </c>
      <c r="J190" s="45">
        <f t="shared" si="419"/>
        <v>0</v>
      </c>
      <c r="K190" s="45">
        <f t="shared" si="419"/>
        <v>0</v>
      </c>
      <c r="L190" s="45">
        <f t="shared" si="419"/>
        <v>0</v>
      </c>
      <c r="M190" s="45">
        <f t="shared" si="419"/>
        <v>0</v>
      </c>
      <c r="N190" s="45">
        <f t="shared" si="419"/>
        <v>0</v>
      </c>
      <c r="O190" s="45">
        <f t="shared" si="419"/>
        <v>0</v>
      </c>
      <c r="P190" s="45">
        <f t="shared" si="419"/>
        <v>0</v>
      </c>
      <c r="Q190" s="45">
        <f t="shared" si="419"/>
        <v>0</v>
      </c>
      <c r="R190" s="45">
        <f t="shared" si="419"/>
        <v>0</v>
      </c>
      <c r="S190" s="45">
        <f t="shared" si="419"/>
        <v>0</v>
      </c>
      <c r="T190" s="45">
        <f t="shared" si="419"/>
        <v>0</v>
      </c>
      <c r="U190" s="45">
        <f t="shared" si="419"/>
        <v>0</v>
      </c>
      <c r="V190" s="45">
        <f t="shared" si="419"/>
        <v>0</v>
      </c>
      <c r="W190" s="45">
        <f t="shared" si="419"/>
        <v>0</v>
      </c>
      <c r="X190" s="45">
        <f t="shared" si="419"/>
        <v>0</v>
      </c>
      <c r="Y190" s="45">
        <f t="shared" si="419"/>
        <v>0</v>
      </c>
      <c r="Z190" s="45">
        <f t="shared" si="419"/>
        <v>0</v>
      </c>
      <c r="AA190" s="45">
        <f t="shared" si="419"/>
        <v>0</v>
      </c>
      <c r="AB190" s="45">
        <f t="shared" si="419"/>
        <v>0</v>
      </c>
      <c r="AC190" s="45">
        <f t="shared" si="419"/>
        <v>0</v>
      </c>
      <c r="AD190" s="45">
        <f t="shared" si="419"/>
        <v>0</v>
      </c>
      <c r="AE190" s="45">
        <f t="shared" si="419"/>
        <v>0</v>
      </c>
      <c r="AF190" s="45">
        <f t="shared" si="419"/>
        <v>0</v>
      </c>
      <c r="AG190" s="45">
        <f t="shared" si="419"/>
        <v>0</v>
      </c>
      <c r="AH190" s="45">
        <f t="shared" si="419"/>
        <v>0</v>
      </c>
      <c r="BH190" s="2" t="s">
        <v>578</v>
      </c>
      <c r="BI190" s="2">
        <v>2600</v>
      </c>
      <c r="BJ190" s="2">
        <v>300</v>
      </c>
      <c r="BN190" s="2">
        <v>1311</v>
      </c>
    </row>
    <row r="191" spans="2:82">
      <c r="B191" s="46"/>
      <c r="BH191" s="2" t="s">
        <v>578</v>
      </c>
      <c r="BI191" s="2">
        <v>3000</v>
      </c>
      <c r="BJ191" s="2">
        <v>300</v>
      </c>
      <c r="BN191" s="2">
        <v>1513</v>
      </c>
    </row>
    <row r="192" spans="2:82">
      <c r="B192" s="31" t="s">
        <v>549</v>
      </c>
      <c r="C192" s="32"/>
      <c r="D192" s="36">
        <f>D173+D156+D139</f>
        <v>0</v>
      </c>
      <c r="E192" s="36">
        <f t="shared" ref="E192:AH192" si="420">E173+E156+E139</f>
        <v>0</v>
      </c>
      <c r="F192" s="36">
        <f t="shared" si="420"/>
        <v>0</v>
      </c>
      <c r="G192" s="36">
        <f t="shared" si="420"/>
        <v>0</v>
      </c>
      <c r="H192" s="36">
        <f t="shared" si="420"/>
        <v>0</v>
      </c>
      <c r="I192" s="36">
        <f t="shared" si="420"/>
        <v>0</v>
      </c>
      <c r="J192" s="36">
        <f t="shared" si="420"/>
        <v>0</v>
      </c>
      <c r="K192" s="36">
        <f t="shared" si="420"/>
        <v>0</v>
      </c>
      <c r="L192" s="36">
        <f t="shared" si="420"/>
        <v>0</v>
      </c>
      <c r="M192" s="36">
        <f t="shared" si="420"/>
        <v>0</v>
      </c>
      <c r="N192" s="36">
        <f t="shared" si="420"/>
        <v>0</v>
      </c>
      <c r="O192" s="36">
        <f t="shared" si="420"/>
        <v>0</v>
      </c>
      <c r="P192" s="36">
        <f t="shared" si="420"/>
        <v>0</v>
      </c>
      <c r="Q192" s="36">
        <f t="shared" si="420"/>
        <v>0</v>
      </c>
      <c r="R192" s="36">
        <f t="shared" si="420"/>
        <v>0</v>
      </c>
      <c r="S192" s="36">
        <f t="shared" si="420"/>
        <v>0</v>
      </c>
      <c r="T192" s="36">
        <f t="shared" si="420"/>
        <v>0</v>
      </c>
      <c r="U192" s="36">
        <f t="shared" si="420"/>
        <v>0</v>
      </c>
      <c r="V192" s="36">
        <f t="shared" si="420"/>
        <v>0</v>
      </c>
      <c r="W192" s="36">
        <f t="shared" si="420"/>
        <v>0</v>
      </c>
      <c r="X192" s="36">
        <f t="shared" si="420"/>
        <v>0</v>
      </c>
      <c r="Y192" s="36">
        <f t="shared" si="420"/>
        <v>0</v>
      </c>
      <c r="Z192" s="36">
        <f t="shared" si="420"/>
        <v>0</v>
      </c>
      <c r="AA192" s="36">
        <f t="shared" si="420"/>
        <v>0</v>
      </c>
      <c r="AB192" s="36">
        <f t="shared" si="420"/>
        <v>0</v>
      </c>
      <c r="AC192" s="36">
        <f t="shared" si="420"/>
        <v>0</v>
      </c>
      <c r="AD192" s="36">
        <f t="shared" si="420"/>
        <v>0</v>
      </c>
      <c r="AE192" s="36">
        <f t="shared" si="420"/>
        <v>0</v>
      </c>
      <c r="AF192" s="36">
        <f t="shared" si="420"/>
        <v>0</v>
      </c>
      <c r="AG192" s="36">
        <f t="shared" si="420"/>
        <v>0</v>
      </c>
      <c r="AH192" s="36">
        <f t="shared" si="420"/>
        <v>0</v>
      </c>
      <c r="BH192" s="2" t="s">
        <v>578</v>
      </c>
      <c r="BI192" s="2">
        <v>400</v>
      </c>
      <c r="BJ192" s="2">
        <v>400</v>
      </c>
      <c r="BN192" s="2">
        <v>259</v>
      </c>
    </row>
    <row r="193" spans="2:66">
      <c r="B193" s="48" t="s">
        <v>585</v>
      </c>
      <c r="C193" s="49"/>
      <c r="D193" s="36">
        <f>D192</f>
        <v>0</v>
      </c>
      <c r="E193" s="36">
        <f>D193+E192</f>
        <v>0</v>
      </c>
      <c r="F193" s="36">
        <f>E193+F192</f>
        <v>0</v>
      </c>
      <c r="G193" s="36">
        <f>F193+G192</f>
        <v>0</v>
      </c>
      <c r="H193" s="36">
        <f>G193+H192</f>
        <v>0</v>
      </c>
      <c r="I193" s="36">
        <f t="shared" ref="I193" si="421">H193+I192</f>
        <v>0</v>
      </c>
      <c r="J193" s="36">
        <f>I193+J192</f>
        <v>0</v>
      </c>
      <c r="K193" s="36">
        <f t="shared" ref="K193" si="422">J193+K192</f>
        <v>0</v>
      </c>
      <c r="L193" s="36">
        <f t="shared" ref="L193" si="423">K193+L192</f>
        <v>0</v>
      </c>
      <c r="M193" s="36">
        <f t="shared" ref="M193" si="424">L193+M192</f>
        <v>0</v>
      </c>
      <c r="N193" s="36">
        <f t="shared" ref="N193" si="425">M193+N192</f>
        <v>0</v>
      </c>
      <c r="O193" s="36">
        <f t="shared" ref="O193" si="426">N193+O192</f>
        <v>0</v>
      </c>
      <c r="P193" s="36">
        <f t="shared" ref="P193" si="427">O193+P192</f>
        <v>0</v>
      </c>
      <c r="Q193" s="36">
        <f t="shared" ref="Q193" si="428">P193+Q192</f>
        <v>0</v>
      </c>
      <c r="R193" s="36">
        <f t="shared" ref="R193" si="429">Q193+R192</f>
        <v>0</v>
      </c>
      <c r="S193" s="36">
        <f t="shared" ref="S193" si="430">R193+S192</f>
        <v>0</v>
      </c>
      <c r="T193" s="36">
        <f t="shared" ref="T193" si="431">S193+T192</f>
        <v>0</v>
      </c>
      <c r="U193" s="36">
        <f t="shared" ref="U193" si="432">T193+U192</f>
        <v>0</v>
      </c>
      <c r="V193" s="36">
        <f t="shared" ref="V193" si="433">U193+V192</f>
        <v>0</v>
      </c>
      <c r="W193" s="36">
        <f t="shared" ref="W193" si="434">V193+W192</f>
        <v>0</v>
      </c>
      <c r="X193" s="36">
        <f t="shared" ref="X193" si="435">W193+X192</f>
        <v>0</v>
      </c>
      <c r="Y193" s="36">
        <f t="shared" ref="Y193" si="436">X193+Y192</f>
        <v>0</v>
      </c>
      <c r="Z193" s="36">
        <f t="shared" ref="Z193" si="437">Y193+Z192</f>
        <v>0</v>
      </c>
      <c r="AA193" s="36">
        <f t="shared" ref="AA193" si="438">Z193+AA192</f>
        <v>0</v>
      </c>
      <c r="AB193" s="36">
        <f t="shared" ref="AB193" si="439">AA193+AB192</f>
        <v>0</v>
      </c>
      <c r="AC193" s="36">
        <f t="shared" ref="AC193" si="440">AB193+AC192</f>
        <v>0</v>
      </c>
      <c r="AD193" s="36">
        <f t="shared" ref="AD193" si="441">AC193+AD192</f>
        <v>0</v>
      </c>
      <c r="AE193" s="36">
        <f t="shared" ref="AE193" si="442">AD193+AE192</f>
        <v>0</v>
      </c>
      <c r="AF193" s="36">
        <f>AE193+AF192</f>
        <v>0</v>
      </c>
      <c r="AG193" s="36">
        <f t="shared" ref="AG193" si="443">AF193+AG192</f>
        <v>0</v>
      </c>
      <c r="AH193" s="36">
        <f t="shared" ref="AH193" si="444">AG193+AH192</f>
        <v>0</v>
      </c>
      <c r="BH193" s="2" t="s">
        <v>578</v>
      </c>
      <c r="BI193" s="2">
        <v>500</v>
      </c>
      <c r="BJ193" s="2">
        <v>400</v>
      </c>
      <c r="BN193" s="2">
        <v>324</v>
      </c>
    </row>
    <row r="194" spans="2:66">
      <c r="B194" s="48" t="s">
        <v>586</v>
      </c>
      <c r="C194" s="49"/>
      <c r="D194" s="50">
        <f>IF(D187=0,0,D192/D187)</f>
        <v>0</v>
      </c>
      <c r="E194" s="50">
        <f t="shared" ref="E194:AH194" si="445">IF(E187=0,0,E192/E187)</f>
        <v>0</v>
      </c>
      <c r="F194" s="50">
        <f t="shared" si="445"/>
        <v>0</v>
      </c>
      <c r="G194" s="50">
        <f t="shared" si="445"/>
        <v>0</v>
      </c>
      <c r="H194" s="50">
        <f t="shared" si="445"/>
        <v>0</v>
      </c>
      <c r="I194" s="50">
        <f t="shared" si="445"/>
        <v>0</v>
      </c>
      <c r="J194" s="50">
        <f t="shared" si="445"/>
        <v>0</v>
      </c>
      <c r="K194" s="50">
        <f t="shared" si="445"/>
        <v>0</v>
      </c>
      <c r="L194" s="50">
        <f t="shared" si="445"/>
        <v>0</v>
      </c>
      <c r="M194" s="50">
        <f t="shared" si="445"/>
        <v>0</v>
      </c>
      <c r="N194" s="50">
        <f t="shared" si="445"/>
        <v>0</v>
      </c>
      <c r="O194" s="50">
        <f t="shared" si="445"/>
        <v>0</v>
      </c>
      <c r="P194" s="50">
        <f t="shared" si="445"/>
        <v>0</v>
      </c>
      <c r="Q194" s="50">
        <f t="shared" si="445"/>
        <v>0</v>
      </c>
      <c r="R194" s="50">
        <f t="shared" si="445"/>
        <v>0</v>
      </c>
      <c r="S194" s="50">
        <f t="shared" si="445"/>
        <v>0</v>
      </c>
      <c r="T194" s="50">
        <f t="shared" si="445"/>
        <v>0</v>
      </c>
      <c r="U194" s="50">
        <f t="shared" si="445"/>
        <v>0</v>
      </c>
      <c r="V194" s="50">
        <f t="shared" si="445"/>
        <v>0</v>
      </c>
      <c r="W194" s="50">
        <f t="shared" si="445"/>
        <v>0</v>
      </c>
      <c r="X194" s="50">
        <f t="shared" si="445"/>
        <v>0</v>
      </c>
      <c r="Y194" s="50">
        <f t="shared" si="445"/>
        <v>0</v>
      </c>
      <c r="Z194" s="50">
        <f t="shared" si="445"/>
        <v>0</v>
      </c>
      <c r="AA194" s="50">
        <f t="shared" si="445"/>
        <v>0</v>
      </c>
      <c r="AB194" s="50">
        <f t="shared" si="445"/>
        <v>0</v>
      </c>
      <c r="AC194" s="50">
        <f t="shared" si="445"/>
        <v>0</v>
      </c>
      <c r="AD194" s="50">
        <f t="shared" si="445"/>
        <v>0</v>
      </c>
      <c r="AE194" s="50">
        <f t="shared" si="445"/>
        <v>0</v>
      </c>
      <c r="AF194" s="50">
        <f t="shared" si="445"/>
        <v>0</v>
      </c>
      <c r="AG194" s="50">
        <f t="shared" si="445"/>
        <v>0</v>
      </c>
      <c r="AH194" s="50">
        <f t="shared" si="445"/>
        <v>0</v>
      </c>
      <c r="BH194" s="2" t="s">
        <v>578</v>
      </c>
      <c r="BI194" s="2">
        <v>600</v>
      </c>
      <c r="BJ194" s="2">
        <v>400</v>
      </c>
      <c r="BN194" s="2">
        <v>389</v>
      </c>
    </row>
    <row r="195" spans="2:66">
      <c r="B195" s="48"/>
      <c r="C195" s="49"/>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BH195" s="2" t="s">
        <v>578</v>
      </c>
      <c r="BI195" s="2">
        <v>700</v>
      </c>
      <c r="BJ195" s="2">
        <v>400</v>
      </c>
      <c r="BN195" s="2">
        <v>453</v>
      </c>
    </row>
    <row r="196" spans="2:66">
      <c r="B196" s="31" t="s">
        <v>587</v>
      </c>
      <c r="C196" s="32"/>
      <c r="D196" s="36">
        <f>D176+D159+D142</f>
        <v>0</v>
      </c>
      <c r="E196" s="36">
        <f t="shared" ref="E196:AH196" si="446">E176+E159+E142</f>
        <v>0</v>
      </c>
      <c r="F196" s="36">
        <f t="shared" si="446"/>
        <v>0</v>
      </c>
      <c r="G196" s="36">
        <f t="shared" si="446"/>
        <v>0</v>
      </c>
      <c r="H196" s="36">
        <f t="shared" si="446"/>
        <v>0</v>
      </c>
      <c r="I196" s="36">
        <f t="shared" si="446"/>
        <v>0</v>
      </c>
      <c r="J196" s="36">
        <f t="shared" si="446"/>
        <v>0</v>
      </c>
      <c r="K196" s="36">
        <f t="shared" si="446"/>
        <v>0</v>
      </c>
      <c r="L196" s="36">
        <f t="shared" si="446"/>
        <v>0</v>
      </c>
      <c r="M196" s="36">
        <f t="shared" si="446"/>
        <v>0</v>
      </c>
      <c r="N196" s="36">
        <f t="shared" si="446"/>
        <v>0</v>
      </c>
      <c r="O196" s="36">
        <f t="shared" si="446"/>
        <v>0</v>
      </c>
      <c r="P196" s="36">
        <f t="shared" si="446"/>
        <v>0</v>
      </c>
      <c r="Q196" s="36">
        <f t="shared" si="446"/>
        <v>0</v>
      </c>
      <c r="R196" s="36">
        <f t="shared" si="446"/>
        <v>0</v>
      </c>
      <c r="S196" s="36">
        <f t="shared" si="446"/>
        <v>0</v>
      </c>
      <c r="T196" s="36">
        <f t="shared" si="446"/>
        <v>0</v>
      </c>
      <c r="U196" s="36">
        <f t="shared" si="446"/>
        <v>0</v>
      </c>
      <c r="V196" s="36">
        <f t="shared" si="446"/>
        <v>0</v>
      </c>
      <c r="W196" s="36">
        <f t="shared" si="446"/>
        <v>0</v>
      </c>
      <c r="X196" s="36">
        <f t="shared" si="446"/>
        <v>0</v>
      </c>
      <c r="Y196" s="36">
        <f t="shared" si="446"/>
        <v>0</v>
      </c>
      <c r="Z196" s="36">
        <f t="shared" si="446"/>
        <v>0</v>
      </c>
      <c r="AA196" s="36">
        <f t="shared" si="446"/>
        <v>0</v>
      </c>
      <c r="AB196" s="36">
        <f t="shared" si="446"/>
        <v>0</v>
      </c>
      <c r="AC196" s="36">
        <f t="shared" si="446"/>
        <v>0</v>
      </c>
      <c r="AD196" s="36">
        <f t="shared" si="446"/>
        <v>0</v>
      </c>
      <c r="AE196" s="36">
        <f t="shared" si="446"/>
        <v>0</v>
      </c>
      <c r="AF196" s="36">
        <f t="shared" si="446"/>
        <v>0</v>
      </c>
      <c r="AG196" s="36">
        <f t="shared" si="446"/>
        <v>0</v>
      </c>
      <c r="AH196" s="36">
        <f t="shared" si="446"/>
        <v>0</v>
      </c>
      <c r="BH196" s="2" t="s">
        <v>578</v>
      </c>
      <c r="BI196" s="2">
        <v>800</v>
      </c>
      <c r="BJ196" s="2">
        <v>400</v>
      </c>
      <c r="BN196" s="2">
        <v>518</v>
      </c>
    </row>
    <row r="197" spans="2:66">
      <c r="B197" s="38" t="s">
        <v>554</v>
      </c>
      <c r="C197" s="39"/>
      <c r="D197" s="33">
        <f>IF(D187=0,0,D196/D187)</f>
        <v>0</v>
      </c>
      <c r="E197" s="33">
        <f t="shared" ref="E197:AH197" si="447">IF(E187=0,0,E196/E187)</f>
        <v>0</v>
      </c>
      <c r="F197" s="33">
        <f t="shared" si="447"/>
        <v>0</v>
      </c>
      <c r="G197" s="33">
        <f t="shared" si="447"/>
        <v>0</v>
      </c>
      <c r="H197" s="33">
        <f t="shared" si="447"/>
        <v>0</v>
      </c>
      <c r="I197" s="33">
        <f t="shared" si="447"/>
        <v>0</v>
      </c>
      <c r="J197" s="33">
        <f t="shared" si="447"/>
        <v>0</v>
      </c>
      <c r="K197" s="33">
        <f t="shared" si="447"/>
        <v>0</v>
      </c>
      <c r="L197" s="33">
        <f t="shared" si="447"/>
        <v>0</v>
      </c>
      <c r="M197" s="33">
        <f t="shared" si="447"/>
        <v>0</v>
      </c>
      <c r="N197" s="33">
        <f t="shared" si="447"/>
        <v>0</v>
      </c>
      <c r="O197" s="33">
        <f t="shared" si="447"/>
        <v>0</v>
      </c>
      <c r="P197" s="33">
        <f t="shared" si="447"/>
        <v>0</v>
      </c>
      <c r="Q197" s="33">
        <f t="shared" si="447"/>
        <v>0</v>
      </c>
      <c r="R197" s="33">
        <f t="shared" si="447"/>
        <v>0</v>
      </c>
      <c r="S197" s="33">
        <f t="shared" si="447"/>
        <v>0</v>
      </c>
      <c r="T197" s="33">
        <f t="shared" si="447"/>
        <v>0</v>
      </c>
      <c r="U197" s="33">
        <f t="shared" si="447"/>
        <v>0</v>
      </c>
      <c r="V197" s="33">
        <f t="shared" si="447"/>
        <v>0</v>
      </c>
      <c r="W197" s="33">
        <f t="shared" si="447"/>
        <v>0</v>
      </c>
      <c r="X197" s="33">
        <f t="shared" si="447"/>
        <v>0</v>
      </c>
      <c r="Y197" s="33">
        <f t="shared" si="447"/>
        <v>0</v>
      </c>
      <c r="Z197" s="33">
        <f t="shared" si="447"/>
        <v>0</v>
      </c>
      <c r="AA197" s="33">
        <f t="shared" si="447"/>
        <v>0</v>
      </c>
      <c r="AB197" s="33">
        <f t="shared" si="447"/>
        <v>0</v>
      </c>
      <c r="AC197" s="33">
        <f t="shared" si="447"/>
        <v>0</v>
      </c>
      <c r="AD197" s="33">
        <f t="shared" si="447"/>
        <v>0</v>
      </c>
      <c r="AE197" s="33">
        <f t="shared" si="447"/>
        <v>0</v>
      </c>
      <c r="AF197" s="33">
        <f t="shared" si="447"/>
        <v>0</v>
      </c>
      <c r="AG197" s="33">
        <f t="shared" si="447"/>
        <v>0</v>
      </c>
      <c r="AH197" s="33">
        <f t="shared" si="447"/>
        <v>0</v>
      </c>
      <c r="BH197" s="2" t="s">
        <v>578</v>
      </c>
      <c r="BI197" s="2">
        <v>900</v>
      </c>
      <c r="BJ197" s="2">
        <v>400</v>
      </c>
      <c r="BN197" s="2">
        <v>583</v>
      </c>
    </row>
    <row r="198" spans="2:66">
      <c r="B198" s="38"/>
      <c r="C198" s="39"/>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BH198" s="2" t="s">
        <v>578</v>
      </c>
      <c r="BI198" s="2">
        <v>1000</v>
      </c>
      <c r="BJ198" s="2">
        <v>400</v>
      </c>
      <c r="BN198" s="2">
        <v>648</v>
      </c>
    </row>
    <row r="199" spans="2:66">
      <c r="B199" s="31" t="s">
        <v>555</v>
      </c>
      <c r="C199" s="32"/>
      <c r="D199" s="36">
        <f>D192+D196</f>
        <v>0</v>
      </c>
      <c r="E199" s="36">
        <f>E192+E196</f>
        <v>0</v>
      </c>
      <c r="F199" s="36">
        <f>F192+F196</f>
        <v>0</v>
      </c>
      <c r="G199" s="36">
        <f>G192+G196</f>
        <v>0</v>
      </c>
      <c r="H199" s="36">
        <f t="shared" ref="H199:AH199" si="448">H192+H196</f>
        <v>0</v>
      </c>
      <c r="I199" s="36">
        <f t="shared" si="448"/>
        <v>0</v>
      </c>
      <c r="J199" s="36">
        <f t="shared" si="448"/>
        <v>0</v>
      </c>
      <c r="K199" s="36">
        <f t="shared" si="448"/>
        <v>0</v>
      </c>
      <c r="L199" s="36">
        <f t="shared" si="448"/>
        <v>0</v>
      </c>
      <c r="M199" s="36">
        <f t="shared" si="448"/>
        <v>0</v>
      </c>
      <c r="N199" s="36">
        <f t="shared" si="448"/>
        <v>0</v>
      </c>
      <c r="O199" s="36">
        <f t="shared" si="448"/>
        <v>0</v>
      </c>
      <c r="P199" s="36">
        <f t="shared" si="448"/>
        <v>0</v>
      </c>
      <c r="Q199" s="36">
        <f t="shared" si="448"/>
        <v>0</v>
      </c>
      <c r="R199" s="36">
        <f t="shared" si="448"/>
        <v>0</v>
      </c>
      <c r="S199" s="36">
        <f t="shared" si="448"/>
        <v>0</v>
      </c>
      <c r="T199" s="36">
        <f t="shared" si="448"/>
        <v>0</v>
      </c>
      <c r="U199" s="36">
        <f t="shared" si="448"/>
        <v>0</v>
      </c>
      <c r="V199" s="36">
        <f t="shared" si="448"/>
        <v>0</v>
      </c>
      <c r="W199" s="36">
        <f t="shared" si="448"/>
        <v>0</v>
      </c>
      <c r="X199" s="36">
        <f t="shared" si="448"/>
        <v>0</v>
      </c>
      <c r="Y199" s="36">
        <f t="shared" si="448"/>
        <v>0</v>
      </c>
      <c r="Z199" s="36">
        <f t="shared" si="448"/>
        <v>0</v>
      </c>
      <c r="AA199" s="36">
        <f t="shared" si="448"/>
        <v>0</v>
      </c>
      <c r="AB199" s="36">
        <f t="shared" si="448"/>
        <v>0</v>
      </c>
      <c r="AC199" s="36">
        <f t="shared" si="448"/>
        <v>0</v>
      </c>
      <c r="AD199" s="36">
        <f t="shared" si="448"/>
        <v>0</v>
      </c>
      <c r="AE199" s="36">
        <f t="shared" si="448"/>
        <v>0</v>
      </c>
      <c r="AF199" s="36">
        <f t="shared" si="448"/>
        <v>0</v>
      </c>
      <c r="AG199" s="36">
        <f t="shared" si="448"/>
        <v>0</v>
      </c>
      <c r="AH199" s="36">
        <f t="shared" si="448"/>
        <v>0</v>
      </c>
      <c r="BH199" s="2" t="s">
        <v>578</v>
      </c>
      <c r="BI199" s="2">
        <v>1100</v>
      </c>
      <c r="BJ199" s="2">
        <v>400</v>
      </c>
      <c r="BN199" s="2">
        <v>713</v>
      </c>
    </row>
    <row r="200" spans="2:66">
      <c r="B200" s="31" t="s">
        <v>557</v>
      </c>
      <c r="C200" s="32"/>
      <c r="D200" s="36">
        <f>D187-D196</f>
        <v>0</v>
      </c>
      <c r="E200" s="36">
        <f t="shared" ref="E200:AH200" si="449">E187-E196</f>
        <v>0</v>
      </c>
      <c r="F200" s="36">
        <f t="shared" si="449"/>
        <v>0</v>
      </c>
      <c r="G200" s="36">
        <f t="shared" si="449"/>
        <v>0</v>
      </c>
      <c r="H200" s="36">
        <f t="shared" si="449"/>
        <v>0</v>
      </c>
      <c r="I200" s="36">
        <f t="shared" si="449"/>
        <v>0</v>
      </c>
      <c r="J200" s="36">
        <f t="shared" si="449"/>
        <v>0</v>
      </c>
      <c r="K200" s="36">
        <f t="shared" si="449"/>
        <v>0</v>
      </c>
      <c r="L200" s="36">
        <f t="shared" si="449"/>
        <v>0</v>
      </c>
      <c r="M200" s="36">
        <f t="shared" si="449"/>
        <v>0</v>
      </c>
      <c r="N200" s="36">
        <f t="shared" si="449"/>
        <v>0</v>
      </c>
      <c r="O200" s="36">
        <f t="shared" si="449"/>
        <v>0</v>
      </c>
      <c r="P200" s="36">
        <f t="shared" si="449"/>
        <v>0</v>
      </c>
      <c r="Q200" s="36">
        <f t="shared" si="449"/>
        <v>0</v>
      </c>
      <c r="R200" s="36">
        <f t="shared" si="449"/>
        <v>0</v>
      </c>
      <c r="S200" s="36">
        <f t="shared" si="449"/>
        <v>0</v>
      </c>
      <c r="T200" s="36">
        <f t="shared" si="449"/>
        <v>0</v>
      </c>
      <c r="U200" s="36">
        <f t="shared" si="449"/>
        <v>0</v>
      </c>
      <c r="V200" s="36">
        <f t="shared" si="449"/>
        <v>0</v>
      </c>
      <c r="W200" s="36">
        <f t="shared" si="449"/>
        <v>0</v>
      </c>
      <c r="X200" s="36">
        <f t="shared" si="449"/>
        <v>0</v>
      </c>
      <c r="Y200" s="36">
        <f t="shared" si="449"/>
        <v>0</v>
      </c>
      <c r="Z200" s="36">
        <f t="shared" si="449"/>
        <v>0</v>
      </c>
      <c r="AA200" s="36">
        <f t="shared" si="449"/>
        <v>0</v>
      </c>
      <c r="AB200" s="36">
        <f t="shared" si="449"/>
        <v>0</v>
      </c>
      <c r="AC200" s="36">
        <f t="shared" si="449"/>
        <v>0</v>
      </c>
      <c r="AD200" s="36">
        <f t="shared" si="449"/>
        <v>0</v>
      </c>
      <c r="AE200" s="36">
        <f t="shared" si="449"/>
        <v>0</v>
      </c>
      <c r="AF200" s="36">
        <f t="shared" si="449"/>
        <v>0</v>
      </c>
      <c r="AG200" s="36">
        <f t="shared" si="449"/>
        <v>0</v>
      </c>
      <c r="AH200" s="36">
        <f t="shared" si="449"/>
        <v>0</v>
      </c>
      <c r="BH200" s="2" t="s">
        <v>578</v>
      </c>
      <c r="BI200" s="2">
        <v>1200</v>
      </c>
      <c r="BJ200" s="2">
        <v>400</v>
      </c>
      <c r="BN200" s="2">
        <v>777</v>
      </c>
    </row>
    <row r="201" spans="2:66" ht="17.399999999999999" thickBot="1">
      <c r="B201" s="40" t="s">
        <v>558</v>
      </c>
      <c r="C201" s="41"/>
      <c r="D201" s="42">
        <f>D199/12</f>
        <v>0</v>
      </c>
      <c r="E201" s="42">
        <f t="shared" ref="E201:AH201" si="450">E199/12</f>
        <v>0</v>
      </c>
      <c r="F201" s="42">
        <f t="shared" si="450"/>
        <v>0</v>
      </c>
      <c r="G201" s="42">
        <f t="shared" si="450"/>
        <v>0</v>
      </c>
      <c r="H201" s="42">
        <f t="shared" si="450"/>
        <v>0</v>
      </c>
      <c r="I201" s="42">
        <f t="shared" si="450"/>
        <v>0</v>
      </c>
      <c r="J201" s="42">
        <f t="shared" si="450"/>
        <v>0</v>
      </c>
      <c r="K201" s="42">
        <f t="shared" si="450"/>
        <v>0</v>
      </c>
      <c r="L201" s="42">
        <f t="shared" si="450"/>
        <v>0</v>
      </c>
      <c r="M201" s="42">
        <f t="shared" si="450"/>
        <v>0</v>
      </c>
      <c r="N201" s="42">
        <f t="shared" si="450"/>
        <v>0</v>
      </c>
      <c r="O201" s="42">
        <f t="shared" si="450"/>
        <v>0</v>
      </c>
      <c r="P201" s="42">
        <f t="shared" si="450"/>
        <v>0</v>
      </c>
      <c r="Q201" s="42">
        <f t="shared" si="450"/>
        <v>0</v>
      </c>
      <c r="R201" s="42">
        <f t="shared" si="450"/>
        <v>0</v>
      </c>
      <c r="S201" s="42">
        <f t="shared" si="450"/>
        <v>0</v>
      </c>
      <c r="T201" s="42">
        <f t="shared" si="450"/>
        <v>0</v>
      </c>
      <c r="U201" s="42">
        <f t="shared" si="450"/>
        <v>0</v>
      </c>
      <c r="V201" s="42">
        <f t="shared" si="450"/>
        <v>0</v>
      </c>
      <c r="W201" s="42">
        <f t="shared" si="450"/>
        <v>0</v>
      </c>
      <c r="X201" s="42">
        <f t="shared" si="450"/>
        <v>0</v>
      </c>
      <c r="Y201" s="42">
        <f t="shared" si="450"/>
        <v>0</v>
      </c>
      <c r="Z201" s="42">
        <f t="shared" si="450"/>
        <v>0</v>
      </c>
      <c r="AA201" s="42">
        <f t="shared" si="450"/>
        <v>0</v>
      </c>
      <c r="AB201" s="42">
        <f t="shared" si="450"/>
        <v>0</v>
      </c>
      <c r="AC201" s="42">
        <f t="shared" si="450"/>
        <v>0</v>
      </c>
      <c r="AD201" s="42">
        <f t="shared" si="450"/>
        <v>0</v>
      </c>
      <c r="AE201" s="42">
        <f t="shared" si="450"/>
        <v>0</v>
      </c>
      <c r="AF201" s="42">
        <f t="shared" si="450"/>
        <v>0</v>
      </c>
      <c r="AG201" s="42">
        <f t="shared" si="450"/>
        <v>0</v>
      </c>
      <c r="AH201" s="42">
        <f t="shared" si="450"/>
        <v>0</v>
      </c>
      <c r="BH201" s="2" t="s">
        <v>578</v>
      </c>
      <c r="BI201" s="2">
        <v>1400</v>
      </c>
      <c r="BJ201" s="2">
        <v>400</v>
      </c>
      <c r="BN201" s="2">
        <v>907</v>
      </c>
    </row>
    <row r="202" spans="2:66">
      <c r="BH202" s="2" t="s">
        <v>578</v>
      </c>
      <c r="BI202" s="2">
        <v>1600</v>
      </c>
      <c r="BJ202" s="2">
        <v>400</v>
      </c>
      <c r="BN202" s="2">
        <v>1037</v>
      </c>
    </row>
    <row r="203" spans="2:66" ht="29.4">
      <c r="B203" s="534" t="s">
        <v>588</v>
      </c>
      <c r="BH203" s="2" t="s">
        <v>578</v>
      </c>
      <c r="BI203" s="2">
        <v>1800</v>
      </c>
      <c r="BJ203" s="2">
        <v>400</v>
      </c>
      <c r="BN203" s="2">
        <v>1166</v>
      </c>
    </row>
    <row r="204" spans="2:66">
      <c r="B204" s="23" t="s">
        <v>589</v>
      </c>
      <c r="C204" s="23">
        <f>Allgemein!$C$142</f>
        <v>0.04</v>
      </c>
      <c r="E204" s="2" t="s">
        <v>590</v>
      </c>
      <c r="G204" s="2">
        <f>Allgemein!E70*Allgemein!$C$40</f>
        <v>0</v>
      </c>
      <c r="I204" s="2" t="s">
        <v>591</v>
      </c>
      <c r="J204" s="2">
        <f>_xlfn.XLOOKUP(Allgemein!C66,Heizungspositionen[Position Heizung],Heizungspositionen[Wärmepumpe:],,0,1)</f>
        <v>0</v>
      </c>
      <c r="M204" s="2" t="s">
        <v>592</v>
      </c>
      <c r="N204" s="1121">
        <f>0.65</f>
        <v>0.65</v>
      </c>
      <c r="O204" s="2" t="s">
        <v>593</v>
      </c>
      <c r="P204" s="185">
        <f>Allgemein!O38+IF(J204="Ja",Datenbank!G205,0)</f>
        <v>0</v>
      </c>
      <c r="Q204" s="2" t="s">
        <v>594</v>
      </c>
      <c r="S204" s="185" t="e">
        <f>P205-U204</f>
        <v>#N/A</v>
      </c>
      <c r="T204" s="2" t="s">
        <v>235</v>
      </c>
      <c r="U204" s="2">
        <f>P204*N204</f>
        <v>0</v>
      </c>
      <c r="BH204" s="2" t="s">
        <v>578</v>
      </c>
      <c r="BI204" s="2">
        <v>2000</v>
      </c>
      <c r="BJ204" s="2">
        <v>400</v>
      </c>
      <c r="BN204" s="2">
        <v>1296</v>
      </c>
    </row>
    <row r="205" spans="2:66">
      <c r="B205" s="51" t="s">
        <v>595</v>
      </c>
      <c r="C205" s="23">
        <f>Allgemein!$C$140</f>
        <v>0.02</v>
      </c>
      <c r="E205" s="2" t="s">
        <v>596</v>
      </c>
      <c r="G205" s="1120">
        <f>(G204*1.2+500*Allgemein!C16)/3.5</f>
        <v>0</v>
      </c>
      <c r="I205" s="2" t="s">
        <v>597</v>
      </c>
      <c r="J205" s="2" t="str">
        <f>IF(Allgemein!C67="-","Nein","Ja")</f>
        <v>Nein</v>
      </c>
      <c r="K205" s="186" t="str">
        <f>Allgemein!C67</f>
        <v>-</v>
      </c>
      <c r="M205" s="2" t="s">
        <v>598</v>
      </c>
      <c r="N205" s="23" t="e">
        <f>U204/P205</f>
        <v>#N/A</v>
      </c>
      <c r="O205" s="2" t="s">
        <v>599</v>
      </c>
      <c r="P205" s="2" t="e">
        <f>_xlfn.TEXTBEFORE(K205," ")*900</f>
        <v>#N/A</v>
      </c>
      <c r="Q205" s="2" t="s">
        <v>600</v>
      </c>
      <c r="S205" s="185">
        <f>P204-U204</f>
        <v>0</v>
      </c>
      <c r="BH205" s="2" t="s">
        <v>578</v>
      </c>
      <c r="BI205" s="2">
        <v>2200</v>
      </c>
      <c r="BJ205" s="2">
        <v>400</v>
      </c>
      <c r="BN205" s="2">
        <v>1425</v>
      </c>
    </row>
    <row r="206" spans="2:66">
      <c r="B206" s="51"/>
      <c r="C206" s="51"/>
      <c r="D206" s="548"/>
      <c r="E206" s="548"/>
      <c r="F206" s="548"/>
      <c r="G206" s="548"/>
      <c r="H206" s="548"/>
      <c r="I206" s="548"/>
      <c r="J206" s="548"/>
      <c r="K206" s="548"/>
      <c r="L206" s="548"/>
      <c r="M206" s="548"/>
      <c r="N206" s="548"/>
      <c r="O206" s="548"/>
      <c r="P206" s="548"/>
      <c r="Q206" s="548"/>
      <c r="R206" s="548"/>
      <c r="S206" s="548"/>
      <c r="T206" s="548"/>
      <c r="U206" s="548"/>
      <c r="V206" s="548"/>
      <c r="W206" s="548"/>
      <c r="X206" s="548"/>
      <c r="Y206" s="548"/>
      <c r="Z206" s="548"/>
      <c r="AA206" s="548"/>
      <c r="AB206" s="548"/>
      <c r="AC206" s="548"/>
      <c r="AD206" s="548"/>
      <c r="AE206" s="548"/>
      <c r="AF206" s="548"/>
      <c r="AG206" s="548"/>
      <c r="AH206" s="548"/>
      <c r="BH206" s="2" t="s">
        <v>578</v>
      </c>
      <c r="BI206" s="2">
        <v>2300</v>
      </c>
      <c r="BJ206" s="2">
        <v>400</v>
      </c>
      <c r="BN206" s="2">
        <v>1438</v>
      </c>
    </row>
    <row r="207" spans="2:66" ht="17.399999999999999" thickBot="1">
      <c r="B207" s="51"/>
      <c r="C207" s="23"/>
      <c r="BH207" s="2" t="s">
        <v>578</v>
      </c>
      <c r="BI207" s="2">
        <v>2600</v>
      </c>
      <c r="BJ207" s="2">
        <v>400</v>
      </c>
      <c r="BN207" s="2">
        <v>1625</v>
      </c>
    </row>
    <row r="208" spans="2:66" ht="19.2" thickBot="1">
      <c r="B208" s="94" t="s">
        <v>326</v>
      </c>
      <c r="C208" s="29"/>
      <c r="D208" s="52"/>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BH208" s="2" t="s">
        <v>578</v>
      </c>
      <c r="BI208" s="2">
        <v>3000</v>
      </c>
      <c r="BJ208" s="2">
        <v>400</v>
      </c>
      <c r="BN208" s="2">
        <v>1875</v>
      </c>
    </row>
    <row r="209" spans="2:66" ht="17.399999999999999" thickBot="1">
      <c r="B209" s="56"/>
      <c r="C209" s="57"/>
      <c r="D209" s="58">
        <v>1</v>
      </c>
      <c r="E209" s="59">
        <v>2</v>
      </c>
      <c r="F209" s="58">
        <v>3</v>
      </c>
      <c r="G209" s="58">
        <v>4</v>
      </c>
      <c r="H209" s="59">
        <v>5</v>
      </c>
      <c r="I209" s="58">
        <v>6</v>
      </c>
      <c r="J209" s="58">
        <v>7</v>
      </c>
      <c r="K209" s="59">
        <v>8</v>
      </c>
      <c r="L209" s="58">
        <v>9</v>
      </c>
      <c r="M209" s="58">
        <v>10</v>
      </c>
      <c r="N209" s="59">
        <v>11</v>
      </c>
      <c r="O209" s="58">
        <v>12</v>
      </c>
      <c r="P209" s="58">
        <v>13</v>
      </c>
      <c r="Q209" s="59">
        <v>14</v>
      </c>
      <c r="R209" s="58">
        <v>15</v>
      </c>
      <c r="S209" s="58">
        <v>16</v>
      </c>
      <c r="T209" s="59">
        <v>17</v>
      </c>
      <c r="U209" s="58">
        <v>18</v>
      </c>
      <c r="V209" s="58">
        <v>19</v>
      </c>
      <c r="W209" s="59">
        <v>20</v>
      </c>
      <c r="X209" s="58">
        <v>21</v>
      </c>
      <c r="Y209" s="58">
        <v>22</v>
      </c>
      <c r="Z209" s="59">
        <v>23</v>
      </c>
      <c r="AA209" s="58">
        <v>24</v>
      </c>
      <c r="AB209" s="58">
        <v>25</v>
      </c>
      <c r="AC209" s="59">
        <v>26</v>
      </c>
      <c r="AD209" s="58">
        <v>27</v>
      </c>
      <c r="AE209" s="58">
        <v>28</v>
      </c>
      <c r="AF209" s="59">
        <v>29</v>
      </c>
      <c r="AG209" s="60">
        <v>30</v>
      </c>
      <c r="AH209" s="95"/>
      <c r="AI209" s="95"/>
      <c r="AJ209" s="95"/>
      <c r="AK209" s="53"/>
      <c r="BH209" s="2" t="s">
        <v>578</v>
      </c>
      <c r="BI209" s="2">
        <v>400</v>
      </c>
      <c r="BJ209" s="2">
        <v>500</v>
      </c>
      <c r="BN209" s="2">
        <v>309</v>
      </c>
    </row>
    <row r="210" spans="2:66">
      <c r="B210" s="63" t="s">
        <v>601</v>
      </c>
      <c r="C210" s="53"/>
      <c r="D210" s="64" t="e">
        <f>Allgemein!K39</f>
        <v>#DIV/0!</v>
      </c>
      <c r="E210" s="64" t="e">
        <f t="shared" ref="E210:AG210" si="451">D210*(1+$C$95)</f>
        <v>#DIV/0!</v>
      </c>
      <c r="F210" s="64" t="e">
        <f t="shared" si="451"/>
        <v>#DIV/0!</v>
      </c>
      <c r="G210" s="64" t="e">
        <f t="shared" si="451"/>
        <v>#DIV/0!</v>
      </c>
      <c r="H210" s="64" t="e">
        <f t="shared" si="451"/>
        <v>#DIV/0!</v>
      </c>
      <c r="I210" s="64" t="e">
        <f t="shared" si="451"/>
        <v>#DIV/0!</v>
      </c>
      <c r="J210" s="64" t="e">
        <f t="shared" si="451"/>
        <v>#DIV/0!</v>
      </c>
      <c r="K210" s="64" t="e">
        <f t="shared" si="451"/>
        <v>#DIV/0!</v>
      </c>
      <c r="L210" s="64" t="e">
        <f t="shared" si="451"/>
        <v>#DIV/0!</v>
      </c>
      <c r="M210" s="64" t="e">
        <f t="shared" si="451"/>
        <v>#DIV/0!</v>
      </c>
      <c r="N210" s="64" t="e">
        <f t="shared" si="451"/>
        <v>#DIV/0!</v>
      </c>
      <c r="O210" s="64" t="e">
        <f t="shared" si="451"/>
        <v>#DIV/0!</v>
      </c>
      <c r="P210" s="64" t="e">
        <f t="shared" si="451"/>
        <v>#DIV/0!</v>
      </c>
      <c r="Q210" s="64" t="e">
        <f t="shared" si="451"/>
        <v>#DIV/0!</v>
      </c>
      <c r="R210" s="64" t="e">
        <f t="shared" si="451"/>
        <v>#DIV/0!</v>
      </c>
      <c r="S210" s="64" t="e">
        <f t="shared" si="451"/>
        <v>#DIV/0!</v>
      </c>
      <c r="T210" s="64" t="e">
        <f t="shared" si="451"/>
        <v>#DIV/0!</v>
      </c>
      <c r="U210" s="64" t="e">
        <f t="shared" si="451"/>
        <v>#DIV/0!</v>
      </c>
      <c r="V210" s="64" t="e">
        <f t="shared" si="451"/>
        <v>#DIV/0!</v>
      </c>
      <c r="W210" s="64" t="e">
        <f t="shared" si="451"/>
        <v>#DIV/0!</v>
      </c>
      <c r="X210" s="64" t="e">
        <f t="shared" si="451"/>
        <v>#DIV/0!</v>
      </c>
      <c r="Y210" s="64" t="e">
        <f t="shared" si="451"/>
        <v>#DIV/0!</v>
      </c>
      <c r="Z210" s="64" t="e">
        <f t="shared" si="451"/>
        <v>#DIV/0!</v>
      </c>
      <c r="AA210" s="64" t="e">
        <f t="shared" si="451"/>
        <v>#DIV/0!</v>
      </c>
      <c r="AB210" s="64" t="e">
        <f t="shared" si="451"/>
        <v>#DIV/0!</v>
      </c>
      <c r="AC210" s="64" t="e">
        <f t="shared" si="451"/>
        <v>#DIV/0!</v>
      </c>
      <c r="AD210" s="64" t="e">
        <f t="shared" si="451"/>
        <v>#DIV/0!</v>
      </c>
      <c r="AE210" s="64" t="e">
        <f t="shared" si="451"/>
        <v>#DIV/0!</v>
      </c>
      <c r="AF210" s="64" t="e">
        <f t="shared" si="451"/>
        <v>#DIV/0!</v>
      </c>
      <c r="AG210" s="65" t="e">
        <f t="shared" si="451"/>
        <v>#DIV/0!</v>
      </c>
      <c r="AK210" s="47"/>
      <c r="BH210" s="2" t="s">
        <v>578</v>
      </c>
      <c r="BI210" s="2">
        <v>500</v>
      </c>
      <c r="BJ210" s="2">
        <v>500</v>
      </c>
      <c r="BN210" s="2">
        <v>386</v>
      </c>
    </row>
    <row r="211" spans="2:66" ht="18.600000000000001">
      <c r="B211" s="46" t="s">
        <v>602</v>
      </c>
      <c r="C211" s="47"/>
      <c r="D211" s="75">
        <f>Allgemein!O14</f>
        <v>0</v>
      </c>
      <c r="E211" s="75">
        <f>D211*(1+$C$205)</f>
        <v>0</v>
      </c>
      <c r="F211" s="75">
        <f t="shared" ref="F211:AG211" si="452">E211*(1+$C$205)</f>
        <v>0</v>
      </c>
      <c r="G211" s="75">
        <f t="shared" si="452"/>
        <v>0</v>
      </c>
      <c r="H211" s="75">
        <f t="shared" si="452"/>
        <v>0</v>
      </c>
      <c r="I211" s="75">
        <f t="shared" si="452"/>
        <v>0</v>
      </c>
      <c r="J211" s="75">
        <f t="shared" si="452"/>
        <v>0</v>
      </c>
      <c r="K211" s="75">
        <f t="shared" si="452"/>
        <v>0</v>
      </c>
      <c r="L211" s="75">
        <f t="shared" si="452"/>
        <v>0</v>
      </c>
      <c r="M211" s="75">
        <f t="shared" si="452"/>
        <v>0</v>
      </c>
      <c r="N211" s="75">
        <f t="shared" si="452"/>
        <v>0</v>
      </c>
      <c r="O211" s="75">
        <f t="shared" si="452"/>
        <v>0</v>
      </c>
      <c r="P211" s="75">
        <f t="shared" si="452"/>
        <v>0</v>
      </c>
      <c r="Q211" s="75">
        <f t="shared" si="452"/>
        <v>0</v>
      </c>
      <c r="R211" s="75">
        <f t="shared" si="452"/>
        <v>0</v>
      </c>
      <c r="S211" s="75">
        <f t="shared" si="452"/>
        <v>0</v>
      </c>
      <c r="T211" s="75">
        <f t="shared" si="452"/>
        <v>0</v>
      </c>
      <c r="U211" s="75">
        <f t="shared" si="452"/>
        <v>0</v>
      </c>
      <c r="V211" s="75">
        <f t="shared" si="452"/>
        <v>0</v>
      </c>
      <c r="W211" s="75">
        <f t="shared" si="452"/>
        <v>0</v>
      </c>
      <c r="X211" s="75">
        <f t="shared" si="452"/>
        <v>0</v>
      </c>
      <c r="Y211" s="75">
        <f t="shared" si="452"/>
        <v>0</v>
      </c>
      <c r="Z211" s="75">
        <f t="shared" si="452"/>
        <v>0</v>
      </c>
      <c r="AA211" s="75">
        <f t="shared" si="452"/>
        <v>0</v>
      </c>
      <c r="AB211" s="75">
        <f t="shared" si="452"/>
        <v>0</v>
      </c>
      <c r="AC211" s="75">
        <f t="shared" si="452"/>
        <v>0</v>
      </c>
      <c r="AD211" s="75">
        <f t="shared" si="452"/>
        <v>0</v>
      </c>
      <c r="AE211" s="75">
        <f t="shared" si="452"/>
        <v>0</v>
      </c>
      <c r="AF211" s="75">
        <f t="shared" si="452"/>
        <v>0</v>
      </c>
      <c r="AG211" s="75">
        <f t="shared" si="452"/>
        <v>0</v>
      </c>
      <c r="AH211" s="895"/>
      <c r="AI211" s="62" t="s">
        <v>79</v>
      </c>
      <c r="AJ211" s="62" t="s">
        <v>603</v>
      </c>
      <c r="AK211" s="47"/>
      <c r="AN211" s="2" t="s">
        <v>328</v>
      </c>
      <c r="AO211" s="2" t="s">
        <v>329</v>
      </c>
      <c r="BH211" s="2" t="s">
        <v>578</v>
      </c>
      <c r="BI211" s="2">
        <v>600</v>
      </c>
      <c r="BJ211" s="2">
        <v>500</v>
      </c>
      <c r="BN211" s="2">
        <v>463</v>
      </c>
    </row>
    <row r="212" spans="2:66" ht="18.600000000000001">
      <c r="B212" s="96" t="s">
        <v>366</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79" t="s">
        <v>366</v>
      </c>
      <c r="AJ212" s="11"/>
      <c r="AK212" s="100"/>
      <c r="AM212" s="2" t="s">
        <v>150</v>
      </c>
      <c r="AO212" s="24">
        <f>Allgemein!$G$69</f>
        <v>0</v>
      </c>
      <c r="BH212" s="2" t="s">
        <v>578</v>
      </c>
      <c r="BI212" s="2">
        <v>700</v>
      </c>
      <c r="BJ212" s="2">
        <v>500</v>
      </c>
      <c r="BN212" s="2">
        <v>540</v>
      </c>
    </row>
    <row r="213" spans="2:66">
      <c r="B213" s="46" t="s">
        <v>604</v>
      </c>
      <c r="D213" s="54">
        <f>Allgemein!$L$14*D211</f>
        <v>0</v>
      </c>
      <c r="E213" s="54">
        <f>Allgemein!$L$14*E211</f>
        <v>0</v>
      </c>
      <c r="F213" s="54">
        <f>Allgemein!$L$14*F211</f>
        <v>0</v>
      </c>
      <c r="G213" s="54">
        <f>Allgemein!$L$14*G211</f>
        <v>0</v>
      </c>
      <c r="H213" s="54">
        <f>Allgemein!$L$14*H211</f>
        <v>0</v>
      </c>
      <c r="I213" s="54">
        <f>Allgemein!$L$14*I211</f>
        <v>0</v>
      </c>
      <c r="J213" s="54">
        <f>Allgemein!$L$14*J211</f>
        <v>0</v>
      </c>
      <c r="K213" s="54">
        <f>Allgemein!$L$14*K211</f>
        <v>0</v>
      </c>
      <c r="L213" s="54">
        <f>Allgemein!$L$14*L211</f>
        <v>0</v>
      </c>
      <c r="M213" s="54">
        <f>Allgemein!$L$14*M211</f>
        <v>0</v>
      </c>
      <c r="N213" s="54">
        <f>Allgemein!$L$14*N211</f>
        <v>0</v>
      </c>
      <c r="O213" s="54">
        <f>Allgemein!$L$14*O211</f>
        <v>0</v>
      </c>
      <c r="P213" s="54">
        <f>Allgemein!$L$14*P211</f>
        <v>0</v>
      </c>
      <c r="Q213" s="54">
        <f>Allgemein!$L$14*Q211</f>
        <v>0</v>
      </c>
      <c r="R213" s="54">
        <f>Allgemein!$L$14*R211</f>
        <v>0</v>
      </c>
      <c r="S213" s="54">
        <f>Allgemein!$L$14*S211</f>
        <v>0</v>
      </c>
      <c r="T213" s="54">
        <f>Allgemein!$L$14*T211</f>
        <v>0</v>
      </c>
      <c r="U213" s="54">
        <f>Allgemein!$L$14*U211</f>
        <v>0</v>
      </c>
      <c r="V213" s="54">
        <f>Allgemein!$L$14*V211</f>
        <v>0</v>
      </c>
      <c r="W213" s="54">
        <f>Allgemein!$L$14*W211</f>
        <v>0</v>
      </c>
      <c r="X213" s="54">
        <f>Allgemein!$L$14*X211</f>
        <v>0</v>
      </c>
      <c r="Y213" s="54">
        <f>Allgemein!$L$14*Y211</f>
        <v>0</v>
      </c>
      <c r="Z213" s="54">
        <f>Allgemein!$L$14*Z211</f>
        <v>0</v>
      </c>
      <c r="AA213" s="54">
        <f>Allgemein!$L$14*AA211</f>
        <v>0</v>
      </c>
      <c r="AB213" s="54">
        <f>Allgemein!$L$14*AB211</f>
        <v>0</v>
      </c>
      <c r="AC213" s="54">
        <f>Allgemein!$L$14*AC211</f>
        <v>0</v>
      </c>
      <c r="AD213" s="54">
        <f>Allgemein!$L$14*AD211</f>
        <v>0</v>
      </c>
      <c r="AE213" s="54">
        <f>Allgemein!$L$14*AE211</f>
        <v>0</v>
      </c>
      <c r="AF213" s="54">
        <f>Allgemein!$L$14*AF211</f>
        <v>0</v>
      </c>
      <c r="AG213" s="54">
        <f>Allgemein!$L$14*AG211</f>
        <v>0</v>
      </c>
      <c r="AH213" s="84"/>
      <c r="AI213" s="85">
        <f>SUM(D213:AG213)</f>
        <v>0</v>
      </c>
      <c r="AJ213" s="84"/>
      <c r="AK213" s="103"/>
      <c r="AM213" s="2" t="str">
        <f>IF(AO213=0,"","Kreditkosten")</f>
        <v/>
      </c>
      <c r="AO213" s="24">
        <v>0</v>
      </c>
      <c r="AP213" s="184">
        <f>AH194</f>
        <v>0</v>
      </c>
      <c r="BH213" s="2" t="s">
        <v>578</v>
      </c>
      <c r="BI213" s="2">
        <v>800</v>
      </c>
      <c r="BJ213" s="2">
        <v>500</v>
      </c>
      <c r="BN213" s="2">
        <v>617</v>
      </c>
    </row>
    <row r="214" spans="2:66">
      <c r="B214" s="46" t="s">
        <v>605</v>
      </c>
      <c r="D214" s="54" t="e">
        <f>Allgemein!$K$40</f>
        <v>#DIV/0!</v>
      </c>
      <c r="E214" s="54" t="e">
        <f>D214*(1+$C$204)</f>
        <v>#DIV/0!</v>
      </c>
      <c r="F214" s="54" t="e">
        <f>E214*(1+$C$204)</f>
        <v>#DIV/0!</v>
      </c>
      <c r="G214" s="54" t="e">
        <f t="shared" ref="G214:AG214" si="453">F214*(1+$C$204)</f>
        <v>#DIV/0!</v>
      </c>
      <c r="H214" s="54" t="e">
        <f t="shared" si="453"/>
        <v>#DIV/0!</v>
      </c>
      <c r="I214" s="54" t="e">
        <f t="shared" si="453"/>
        <v>#DIV/0!</v>
      </c>
      <c r="J214" s="54" t="e">
        <f t="shared" si="453"/>
        <v>#DIV/0!</v>
      </c>
      <c r="K214" s="54" t="e">
        <f t="shared" si="453"/>
        <v>#DIV/0!</v>
      </c>
      <c r="L214" s="54" t="e">
        <f t="shared" si="453"/>
        <v>#DIV/0!</v>
      </c>
      <c r="M214" s="54" t="e">
        <f t="shared" si="453"/>
        <v>#DIV/0!</v>
      </c>
      <c r="N214" s="54" t="e">
        <f t="shared" si="453"/>
        <v>#DIV/0!</v>
      </c>
      <c r="O214" s="54" t="e">
        <f t="shared" si="453"/>
        <v>#DIV/0!</v>
      </c>
      <c r="P214" s="54" t="e">
        <f t="shared" si="453"/>
        <v>#DIV/0!</v>
      </c>
      <c r="Q214" s="54" t="e">
        <f t="shared" si="453"/>
        <v>#DIV/0!</v>
      </c>
      <c r="R214" s="54" t="e">
        <f t="shared" si="453"/>
        <v>#DIV/0!</v>
      </c>
      <c r="S214" s="54" t="e">
        <f t="shared" si="453"/>
        <v>#DIV/0!</v>
      </c>
      <c r="T214" s="54" t="e">
        <f t="shared" si="453"/>
        <v>#DIV/0!</v>
      </c>
      <c r="U214" s="54" t="e">
        <f t="shared" si="453"/>
        <v>#DIV/0!</v>
      </c>
      <c r="V214" s="54" t="e">
        <f t="shared" si="453"/>
        <v>#DIV/0!</v>
      </c>
      <c r="W214" s="54" t="e">
        <f t="shared" si="453"/>
        <v>#DIV/0!</v>
      </c>
      <c r="X214" s="54" t="e">
        <f t="shared" si="453"/>
        <v>#DIV/0!</v>
      </c>
      <c r="Y214" s="54" t="e">
        <f t="shared" si="453"/>
        <v>#DIV/0!</v>
      </c>
      <c r="Z214" s="54" t="e">
        <f t="shared" si="453"/>
        <v>#DIV/0!</v>
      </c>
      <c r="AA214" s="54" t="e">
        <f t="shared" si="453"/>
        <v>#DIV/0!</v>
      </c>
      <c r="AB214" s="54" t="e">
        <f t="shared" si="453"/>
        <v>#DIV/0!</v>
      </c>
      <c r="AC214" s="54" t="e">
        <f t="shared" si="453"/>
        <v>#DIV/0!</v>
      </c>
      <c r="AD214" s="54" t="e">
        <f t="shared" si="453"/>
        <v>#DIV/0!</v>
      </c>
      <c r="AE214" s="54" t="e">
        <f t="shared" si="453"/>
        <v>#DIV/0!</v>
      </c>
      <c r="AF214" s="54" t="e">
        <f t="shared" si="453"/>
        <v>#DIV/0!</v>
      </c>
      <c r="AG214" s="54" t="e">
        <f t="shared" si="453"/>
        <v>#DIV/0!</v>
      </c>
      <c r="AH214" s="86" t="s">
        <v>369</v>
      </c>
      <c r="AI214" s="87" t="e">
        <f>SUM(D214:AG214)</f>
        <v>#DIV/0!</v>
      </c>
      <c r="AJ214" s="90"/>
      <c r="AK214" s="47"/>
      <c r="AM214" s="2" t="s">
        <v>149</v>
      </c>
      <c r="AN214" s="24" t="e">
        <f>AJ228</f>
        <v>#DIV/0!</v>
      </c>
      <c r="BH214" s="2" t="s">
        <v>578</v>
      </c>
      <c r="BI214" s="2">
        <v>900</v>
      </c>
      <c r="BJ214" s="2">
        <v>500</v>
      </c>
      <c r="BN214" s="2">
        <v>694</v>
      </c>
    </row>
    <row r="215" spans="2:66">
      <c r="B215" s="46" t="s">
        <v>606</v>
      </c>
      <c r="D215" s="54" t="e">
        <f t="shared" ref="D215:AG215" si="454">D214+D213</f>
        <v>#DIV/0!</v>
      </c>
      <c r="E215" s="54" t="e">
        <f t="shared" si="454"/>
        <v>#DIV/0!</v>
      </c>
      <c r="F215" s="54" t="e">
        <f t="shared" si="454"/>
        <v>#DIV/0!</v>
      </c>
      <c r="G215" s="54" t="e">
        <f t="shared" si="454"/>
        <v>#DIV/0!</v>
      </c>
      <c r="H215" s="54" t="e">
        <f t="shared" si="454"/>
        <v>#DIV/0!</v>
      </c>
      <c r="I215" s="54" t="e">
        <f t="shared" si="454"/>
        <v>#DIV/0!</v>
      </c>
      <c r="J215" s="54" t="e">
        <f t="shared" si="454"/>
        <v>#DIV/0!</v>
      </c>
      <c r="K215" s="54" t="e">
        <f t="shared" si="454"/>
        <v>#DIV/0!</v>
      </c>
      <c r="L215" s="54" t="e">
        <f t="shared" si="454"/>
        <v>#DIV/0!</v>
      </c>
      <c r="M215" s="54" t="e">
        <f t="shared" si="454"/>
        <v>#DIV/0!</v>
      </c>
      <c r="N215" s="54" t="e">
        <f t="shared" si="454"/>
        <v>#DIV/0!</v>
      </c>
      <c r="O215" s="54" t="e">
        <f t="shared" si="454"/>
        <v>#DIV/0!</v>
      </c>
      <c r="P215" s="54" t="e">
        <f t="shared" si="454"/>
        <v>#DIV/0!</v>
      </c>
      <c r="Q215" s="54" t="e">
        <f t="shared" si="454"/>
        <v>#DIV/0!</v>
      </c>
      <c r="R215" s="54" t="e">
        <f t="shared" si="454"/>
        <v>#DIV/0!</v>
      </c>
      <c r="S215" s="54" t="e">
        <f t="shared" si="454"/>
        <v>#DIV/0!</v>
      </c>
      <c r="T215" s="54" t="e">
        <f t="shared" si="454"/>
        <v>#DIV/0!</v>
      </c>
      <c r="U215" s="54" t="e">
        <f t="shared" si="454"/>
        <v>#DIV/0!</v>
      </c>
      <c r="V215" s="54" t="e">
        <f t="shared" si="454"/>
        <v>#DIV/0!</v>
      </c>
      <c r="W215" s="54" t="e">
        <f t="shared" si="454"/>
        <v>#DIV/0!</v>
      </c>
      <c r="X215" s="54" t="e">
        <f t="shared" si="454"/>
        <v>#DIV/0!</v>
      </c>
      <c r="Y215" s="54" t="e">
        <f t="shared" si="454"/>
        <v>#DIV/0!</v>
      </c>
      <c r="Z215" s="54" t="e">
        <f t="shared" si="454"/>
        <v>#DIV/0!</v>
      </c>
      <c r="AA215" s="54" t="e">
        <f t="shared" si="454"/>
        <v>#DIV/0!</v>
      </c>
      <c r="AB215" s="54" t="e">
        <f t="shared" si="454"/>
        <v>#DIV/0!</v>
      </c>
      <c r="AC215" s="54" t="e">
        <f t="shared" si="454"/>
        <v>#DIV/0!</v>
      </c>
      <c r="AD215" s="54" t="e">
        <f t="shared" si="454"/>
        <v>#DIV/0!</v>
      </c>
      <c r="AE215" s="54" t="e">
        <f t="shared" si="454"/>
        <v>#DIV/0!</v>
      </c>
      <c r="AF215" s="54" t="e">
        <f t="shared" si="454"/>
        <v>#DIV/0!</v>
      </c>
      <c r="AG215" s="54" t="e">
        <f t="shared" si="454"/>
        <v>#DIV/0!</v>
      </c>
      <c r="AH215" s="88"/>
      <c r="AI215" s="89" t="e">
        <f>SUM(D215:AG215)</f>
        <v>#DIV/0!</v>
      </c>
      <c r="AJ215" s="90"/>
      <c r="AK215" s="47"/>
      <c r="AN215" s="24"/>
    </row>
    <row r="216" spans="2:66">
      <c r="B216" s="895" t="s">
        <v>607</v>
      </c>
      <c r="D216" s="54" t="e">
        <f>D215/12</f>
        <v>#DIV/0!</v>
      </c>
      <c r="E216" s="54" t="e">
        <f>E215/12</f>
        <v>#DIV/0!</v>
      </c>
      <c r="F216" s="54" t="e">
        <f>F215/12</f>
        <v>#DIV/0!</v>
      </c>
      <c r="G216" s="54" t="e">
        <f t="shared" ref="G216" si="455">G215/12</f>
        <v>#DIV/0!</v>
      </c>
      <c r="H216" s="54" t="e">
        <f t="shared" ref="H216" si="456">H215/12</f>
        <v>#DIV/0!</v>
      </c>
      <c r="I216" s="54" t="e">
        <f t="shared" ref="I216" si="457">I215/12</f>
        <v>#DIV/0!</v>
      </c>
      <c r="J216" s="54" t="e">
        <f t="shared" ref="J216" si="458">J215/12</f>
        <v>#DIV/0!</v>
      </c>
      <c r="K216" s="54" t="e">
        <f t="shared" ref="K216" si="459">K215/12</f>
        <v>#DIV/0!</v>
      </c>
      <c r="L216" s="54" t="e">
        <f t="shared" ref="L216" si="460">L215/12</f>
        <v>#DIV/0!</v>
      </c>
      <c r="M216" s="54" t="e">
        <f t="shared" ref="M216" si="461">M215/12</f>
        <v>#DIV/0!</v>
      </c>
      <c r="N216" s="54" t="e">
        <f t="shared" ref="N216" si="462">N215/12</f>
        <v>#DIV/0!</v>
      </c>
      <c r="O216" s="54" t="e">
        <f t="shared" ref="O216" si="463">O215/12</f>
        <v>#DIV/0!</v>
      </c>
      <c r="P216" s="54" t="e">
        <f t="shared" ref="P216" si="464">P215/12</f>
        <v>#DIV/0!</v>
      </c>
      <c r="Q216" s="54" t="e">
        <f t="shared" ref="Q216" si="465">Q215/12</f>
        <v>#DIV/0!</v>
      </c>
      <c r="R216" s="54" t="e">
        <f t="shared" ref="R216" si="466">R215/12</f>
        <v>#DIV/0!</v>
      </c>
      <c r="S216" s="54" t="e">
        <f t="shared" ref="S216" si="467">S215/12</f>
        <v>#DIV/0!</v>
      </c>
      <c r="T216" s="54" t="e">
        <f t="shared" ref="T216" si="468">T215/12</f>
        <v>#DIV/0!</v>
      </c>
      <c r="U216" s="54" t="e">
        <f t="shared" ref="U216" si="469">U215/12</f>
        <v>#DIV/0!</v>
      </c>
      <c r="V216" s="54" t="e">
        <f t="shared" ref="V216" si="470">V215/12</f>
        <v>#DIV/0!</v>
      </c>
      <c r="W216" s="54" t="e">
        <f t="shared" ref="W216" si="471">W215/12</f>
        <v>#DIV/0!</v>
      </c>
      <c r="X216" s="54" t="e">
        <f t="shared" ref="X216" si="472">X215/12</f>
        <v>#DIV/0!</v>
      </c>
      <c r="Y216" s="54" t="e">
        <f t="shared" ref="Y216" si="473">Y215/12</f>
        <v>#DIV/0!</v>
      </c>
      <c r="Z216" s="54" t="e">
        <f t="shared" ref="Z216" si="474">Z215/12</f>
        <v>#DIV/0!</v>
      </c>
      <c r="AA216" s="54" t="e">
        <f t="shared" ref="AA216" si="475">AA215/12</f>
        <v>#DIV/0!</v>
      </c>
      <c r="AB216" s="54" t="e">
        <f t="shared" ref="AB216" si="476">AB215/12</f>
        <v>#DIV/0!</v>
      </c>
      <c r="AC216" s="54" t="e">
        <f t="shared" ref="AC216" si="477">AC215/12</f>
        <v>#DIV/0!</v>
      </c>
      <c r="AD216" s="54" t="e">
        <f t="shared" ref="AD216" si="478">AD215/12</f>
        <v>#DIV/0!</v>
      </c>
      <c r="AE216" s="54" t="e">
        <f t="shared" ref="AE216" si="479">AE215/12</f>
        <v>#DIV/0!</v>
      </c>
      <c r="AF216" s="54" t="e">
        <f t="shared" ref="AF216" si="480">AF215/12</f>
        <v>#DIV/0!</v>
      </c>
      <c r="AG216" s="54" t="e">
        <f t="shared" ref="AG216" si="481">AG215/12</f>
        <v>#DIV/0!</v>
      </c>
      <c r="AJ216" s="88"/>
      <c r="AK216" s="98"/>
      <c r="AM216" s="2" t="s">
        <v>189</v>
      </c>
      <c r="AN216" s="24">
        <f>Allgemein!$O$70</f>
        <v>0</v>
      </c>
      <c r="BH216" s="2" t="s">
        <v>578</v>
      </c>
      <c r="BI216" s="2">
        <v>1000</v>
      </c>
      <c r="BJ216" s="2">
        <v>500</v>
      </c>
      <c r="BN216" s="2">
        <v>772</v>
      </c>
    </row>
    <row r="217" spans="2:66" ht="18.600000000000001">
      <c r="B217" s="96" t="s">
        <v>398</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80" t="s">
        <v>398</v>
      </c>
      <c r="AJ217" s="11"/>
      <c r="AK217" s="100"/>
      <c r="AM217" s="2" t="s">
        <v>63</v>
      </c>
      <c r="AN217" s="109">
        <f>Allgemein!P122</f>
        <v>0</v>
      </c>
      <c r="BH217" s="2" t="s">
        <v>578</v>
      </c>
      <c r="BI217" s="2">
        <v>1100</v>
      </c>
      <c r="BJ217" s="2">
        <v>500</v>
      </c>
      <c r="BN217" s="2">
        <v>849</v>
      </c>
    </row>
    <row r="218" spans="2:66">
      <c r="B218" s="46" t="s">
        <v>608</v>
      </c>
      <c r="D218" s="66">
        <f>$G205*Datenbank!D211</f>
        <v>0</v>
      </c>
      <c r="E218" s="66">
        <f>$G205*Datenbank!E211</f>
        <v>0</v>
      </c>
      <c r="F218" s="66">
        <f>$G205*Datenbank!F211</f>
        <v>0</v>
      </c>
      <c r="G218" s="66">
        <f>$G205*Datenbank!G211</f>
        <v>0</v>
      </c>
      <c r="H218" s="66">
        <f>$G205*Datenbank!H211</f>
        <v>0</v>
      </c>
      <c r="I218" s="66">
        <f>$G205*Datenbank!I211</f>
        <v>0</v>
      </c>
      <c r="J218" s="66">
        <f>$G205*Datenbank!J211</f>
        <v>0</v>
      </c>
      <c r="K218" s="66">
        <f>$G205*Datenbank!K211</f>
        <v>0</v>
      </c>
      <c r="L218" s="66">
        <f>$G205*Datenbank!L211</f>
        <v>0</v>
      </c>
      <c r="M218" s="66">
        <f>$G205*Datenbank!M211</f>
        <v>0</v>
      </c>
      <c r="N218" s="66">
        <f>$G205*Datenbank!N211</f>
        <v>0</v>
      </c>
      <c r="O218" s="66">
        <f>$G205*Datenbank!O211</f>
        <v>0</v>
      </c>
      <c r="P218" s="66">
        <f>$G205*Datenbank!P211</f>
        <v>0</v>
      </c>
      <c r="Q218" s="66">
        <f>$G205*Datenbank!Q211</f>
        <v>0</v>
      </c>
      <c r="R218" s="66">
        <f>$G205*Datenbank!R211</f>
        <v>0</v>
      </c>
      <c r="S218" s="66">
        <f>$G205*Datenbank!S211</f>
        <v>0</v>
      </c>
      <c r="T218" s="66">
        <f>$G205*Datenbank!T211</f>
        <v>0</v>
      </c>
      <c r="U218" s="66">
        <f>$G205*Datenbank!U211</f>
        <v>0</v>
      </c>
      <c r="V218" s="66">
        <f>$G205*Datenbank!V211</f>
        <v>0</v>
      </c>
      <c r="W218" s="66">
        <f>$G205*Datenbank!W211</f>
        <v>0</v>
      </c>
      <c r="X218" s="66">
        <f>$G205*Datenbank!X211</f>
        <v>0</v>
      </c>
      <c r="Y218" s="66">
        <f>$G205*Datenbank!Y211</f>
        <v>0</v>
      </c>
      <c r="Z218" s="66">
        <f>$G205*Datenbank!Z211</f>
        <v>0</v>
      </c>
      <c r="AA218" s="66">
        <f>$G205*Datenbank!AA211</f>
        <v>0</v>
      </c>
      <c r="AB218" s="66">
        <f>$G205*Datenbank!AB211</f>
        <v>0</v>
      </c>
      <c r="AC218" s="66">
        <f>$G205*Datenbank!AC211</f>
        <v>0</v>
      </c>
      <c r="AD218" s="66">
        <f>$G205*Datenbank!AD211</f>
        <v>0</v>
      </c>
      <c r="AE218" s="66">
        <f>$G205*Datenbank!AE211</f>
        <v>0</v>
      </c>
      <c r="AF218" s="66">
        <f>$G205*Datenbank!AF211</f>
        <v>0</v>
      </c>
      <c r="AG218" s="66">
        <f>$G205*Datenbank!AG211</f>
        <v>0</v>
      </c>
      <c r="AH218" s="84"/>
      <c r="AI218" s="85">
        <f>SUM(D218:AG218)</f>
        <v>0</v>
      </c>
      <c r="AJ218" s="84"/>
      <c r="AK218" s="103"/>
      <c r="AM218" s="12" t="s">
        <v>185</v>
      </c>
      <c r="AN218" s="117" t="e">
        <f>Allgemein!F69</f>
        <v>#DIV/0!</v>
      </c>
      <c r="AO218" s="12"/>
      <c r="BH218" s="2" t="s">
        <v>578</v>
      </c>
      <c r="BI218" s="2">
        <v>1200</v>
      </c>
      <c r="BJ218" s="2">
        <v>500</v>
      </c>
      <c r="BN218" s="2">
        <v>926</v>
      </c>
    </row>
    <row r="219" spans="2:66">
      <c r="B219" s="46" t="s">
        <v>609</v>
      </c>
      <c r="D219" s="55" t="e">
        <f>$G204*Datenbank!D210</f>
        <v>#DIV/0!</v>
      </c>
      <c r="E219" s="55" t="e">
        <f>$G204*Datenbank!E210</f>
        <v>#DIV/0!</v>
      </c>
      <c r="F219" s="55" t="e">
        <f>$G204*Datenbank!F210</f>
        <v>#DIV/0!</v>
      </c>
      <c r="G219" s="55" t="e">
        <f>$G204*Datenbank!G210</f>
        <v>#DIV/0!</v>
      </c>
      <c r="H219" s="55" t="e">
        <f>$G204*Datenbank!H210</f>
        <v>#DIV/0!</v>
      </c>
      <c r="I219" s="55" t="e">
        <f>$G204*Datenbank!I210</f>
        <v>#DIV/0!</v>
      </c>
      <c r="J219" s="55" t="e">
        <f>$G204*Datenbank!J210</f>
        <v>#DIV/0!</v>
      </c>
      <c r="K219" s="55" t="e">
        <f>$G204*Datenbank!K210</f>
        <v>#DIV/0!</v>
      </c>
      <c r="L219" s="55" t="e">
        <f>$G204*Datenbank!L210</f>
        <v>#DIV/0!</v>
      </c>
      <c r="M219" s="55" t="e">
        <f>$G204*Datenbank!M210</f>
        <v>#DIV/0!</v>
      </c>
      <c r="N219" s="55" t="e">
        <f>$G204*Datenbank!N210</f>
        <v>#DIV/0!</v>
      </c>
      <c r="O219" s="55" t="e">
        <f>$G204*Datenbank!O210</f>
        <v>#DIV/0!</v>
      </c>
      <c r="P219" s="55" t="e">
        <f>$G204*Datenbank!P210</f>
        <v>#DIV/0!</v>
      </c>
      <c r="Q219" s="55" t="e">
        <f>$G204*Datenbank!Q210</f>
        <v>#DIV/0!</v>
      </c>
      <c r="R219" s="55" t="e">
        <f>$G204*Datenbank!R210</f>
        <v>#DIV/0!</v>
      </c>
      <c r="S219" s="55" t="e">
        <f>$G204*Datenbank!S210</f>
        <v>#DIV/0!</v>
      </c>
      <c r="T219" s="55" t="e">
        <f>$G204*Datenbank!T210</f>
        <v>#DIV/0!</v>
      </c>
      <c r="U219" s="55" t="e">
        <f>$G204*Datenbank!U210</f>
        <v>#DIV/0!</v>
      </c>
      <c r="V219" s="55" t="e">
        <f>$G204*Datenbank!V210</f>
        <v>#DIV/0!</v>
      </c>
      <c r="W219" s="55" t="e">
        <f>$G204*Datenbank!W210</f>
        <v>#DIV/0!</v>
      </c>
      <c r="X219" s="55" t="e">
        <f>$G204*Datenbank!X210</f>
        <v>#DIV/0!</v>
      </c>
      <c r="Y219" s="55" t="e">
        <f>$G204*Datenbank!Y210</f>
        <v>#DIV/0!</v>
      </c>
      <c r="Z219" s="55" t="e">
        <f>$G204*Datenbank!Z210</f>
        <v>#DIV/0!</v>
      </c>
      <c r="AA219" s="55" t="e">
        <f>$G204*Datenbank!AA210</f>
        <v>#DIV/0!</v>
      </c>
      <c r="AB219" s="55" t="e">
        <f>$G204*Datenbank!AB210</f>
        <v>#DIV/0!</v>
      </c>
      <c r="AC219" s="55" t="e">
        <f>$G204*Datenbank!AC210</f>
        <v>#DIV/0!</v>
      </c>
      <c r="AD219" s="55" t="e">
        <f>$G204*Datenbank!AD210</f>
        <v>#DIV/0!</v>
      </c>
      <c r="AE219" s="55" t="e">
        <f>$G204*Datenbank!AE210</f>
        <v>#DIV/0!</v>
      </c>
      <c r="AF219" s="55" t="e">
        <f>$G204*Datenbank!AF210</f>
        <v>#DIV/0!</v>
      </c>
      <c r="AG219" s="55" t="e">
        <f>$G204*Datenbank!AG210</f>
        <v>#DIV/0!</v>
      </c>
      <c r="AH219" s="90"/>
      <c r="AI219" s="87" t="e">
        <f t="shared" ref="AI219" si="482">SUM(D219:AG219)</f>
        <v>#DIV/0!</v>
      </c>
      <c r="AJ219" s="90"/>
      <c r="AK219" s="47"/>
      <c r="AM219" s="2" t="s">
        <v>79</v>
      </c>
      <c r="AN219" s="24" t="e">
        <f>SUM(AN214:AN218)</f>
        <v>#DIV/0!</v>
      </c>
      <c r="AO219" s="24">
        <f>SUM(AO212:AO218)</f>
        <v>0</v>
      </c>
      <c r="BH219" s="2" t="s">
        <v>578</v>
      </c>
      <c r="BI219" s="2">
        <v>1400</v>
      </c>
      <c r="BJ219" s="2">
        <v>500</v>
      </c>
      <c r="BN219" s="2">
        <v>1080</v>
      </c>
    </row>
    <row r="220" spans="2:66">
      <c r="B220" s="46" t="s">
        <v>610</v>
      </c>
      <c r="C220" s="2" t="str">
        <f>IF(J204="Ja","mit WP","ohne WP")</f>
        <v>ohne WP</v>
      </c>
      <c r="D220" s="54" t="e">
        <f t="shared" ref="D220:AG220" si="483">IF($J204="Ja",D218,D219)</f>
        <v>#DIV/0!</v>
      </c>
      <c r="E220" s="54" t="e">
        <f t="shared" si="483"/>
        <v>#DIV/0!</v>
      </c>
      <c r="F220" s="54" t="e">
        <f t="shared" si="483"/>
        <v>#DIV/0!</v>
      </c>
      <c r="G220" s="54" t="e">
        <f t="shared" si="483"/>
        <v>#DIV/0!</v>
      </c>
      <c r="H220" s="54" t="e">
        <f t="shared" si="483"/>
        <v>#DIV/0!</v>
      </c>
      <c r="I220" s="54" t="e">
        <f t="shared" si="483"/>
        <v>#DIV/0!</v>
      </c>
      <c r="J220" s="54" t="e">
        <f t="shared" si="483"/>
        <v>#DIV/0!</v>
      </c>
      <c r="K220" s="54" t="e">
        <f t="shared" si="483"/>
        <v>#DIV/0!</v>
      </c>
      <c r="L220" s="54" t="e">
        <f t="shared" si="483"/>
        <v>#DIV/0!</v>
      </c>
      <c r="M220" s="54" t="e">
        <f t="shared" si="483"/>
        <v>#DIV/0!</v>
      </c>
      <c r="N220" s="54" t="e">
        <f t="shared" si="483"/>
        <v>#DIV/0!</v>
      </c>
      <c r="O220" s="54" t="e">
        <f t="shared" si="483"/>
        <v>#DIV/0!</v>
      </c>
      <c r="P220" s="54" t="e">
        <f t="shared" si="483"/>
        <v>#DIV/0!</v>
      </c>
      <c r="Q220" s="54" t="e">
        <f t="shared" si="483"/>
        <v>#DIV/0!</v>
      </c>
      <c r="R220" s="54" t="e">
        <f t="shared" si="483"/>
        <v>#DIV/0!</v>
      </c>
      <c r="S220" s="54" t="e">
        <f t="shared" si="483"/>
        <v>#DIV/0!</v>
      </c>
      <c r="T220" s="54" t="e">
        <f t="shared" si="483"/>
        <v>#DIV/0!</v>
      </c>
      <c r="U220" s="54" t="e">
        <f t="shared" si="483"/>
        <v>#DIV/0!</v>
      </c>
      <c r="V220" s="54" t="e">
        <f t="shared" si="483"/>
        <v>#DIV/0!</v>
      </c>
      <c r="W220" s="54" t="e">
        <f t="shared" si="483"/>
        <v>#DIV/0!</v>
      </c>
      <c r="X220" s="54" t="e">
        <f t="shared" si="483"/>
        <v>#DIV/0!</v>
      </c>
      <c r="Y220" s="54" t="e">
        <f t="shared" si="483"/>
        <v>#DIV/0!</v>
      </c>
      <c r="Z220" s="54" t="e">
        <f t="shared" si="483"/>
        <v>#DIV/0!</v>
      </c>
      <c r="AA220" s="54" t="e">
        <f t="shared" si="483"/>
        <v>#DIV/0!</v>
      </c>
      <c r="AB220" s="54" t="e">
        <f t="shared" si="483"/>
        <v>#DIV/0!</v>
      </c>
      <c r="AC220" s="54" t="e">
        <f t="shared" si="483"/>
        <v>#DIV/0!</v>
      </c>
      <c r="AD220" s="54" t="e">
        <f t="shared" si="483"/>
        <v>#DIV/0!</v>
      </c>
      <c r="AE220" s="54" t="e">
        <f t="shared" si="483"/>
        <v>#DIV/0!</v>
      </c>
      <c r="AF220" s="54" t="e">
        <f t="shared" si="483"/>
        <v>#DIV/0!</v>
      </c>
      <c r="AG220" s="54" t="e">
        <f t="shared" si="483"/>
        <v>#DIV/0!</v>
      </c>
      <c r="AH220" s="90"/>
      <c r="AI220" s="87" t="e">
        <f>SUM(D220:AG220)</f>
        <v>#DIV/0!</v>
      </c>
      <c r="AJ220" s="90"/>
      <c r="AK220" s="101"/>
      <c r="BH220" s="2" t="s">
        <v>578</v>
      </c>
      <c r="BI220" s="2">
        <v>1600</v>
      </c>
      <c r="BJ220" s="2">
        <v>500</v>
      </c>
      <c r="BN220" s="2">
        <v>1235</v>
      </c>
    </row>
    <row r="221" spans="2:66">
      <c r="B221" s="46" t="s">
        <v>611</v>
      </c>
      <c r="D221" s="54" t="e">
        <f>D213+D220</f>
        <v>#DIV/0!</v>
      </c>
      <c r="E221" s="54" t="e">
        <f t="shared" ref="E221:AG221" si="484">E213+E220</f>
        <v>#DIV/0!</v>
      </c>
      <c r="F221" s="54" t="e">
        <f t="shared" si="484"/>
        <v>#DIV/0!</v>
      </c>
      <c r="G221" s="54" t="e">
        <f t="shared" si="484"/>
        <v>#DIV/0!</v>
      </c>
      <c r="H221" s="54" t="e">
        <f t="shared" si="484"/>
        <v>#DIV/0!</v>
      </c>
      <c r="I221" s="54" t="e">
        <f t="shared" si="484"/>
        <v>#DIV/0!</v>
      </c>
      <c r="J221" s="54" t="e">
        <f t="shared" si="484"/>
        <v>#DIV/0!</v>
      </c>
      <c r="K221" s="54" t="e">
        <f t="shared" si="484"/>
        <v>#DIV/0!</v>
      </c>
      <c r="L221" s="54" t="e">
        <f t="shared" si="484"/>
        <v>#DIV/0!</v>
      </c>
      <c r="M221" s="54" t="e">
        <f t="shared" si="484"/>
        <v>#DIV/0!</v>
      </c>
      <c r="N221" s="54" t="e">
        <f t="shared" si="484"/>
        <v>#DIV/0!</v>
      </c>
      <c r="O221" s="54" t="e">
        <f t="shared" si="484"/>
        <v>#DIV/0!</v>
      </c>
      <c r="P221" s="54" t="e">
        <f t="shared" si="484"/>
        <v>#DIV/0!</v>
      </c>
      <c r="Q221" s="54" t="e">
        <f t="shared" si="484"/>
        <v>#DIV/0!</v>
      </c>
      <c r="R221" s="54" t="e">
        <f t="shared" si="484"/>
        <v>#DIV/0!</v>
      </c>
      <c r="S221" s="54" t="e">
        <f t="shared" si="484"/>
        <v>#DIV/0!</v>
      </c>
      <c r="T221" s="54" t="e">
        <f t="shared" si="484"/>
        <v>#DIV/0!</v>
      </c>
      <c r="U221" s="54" t="e">
        <f t="shared" si="484"/>
        <v>#DIV/0!</v>
      </c>
      <c r="V221" s="54" t="e">
        <f t="shared" si="484"/>
        <v>#DIV/0!</v>
      </c>
      <c r="W221" s="54" t="e">
        <f t="shared" si="484"/>
        <v>#DIV/0!</v>
      </c>
      <c r="X221" s="54" t="e">
        <f t="shared" si="484"/>
        <v>#DIV/0!</v>
      </c>
      <c r="Y221" s="54" t="e">
        <f t="shared" si="484"/>
        <v>#DIV/0!</v>
      </c>
      <c r="Z221" s="54" t="e">
        <f t="shared" si="484"/>
        <v>#DIV/0!</v>
      </c>
      <c r="AA221" s="54" t="e">
        <f t="shared" si="484"/>
        <v>#DIV/0!</v>
      </c>
      <c r="AB221" s="54" t="e">
        <f t="shared" si="484"/>
        <v>#DIV/0!</v>
      </c>
      <c r="AC221" s="54" t="e">
        <f t="shared" si="484"/>
        <v>#DIV/0!</v>
      </c>
      <c r="AD221" s="54" t="e">
        <f t="shared" si="484"/>
        <v>#DIV/0!</v>
      </c>
      <c r="AE221" s="54" t="e">
        <f t="shared" si="484"/>
        <v>#DIV/0!</v>
      </c>
      <c r="AF221" s="54" t="e">
        <f t="shared" si="484"/>
        <v>#DIV/0!</v>
      </c>
      <c r="AG221" s="54" t="e">
        <f t="shared" si="484"/>
        <v>#DIV/0!</v>
      </c>
      <c r="AH221" s="90"/>
      <c r="AI221" s="87" t="e">
        <f>SUM(D221:AG221)</f>
        <v>#DIV/0!</v>
      </c>
      <c r="AJ221" s="91" t="e">
        <f>AI215-AI221</f>
        <v>#DIV/0!</v>
      </c>
      <c r="AK221" s="47"/>
      <c r="AM221" s="2" t="s">
        <v>612</v>
      </c>
      <c r="AN221" s="24" t="e">
        <f>AN219-AO219</f>
        <v>#DIV/0!</v>
      </c>
      <c r="BH221" s="2" t="s">
        <v>578</v>
      </c>
      <c r="BI221" s="2">
        <v>1800</v>
      </c>
      <c r="BJ221" s="2">
        <v>500</v>
      </c>
      <c r="BN221" s="2">
        <v>1389</v>
      </c>
    </row>
    <row r="222" spans="2:66">
      <c r="B222" s="46" t="s">
        <v>613</v>
      </c>
      <c r="D222" s="55" t="e">
        <f>$S204*Allgemein!$H$140</f>
        <v>#N/A</v>
      </c>
      <c r="E222" s="55" t="e">
        <f>$S204*Allgemein!$H$140</f>
        <v>#N/A</v>
      </c>
      <c r="F222" s="55" t="e">
        <f>$S204*Allgemein!$H$140</f>
        <v>#N/A</v>
      </c>
      <c r="G222" s="55" t="e">
        <f>$S204*Allgemein!$H$140</f>
        <v>#N/A</v>
      </c>
      <c r="H222" s="55" t="e">
        <f>$S204*Allgemein!$H$140</f>
        <v>#N/A</v>
      </c>
      <c r="I222" s="55" t="e">
        <f>$S204*Allgemein!$H$140</f>
        <v>#N/A</v>
      </c>
      <c r="J222" s="55" t="e">
        <f>$S204*Allgemein!$H$140</f>
        <v>#N/A</v>
      </c>
      <c r="K222" s="55" t="e">
        <f>$S204*Allgemein!$H$140</f>
        <v>#N/A</v>
      </c>
      <c r="L222" s="55" t="e">
        <f>$S204*Allgemein!$H$140</f>
        <v>#N/A</v>
      </c>
      <c r="M222" s="55" t="e">
        <f>$S204*Allgemein!$H$140</f>
        <v>#N/A</v>
      </c>
      <c r="N222" s="55" t="e">
        <f>$S204*Allgemein!$H$140</f>
        <v>#N/A</v>
      </c>
      <c r="O222" s="55" t="e">
        <f>$S204*Allgemein!$H$140</f>
        <v>#N/A</v>
      </c>
      <c r="P222" s="55" t="e">
        <f>$S204*Allgemein!$H$140</f>
        <v>#N/A</v>
      </c>
      <c r="Q222" s="55" t="e">
        <f>$S204*Allgemein!$H$140</f>
        <v>#N/A</v>
      </c>
      <c r="R222" s="55" t="e">
        <f>$S204*Allgemein!$H$140</f>
        <v>#N/A</v>
      </c>
      <c r="S222" s="55" t="e">
        <f>$S204*Allgemein!$H$140</f>
        <v>#N/A</v>
      </c>
      <c r="T222" s="55" t="e">
        <f>$S204*Allgemein!$H$140</f>
        <v>#N/A</v>
      </c>
      <c r="U222" s="55" t="e">
        <f>$S204*Allgemein!$H$140</f>
        <v>#N/A</v>
      </c>
      <c r="V222" s="55" t="e">
        <f>$S204*Allgemein!$H$140</f>
        <v>#N/A</v>
      </c>
      <c r="W222" s="55" t="e">
        <f>$S204*Allgemein!$H$140</f>
        <v>#N/A</v>
      </c>
      <c r="X222" s="55" t="e">
        <f>$S204*Allgemein!$H$141</f>
        <v>#N/A</v>
      </c>
      <c r="Y222" s="55" t="e">
        <f>$S204*Allgemein!$H$141</f>
        <v>#N/A</v>
      </c>
      <c r="Z222" s="55" t="e">
        <f>$S204*Allgemein!$H$141</f>
        <v>#N/A</v>
      </c>
      <c r="AA222" s="55" t="e">
        <f>$S204*Allgemein!$H$141</f>
        <v>#N/A</v>
      </c>
      <c r="AB222" s="55" t="e">
        <f>$S204*Allgemein!$H$141</f>
        <v>#N/A</v>
      </c>
      <c r="AC222" s="55" t="e">
        <f>$S204*Allgemein!$H$141</f>
        <v>#N/A</v>
      </c>
      <c r="AD222" s="55" t="e">
        <f>$S204*Allgemein!$H$141</f>
        <v>#N/A</v>
      </c>
      <c r="AE222" s="55" t="e">
        <f>$S204*Allgemein!$H$141</f>
        <v>#N/A</v>
      </c>
      <c r="AF222" s="55" t="e">
        <f>$S204*Allgemein!$H$141</f>
        <v>#N/A</v>
      </c>
      <c r="AG222" s="55" t="e">
        <f>$S204*Allgemein!$H$141</f>
        <v>#N/A</v>
      </c>
      <c r="AH222" s="90"/>
      <c r="AI222" s="87" t="e">
        <f>SUM(D222:AG222)</f>
        <v>#N/A</v>
      </c>
      <c r="AJ222" s="90"/>
      <c r="AK222" s="47"/>
      <c r="BH222" s="2" t="s">
        <v>578</v>
      </c>
      <c r="BI222" s="2">
        <v>2000</v>
      </c>
      <c r="BJ222" s="2">
        <v>500</v>
      </c>
      <c r="BN222" s="2">
        <v>1543</v>
      </c>
    </row>
    <row r="223" spans="2:66">
      <c r="B223" s="46" t="s">
        <v>614</v>
      </c>
      <c r="D223" s="54">
        <f>$S205*Datenbank!D211+IF($J204="Nein",Datenbank!D220,0)</f>
        <v>0</v>
      </c>
      <c r="E223" s="54">
        <f>$S205*Datenbank!E211+IF($J204="Nein",Datenbank!E220,0)</f>
        <v>0</v>
      </c>
      <c r="F223" s="54">
        <f>$S205*Datenbank!F211+IF($J204="Nein",Datenbank!F220,0)</f>
        <v>0</v>
      </c>
      <c r="G223" s="54">
        <f>$S205*Datenbank!G211+IF($J204="Nein",Datenbank!G220,0)</f>
        <v>0</v>
      </c>
      <c r="H223" s="54">
        <f>$S205*Datenbank!H211+IF($J204="Nein",Datenbank!H220,0)</f>
        <v>0</v>
      </c>
      <c r="I223" s="54">
        <f>$S205*Datenbank!I211+IF($J204="Nein",Datenbank!I220,0)</f>
        <v>0</v>
      </c>
      <c r="J223" s="54">
        <f>$S205*Datenbank!J211+IF($J204="Nein",Datenbank!J220,0)</f>
        <v>0</v>
      </c>
      <c r="K223" s="54">
        <f>$S205*Datenbank!K211+IF($J204="Nein",Datenbank!K220,0)</f>
        <v>0</v>
      </c>
      <c r="L223" s="54">
        <f>$S205*Datenbank!L211+IF($J204="Nein",Datenbank!L220,0)</f>
        <v>0</v>
      </c>
      <c r="M223" s="54">
        <f>$S205*Datenbank!M211+IF($J204="Nein",Datenbank!M220,0)</f>
        <v>0</v>
      </c>
      <c r="N223" s="54">
        <f>$S205*Datenbank!N211+IF($J204="Nein",Datenbank!N220,0)</f>
        <v>0</v>
      </c>
      <c r="O223" s="54">
        <f>$S205*Datenbank!O211+IF($J204="Nein",Datenbank!O220,0)</f>
        <v>0</v>
      </c>
      <c r="P223" s="54">
        <f>$S205*Datenbank!P211+IF($J204="Nein",Datenbank!P220,0)</f>
        <v>0</v>
      </c>
      <c r="Q223" s="54">
        <f>$S205*Datenbank!Q211+IF($J204="Nein",Datenbank!Q220,0)</f>
        <v>0</v>
      </c>
      <c r="R223" s="54">
        <f>$S205*Datenbank!R211+IF($J204="Nein",Datenbank!R220,0)</f>
        <v>0</v>
      </c>
      <c r="S223" s="54">
        <f>$S205*Datenbank!S211+IF($J204="Nein",Datenbank!S220,0)</f>
        <v>0</v>
      </c>
      <c r="T223" s="54">
        <f>$S205*Datenbank!T211+IF($J204="Nein",Datenbank!T220,0)</f>
        <v>0</v>
      </c>
      <c r="U223" s="54">
        <f>$S205*Datenbank!U211+IF($J204="Nein",Datenbank!U220,0)</f>
        <v>0</v>
      </c>
      <c r="V223" s="54">
        <f>$S205*Datenbank!V211+IF($J204="Nein",Datenbank!V220,0)</f>
        <v>0</v>
      </c>
      <c r="W223" s="54">
        <f>$S205*Datenbank!W211+IF($J204="Nein",Datenbank!W220,0)</f>
        <v>0</v>
      </c>
      <c r="X223" s="54">
        <f>$S205*Datenbank!X211+IF($J204="Nein",Datenbank!X220,0)</f>
        <v>0</v>
      </c>
      <c r="Y223" s="54">
        <f>$S205*Datenbank!Y211+IF($J204="Nein",Datenbank!Y220,0)</f>
        <v>0</v>
      </c>
      <c r="Z223" s="54">
        <f>$S205*Datenbank!Z211+IF($J204="Nein",Datenbank!Z220,0)</f>
        <v>0</v>
      </c>
      <c r="AA223" s="54">
        <f>$S205*Datenbank!AA211+IF($J204="Nein",Datenbank!AA220,0)</f>
        <v>0</v>
      </c>
      <c r="AB223" s="54">
        <f>$S205*Datenbank!AB211+IF($J204="Nein",Datenbank!AB220,0)</f>
        <v>0</v>
      </c>
      <c r="AC223" s="54">
        <f>$S205*Datenbank!AC211+IF($J204="Nein",Datenbank!AC220,0)</f>
        <v>0</v>
      </c>
      <c r="AD223" s="54">
        <f>$S205*Datenbank!AD211+IF($J204="Nein",Datenbank!AD220,0)</f>
        <v>0</v>
      </c>
      <c r="AE223" s="54">
        <f>$S205*Datenbank!AE211+IF($J204="Nein",Datenbank!AE220,0)</f>
        <v>0</v>
      </c>
      <c r="AF223" s="54">
        <f>$S205*Datenbank!AF211+IF($J204="Nein",Datenbank!AF220,0)</f>
        <v>0</v>
      </c>
      <c r="AG223" s="54">
        <f>$S205*Datenbank!AG211+IF($J204="Nein",Datenbank!AG220,0)</f>
        <v>0</v>
      </c>
      <c r="AH223" s="90"/>
      <c r="AI223" s="87">
        <f>SUM(D223:AG223)</f>
        <v>0</v>
      </c>
      <c r="AJ223" s="91" t="e">
        <f>AI215-AI223</f>
        <v>#DIV/0!</v>
      </c>
      <c r="AK223" s="47"/>
      <c r="BH223" s="2" t="s">
        <v>578</v>
      </c>
      <c r="BI223" s="2">
        <v>2200</v>
      </c>
      <c r="BJ223" s="2">
        <v>500</v>
      </c>
      <c r="BN223" s="2">
        <v>1698</v>
      </c>
    </row>
    <row r="224" spans="2:66">
      <c r="B224" s="46" t="s">
        <v>615</v>
      </c>
      <c r="D224" s="25" t="e">
        <f t="shared" ref="D224:I224" si="485">D223-D222</f>
        <v>#N/A</v>
      </c>
      <c r="E224" s="25" t="e">
        <f t="shared" si="485"/>
        <v>#N/A</v>
      </c>
      <c r="F224" s="25" t="e">
        <f t="shared" si="485"/>
        <v>#N/A</v>
      </c>
      <c r="G224" s="25" t="e">
        <f t="shared" si="485"/>
        <v>#N/A</v>
      </c>
      <c r="H224" s="25" t="e">
        <f t="shared" si="485"/>
        <v>#N/A</v>
      </c>
      <c r="I224" s="25" t="e">
        <f t="shared" si="485"/>
        <v>#N/A</v>
      </c>
      <c r="J224" s="25" t="e">
        <f t="shared" ref="J224:AG224" si="486">J223-J222</f>
        <v>#N/A</v>
      </c>
      <c r="K224" s="25" t="e">
        <f t="shared" si="486"/>
        <v>#N/A</v>
      </c>
      <c r="L224" s="25" t="e">
        <f t="shared" si="486"/>
        <v>#N/A</v>
      </c>
      <c r="M224" s="25" t="e">
        <f t="shared" si="486"/>
        <v>#N/A</v>
      </c>
      <c r="N224" s="25" t="e">
        <f t="shared" si="486"/>
        <v>#N/A</v>
      </c>
      <c r="O224" s="25" t="e">
        <f t="shared" si="486"/>
        <v>#N/A</v>
      </c>
      <c r="P224" s="25" t="e">
        <f t="shared" si="486"/>
        <v>#N/A</v>
      </c>
      <c r="Q224" s="25" t="e">
        <f t="shared" si="486"/>
        <v>#N/A</v>
      </c>
      <c r="R224" s="25" t="e">
        <f t="shared" si="486"/>
        <v>#N/A</v>
      </c>
      <c r="S224" s="25" t="e">
        <f t="shared" si="486"/>
        <v>#N/A</v>
      </c>
      <c r="T224" s="25" t="e">
        <f t="shared" si="486"/>
        <v>#N/A</v>
      </c>
      <c r="U224" s="25" t="e">
        <f t="shared" si="486"/>
        <v>#N/A</v>
      </c>
      <c r="V224" s="25" t="e">
        <f t="shared" si="486"/>
        <v>#N/A</v>
      </c>
      <c r="W224" s="25" t="e">
        <f t="shared" si="486"/>
        <v>#N/A</v>
      </c>
      <c r="X224" s="25" t="e">
        <f t="shared" si="486"/>
        <v>#N/A</v>
      </c>
      <c r="Y224" s="25" t="e">
        <f t="shared" si="486"/>
        <v>#N/A</v>
      </c>
      <c r="Z224" s="25" t="e">
        <f t="shared" si="486"/>
        <v>#N/A</v>
      </c>
      <c r="AA224" s="25" t="e">
        <f t="shared" si="486"/>
        <v>#N/A</v>
      </c>
      <c r="AB224" s="25" t="e">
        <f t="shared" si="486"/>
        <v>#N/A</v>
      </c>
      <c r="AC224" s="25" t="e">
        <f t="shared" si="486"/>
        <v>#N/A</v>
      </c>
      <c r="AD224" s="25" t="e">
        <f t="shared" si="486"/>
        <v>#N/A</v>
      </c>
      <c r="AE224" s="25" t="e">
        <f t="shared" si="486"/>
        <v>#N/A</v>
      </c>
      <c r="AF224" s="25" t="e">
        <f t="shared" si="486"/>
        <v>#N/A</v>
      </c>
      <c r="AG224" s="25" t="e">
        <f t="shared" si="486"/>
        <v>#N/A</v>
      </c>
      <c r="AH224" s="106"/>
      <c r="AI224" s="93" t="e">
        <f>AI223-AI222</f>
        <v>#N/A</v>
      </c>
      <c r="AJ224" s="106" t="e">
        <f>AI215-AI224</f>
        <v>#DIV/0!</v>
      </c>
      <c r="AK224" s="98"/>
      <c r="BH224" s="2" t="s">
        <v>578</v>
      </c>
      <c r="BI224" s="2">
        <v>2300</v>
      </c>
      <c r="BJ224" s="2">
        <v>500</v>
      </c>
      <c r="BN224" s="2">
        <v>1715</v>
      </c>
    </row>
    <row r="225" spans="2:66">
      <c r="B225" s="46" t="s">
        <v>616</v>
      </c>
      <c r="D225" s="25" t="e">
        <f>IF($J205="Ja",D224,D220+D213)</f>
        <v>#DIV/0!</v>
      </c>
      <c r="E225" s="25" t="e">
        <f t="shared" ref="E225:AG225" si="487">IF($J205="Ja",E224,E220+E213)</f>
        <v>#DIV/0!</v>
      </c>
      <c r="F225" s="25" t="e">
        <f t="shared" si="487"/>
        <v>#DIV/0!</v>
      </c>
      <c r="G225" s="25" t="e">
        <f t="shared" si="487"/>
        <v>#DIV/0!</v>
      </c>
      <c r="H225" s="25" t="e">
        <f t="shared" si="487"/>
        <v>#DIV/0!</v>
      </c>
      <c r="I225" s="25" t="e">
        <f t="shared" si="487"/>
        <v>#DIV/0!</v>
      </c>
      <c r="J225" s="25" t="e">
        <f t="shared" si="487"/>
        <v>#DIV/0!</v>
      </c>
      <c r="K225" s="25" t="e">
        <f t="shared" si="487"/>
        <v>#DIV/0!</v>
      </c>
      <c r="L225" s="25" t="e">
        <f t="shared" si="487"/>
        <v>#DIV/0!</v>
      </c>
      <c r="M225" s="25" t="e">
        <f t="shared" si="487"/>
        <v>#DIV/0!</v>
      </c>
      <c r="N225" s="25" t="e">
        <f t="shared" si="487"/>
        <v>#DIV/0!</v>
      </c>
      <c r="O225" s="25" t="e">
        <f t="shared" si="487"/>
        <v>#DIV/0!</v>
      </c>
      <c r="P225" s="25" t="e">
        <f t="shared" si="487"/>
        <v>#DIV/0!</v>
      </c>
      <c r="Q225" s="25" t="e">
        <f t="shared" si="487"/>
        <v>#DIV/0!</v>
      </c>
      <c r="R225" s="25" t="e">
        <f t="shared" si="487"/>
        <v>#DIV/0!</v>
      </c>
      <c r="S225" s="25" t="e">
        <f t="shared" si="487"/>
        <v>#DIV/0!</v>
      </c>
      <c r="T225" s="25" t="e">
        <f t="shared" si="487"/>
        <v>#DIV/0!</v>
      </c>
      <c r="U225" s="25" t="e">
        <f t="shared" si="487"/>
        <v>#DIV/0!</v>
      </c>
      <c r="V225" s="25" t="e">
        <f t="shared" si="487"/>
        <v>#DIV/0!</v>
      </c>
      <c r="W225" s="25" t="e">
        <f t="shared" si="487"/>
        <v>#DIV/0!</v>
      </c>
      <c r="X225" s="25" t="e">
        <f t="shared" si="487"/>
        <v>#DIV/0!</v>
      </c>
      <c r="Y225" s="25" t="e">
        <f t="shared" si="487"/>
        <v>#DIV/0!</v>
      </c>
      <c r="Z225" s="25" t="e">
        <f t="shared" si="487"/>
        <v>#DIV/0!</v>
      </c>
      <c r="AA225" s="25" t="e">
        <f t="shared" si="487"/>
        <v>#DIV/0!</v>
      </c>
      <c r="AB225" s="25" t="e">
        <f t="shared" si="487"/>
        <v>#DIV/0!</v>
      </c>
      <c r="AC225" s="25" t="e">
        <f t="shared" si="487"/>
        <v>#DIV/0!</v>
      </c>
      <c r="AD225" s="25" t="e">
        <f t="shared" si="487"/>
        <v>#DIV/0!</v>
      </c>
      <c r="AE225" s="25" t="e">
        <f t="shared" si="487"/>
        <v>#DIV/0!</v>
      </c>
      <c r="AF225" s="25" t="e">
        <f t="shared" si="487"/>
        <v>#DIV/0!</v>
      </c>
      <c r="AG225" s="25" t="e">
        <f t="shared" si="487"/>
        <v>#DIV/0!</v>
      </c>
      <c r="AH225" s="91"/>
      <c r="AI225" s="493"/>
      <c r="AJ225" s="91"/>
      <c r="AK225" s="47"/>
      <c r="BH225" s="2" t="s">
        <v>578</v>
      </c>
      <c r="BI225" s="2">
        <v>2600</v>
      </c>
      <c r="BJ225" s="2">
        <v>500</v>
      </c>
      <c r="BN225" s="2">
        <v>1939</v>
      </c>
    </row>
    <row r="226" spans="2:66">
      <c r="B226" s="46" t="s">
        <v>617</v>
      </c>
      <c r="D226" s="25" t="e">
        <f>D225/12</f>
        <v>#DIV/0!</v>
      </c>
      <c r="E226" s="25" t="e">
        <f t="shared" ref="E226:AG226" si="488">E225/12</f>
        <v>#DIV/0!</v>
      </c>
      <c r="F226" s="25" t="e">
        <f t="shared" si="488"/>
        <v>#DIV/0!</v>
      </c>
      <c r="G226" s="25" t="e">
        <f t="shared" si="488"/>
        <v>#DIV/0!</v>
      </c>
      <c r="H226" s="25" t="e">
        <f t="shared" si="488"/>
        <v>#DIV/0!</v>
      </c>
      <c r="I226" s="25" t="e">
        <f t="shared" si="488"/>
        <v>#DIV/0!</v>
      </c>
      <c r="J226" s="25" t="e">
        <f t="shared" si="488"/>
        <v>#DIV/0!</v>
      </c>
      <c r="K226" s="25" t="e">
        <f t="shared" si="488"/>
        <v>#DIV/0!</v>
      </c>
      <c r="L226" s="25" t="e">
        <f t="shared" si="488"/>
        <v>#DIV/0!</v>
      </c>
      <c r="M226" s="25" t="e">
        <f t="shared" si="488"/>
        <v>#DIV/0!</v>
      </c>
      <c r="N226" s="25" t="e">
        <f t="shared" si="488"/>
        <v>#DIV/0!</v>
      </c>
      <c r="O226" s="25" t="e">
        <f t="shared" si="488"/>
        <v>#DIV/0!</v>
      </c>
      <c r="P226" s="25" t="e">
        <f t="shared" si="488"/>
        <v>#DIV/0!</v>
      </c>
      <c r="Q226" s="25" t="e">
        <f t="shared" si="488"/>
        <v>#DIV/0!</v>
      </c>
      <c r="R226" s="25" t="e">
        <f t="shared" si="488"/>
        <v>#DIV/0!</v>
      </c>
      <c r="S226" s="25" t="e">
        <f t="shared" si="488"/>
        <v>#DIV/0!</v>
      </c>
      <c r="T226" s="25" t="e">
        <f t="shared" si="488"/>
        <v>#DIV/0!</v>
      </c>
      <c r="U226" s="25" t="e">
        <f t="shared" si="488"/>
        <v>#DIV/0!</v>
      </c>
      <c r="V226" s="25" t="e">
        <f t="shared" si="488"/>
        <v>#DIV/0!</v>
      </c>
      <c r="W226" s="25" t="e">
        <f t="shared" si="488"/>
        <v>#DIV/0!</v>
      </c>
      <c r="X226" s="25" t="e">
        <f t="shared" si="488"/>
        <v>#DIV/0!</v>
      </c>
      <c r="Y226" s="25" t="e">
        <f t="shared" si="488"/>
        <v>#DIV/0!</v>
      </c>
      <c r="Z226" s="25" t="e">
        <f t="shared" si="488"/>
        <v>#DIV/0!</v>
      </c>
      <c r="AA226" s="25" t="e">
        <f t="shared" si="488"/>
        <v>#DIV/0!</v>
      </c>
      <c r="AB226" s="25" t="e">
        <f t="shared" si="488"/>
        <v>#DIV/0!</v>
      </c>
      <c r="AC226" s="25" t="e">
        <f t="shared" si="488"/>
        <v>#DIV/0!</v>
      </c>
      <c r="AD226" s="25" t="e">
        <f t="shared" si="488"/>
        <v>#DIV/0!</v>
      </c>
      <c r="AE226" s="25" t="e">
        <f t="shared" si="488"/>
        <v>#DIV/0!</v>
      </c>
      <c r="AF226" s="25" t="e">
        <f t="shared" si="488"/>
        <v>#DIV/0!</v>
      </c>
      <c r="AG226" s="25" t="e">
        <f t="shared" si="488"/>
        <v>#DIV/0!</v>
      </c>
      <c r="AH226" s="91"/>
      <c r="AI226" s="24"/>
      <c r="AJ226" s="91"/>
      <c r="AK226" s="47"/>
    </row>
    <row r="227" spans="2:66" ht="18.600000000000001">
      <c r="B227" s="46" t="s">
        <v>618</v>
      </c>
      <c r="D227" s="54" t="e">
        <f t="shared" ref="D227:AG227" si="489">IF($J205="Ja",D215-D223+D222,D214-D220)</f>
        <v>#DIV/0!</v>
      </c>
      <c r="E227" s="54" t="e">
        <f t="shared" si="489"/>
        <v>#DIV/0!</v>
      </c>
      <c r="F227" s="54" t="e">
        <f t="shared" si="489"/>
        <v>#DIV/0!</v>
      </c>
      <c r="G227" s="54" t="e">
        <f t="shared" si="489"/>
        <v>#DIV/0!</v>
      </c>
      <c r="H227" s="54" t="e">
        <f t="shared" si="489"/>
        <v>#DIV/0!</v>
      </c>
      <c r="I227" s="54" t="e">
        <f t="shared" si="489"/>
        <v>#DIV/0!</v>
      </c>
      <c r="J227" s="54" t="e">
        <f t="shared" si="489"/>
        <v>#DIV/0!</v>
      </c>
      <c r="K227" s="54" t="e">
        <f t="shared" si="489"/>
        <v>#DIV/0!</v>
      </c>
      <c r="L227" s="54" t="e">
        <f t="shared" si="489"/>
        <v>#DIV/0!</v>
      </c>
      <c r="M227" s="54" t="e">
        <f t="shared" si="489"/>
        <v>#DIV/0!</v>
      </c>
      <c r="N227" s="54" t="e">
        <f t="shared" si="489"/>
        <v>#DIV/0!</v>
      </c>
      <c r="O227" s="54" t="e">
        <f t="shared" si="489"/>
        <v>#DIV/0!</v>
      </c>
      <c r="P227" s="54" t="e">
        <f t="shared" si="489"/>
        <v>#DIV/0!</v>
      </c>
      <c r="Q227" s="54" t="e">
        <f t="shared" si="489"/>
        <v>#DIV/0!</v>
      </c>
      <c r="R227" s="54" t="e">
        <f t="shared" si="489"/>
        <v>#DIV/0!</v>
      </c>
      <c r="S227" s="54" t="e">
        <f t="shared" si="489"/>
        <v>#DIV/0!</v>
      </c>
      <c r="T227" s="54" t="e">
        <f t="shared" si="489"/>
        <v>#DIV/0!</v>
      </c>
      <c r="U227" s="54" t="e">
        <f t="shared" si="489"/>
        <v>#DIV/0!</v>
      </c>
      <c r="V227" s="54" t="e">
        <f t="shared" si="489"/>
        <v>#DIV/0!</v>
      </c>
      <c r="W227" s="54" t="e">
        <f t="shared" si="489"/>
        <v>#DIV/0!</v>
      </c>
      <c r="X227" s="54" t="e">
        <f t="shared" si="489"/>
        <v>#DIV/0!</v>
      </c>
      <c r="Y227" s="54" t="e">
        <f t="shared" si="489"/>
        <v>#DIV/0!</v>
      </c>
      <c r="Z227" s="54" t="e">
        <f t="shared" si="489"/>
        <v>#DIV/0!</v>
      </c>
      <c r="AA227" s="54" t="e">
        <f t="shared" si="489"/>
        <v>#DIV/0!</v>
      </c>
      <c r="AB227" s="54" t="e">
        <f t="shared" si="489"/>
        <v>#DIV/0!</v>
      </c>
      <c r="AC227" s="54" t="e">
        <f t="shared" si="489"/>
        <v>#DIV/0!</v>
      </c>
      <c r="AD227" s="54" t="e">
        <f t="shared" si="489"/>
        <v>#DIV/0!</v>
      </c>
      <c r="AE227" s="54" t="e">
        <f t="shared" si="489"/>
        <v>#DIV/0!</v>
      </c>
      <c r="AF227" s="54" t="e">
        <f t="shared" si="489"/>
        <v>#DIV/0!</v>
      </c>
      <c r="AG227" s="54" t="e">
        <f t="shared" si="489"/>
        <v>#DIV/0!</v>
      </c>
      <c r="AH227" s="92" t="s">
        <v>619</v>
      </c>
      <c r="AI227" s="3" t="s">
        <v>348</v>
      </c>
      <c r="AJ227" s="107" t="s">
        <v>620</v>
      </c>
      <c r="AK227" s="97" t="str">
        <f>IF(Allgemein!J229="Ja","mit PV","ohne PV")</f>
        <v>ohne PV</v>
      </c>
      <c r="BH227" s="2" t="s">
        <v>578</v>
      </c>
      <c r="BI227" s="2">
        <v>3000</v>
      </c>
      <c r="BJ227" s="2">
        <v>500</v>
      </c>
      <c r="BN227" s="2">
        <v>2237</v>
      </c>
    </row>
    <row r="228" spans="2:66">
      <c r="B228" s="46" t="s">
        <v>621</v>
      </c>
      <c r="D228" s="54" t="e">
        <f>D227/12</f>
        <v>#DIV/0!</v>
      </c>
      <c r="E228" s="54" t="e">
        <f>E227/12</f>
        <v>#DIV/0!</v>
      </c>
      <c r="F228" s="54" t="e">
        <f>F227/12</f>
        <v>#DIV/0!</v>
      </c>
      <c r="G228" s="54" t="e">
        <f t="shared" ref="G228:AG228" si="490">G227/12</f>
        <v>#DIV/0!</v>
      </c>
      <c r="H228" s="54" t="e">
        <f t="shared" si="490"/>
        <v>#DIV/0!</v>
      </c>
      <c r="I228" s="54" t="e">
        <f t="shared" si="490"/>
        <v>#DIV/0!</v>
      </c>
      <c r="J228" s="54" t="e">
        <f t="shared" si="490"/>
        <v>#DIV/0!</v>
      </c>
      <c r="K228" s="54" t="e">
        <f t="shared" si="490"/>
        <v>#DIV/0!</v>
      </c>
      <c r="L228" s="54" t="e">
        <f t="shared" si="490"/>
        <v>#DIV/0!</v>
      </c>
      <c r="M228" s="54" t="e">
        <f t="shared" si="490"/>
        <v>#DIV/0!</v>
      </c>
      <c r="N228" s="54" t="e">
        <f t="shared" si="490"/>
        <v>#DIV/0!</v>
      </c>
      <c r="O228" s="54" t="e">
        <f t="shared" si="490"/>
        <v>#DIV/0!</v>
      </c>
      <c r="P228" s="54" t="e">
        <f t="shared" si="490"/>
        <v>#DIV/0!</v>
      </c>
      <c r="Q228" s="54" t="e">
        <f t="shared" si="490"/>
        <v>#DIV/0!</v>
      </c>
      <c r="R228" s="54" t="e">
        <f t="shared" si="490"/>
        <v>#DIV/0!</v>
      </c>
      <c r="S228" s="54" t="e">
        <f t="shared" si="490"/>
        <v>#DIV/0!</v>
      </c>
      <c r="T228" s="54" t="e">
        <f t="shared" si="490"/>
        <v>#DIV/0!</v>
      </c>
      <c r="U228" s="54" t="e">
        <f t="shared" si="490"/>
        <v>#DIV/0!</v>
      </c>
      <c r="V228" s="54" t="e">
        <f t="shared" si="490"/>
        <v>#DIV/0!</v>
      </c>
      <c r="W228" s="54" t="e">
        <f t="shared" si="490"/>
        <v>#DIV/0!</v>
      </c>
      <c r="X228" s="54" t="e">
        <f t="shared" si="490"/>
        <v>#DIV/0!</v>
      </c>
      <c r="Y228" s="54" t="e">
        <f t="shared" si="490"/>
        <v>#DIV/0!</v>
      </c>
      <c r="Z228" s="54" t="e">
        <f t="shared" si="490"/>
        <v>#DIV/0!</v>
      </c>
      <c r="AA228" s="54" t="e">
        <f t="shared" si="490"/>
        <v>#DIV/0!</v>
      </c>
      <c r="AB228" s="54" t="e">
        <f t="shared" si="490"/>
        <v>#DIV/0!</v>
      </c>
      <c r="AC228" s="54" t="e">
        <f t="shared" si="490"/>
        <v>#DIV/0!</v>
      </c>
      <c r="AD228" s="54" t="e">
        <f t="shared" si="490"/>
        <v>#DIV/0!</v>
      </c>
      <c r="AE228" s="54" t="e">
        <f t="shared" si="490"/>
        <v>#DIV/0!</v>
      </c>
      <c r="AF228" s="54" t="e">
        <f t="shared" si="490"/>
        <v>#DIV/0!</v>
      </c>
      <c r="AG228" s="108" t="e">
        <f t="shared" si="490"/>
        <v>#DIV/0!</v>
      </c>
      <c r="AI228" s="89" t="e">
        <f>IF($J205="Ja",Datenbank!AI224,AI221)</f>
        <v>#DIV/0!</v>
      </c>
      <c r="AJ228" s="105" t="e">
        <f>SUM(D227:AG227)</f>
        <v>#DIV/0!</v>
      </c>
      <c r="AK228" s="104" t="str">
        <f>IF(Allgemein!F232="Ja","mit WP","ohne WP")</f>
        <v>ohne WP</v>
      </c>
      <c r="BH228" s="2" t="s">
        <v>578</v>
      </c>
      <c r="BI228" s="2">
        <v>400</v>
      </c>
      <c r="BJ228" s="2">
        <v>600</v>
      </c>
      <c r="BN228" s="2">
        <v>354</v>
      </c>
    </row>
    <row r="229" spans="2:66" ht="18.600000000000001">
      <c r="B229" s="99" t="s">
        <v>622</v>
      </c>
      <c r="C229" s="81"/>
      <c r="D229" s="82"/>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c r="AH229" s="11"/>
      <c r="AI229" s="80" t="s">
        <v>622</v>
      </c>
      <c r="AJ229" s="11"/>
      <c r="AK229" s="100"/>
      <c r="BH229" s="2" t="s">
        <v>578</v>
      </c>
      <c r="BI229" s="2">
        <v>500</v>
      </c>
      <c r="BJ229" s="2">
        <v>600</v>
      </c>
      <c r="BN229" s="2">
        <v>442</v>
      </c>
    </row>
    <row r="230" spans="2:66">
      <c r="B230" s="46" t="s">
        <v>623</v>
      </c>
      <c r="D230" s="77">
        <f t="shared" ref="D230:AG230" si="491">D199</f>
        <v>0</v>
      </c>
      <c r="E230" s="77">
        <f>E199</f>
        <v>0</v>
      </c>
      <c r="F230" s="77">
        <f t="shared" si="491"/>
        <v>0</v>
      </c>
      <c r="G230" s="77">
        <f t="shared" si="491"/>
        <v>0</v>
      </c>
      <c r="H230" s="77">
        <f t="shared" si="491"/>
        <v>0</v>
      </c>
      <c r="I230" s="77">
        <f t="shared" si="491"/>
        <v>0</v>
      </c>
      <c r="J230" s="77">
        <f t="shared" si="491"/>
        <v>0</v>
      </c>
      <c r="K230" s="77">
        <f t="shared" si="491"/>
        <v>0</v>
      </c>
      <c r="L230" s="77">
        <f t="shared" si="491"/>
        <v>0</v>
      </c>
      <c r="M230" s="77">
        <f t="shared" si="491"/>
        <v>0</v>
      </c>
      <c r="N230" s="77">
        <f t="shared" si="491"/>
        <v>0</v>
      </c>
      <c r="O230" s="77">
        <f t="shared" si="491"/>
        <v>0</v>
      </c>
      <c r="P230" s="77">
        <f t="shared" si="491"/>
        <v>0</v>
      </c>
      <c r="Q230" s="77">
        <f t="shared" si="491"/>
        <v>0</v>
      </c>
      <c r="R230" s="77">
        <f t="shared" si="491"/>
        <v>0</v>
      </c>
      <c r="S230" s="77">
        <f t="shared" si="491"/>
        <v>0</v>
      </c>
      <c r="T230" s="77">
        <f t="shared" si="491"/>
        <v>0</v>
      </c>
      <c r="U230" s="77">
        <f t="shared" si="491"/>
        <v>0</v>
      </c>
      <c r="V230" s="77">
        <f t="shared" si="491"/>
        <v>0</v>
      </c>
      <c r="W230" s="77">
        <f t="shared" si="491"/>
        <v>0</v>
      </c>
      <c r="X230" s="77">
        <f t="shared" si="491"/>
        <v>0</v>
      </c>
      <c r="Y230" s="77">
        <f t="shared" si="491"/>
        <v>0</v>
      </c>
      <c r="Z230" s="77">
        <f t="shared" si="491"/>
        <v>0</v>
      </c>
      <c r="AA230" s="77">
        <f t="shared" si="491"/>
        <v>0</v>
      </c>
      <c r="AB230" s="77">
        <f t="shared" si="491"/>
        <v>0</v>
      </c>
      <c r="AC230" s="77">
        <f t="shared" si="491"/>
        <v>0</v>
      </c>
      <c r="AD230" s="77">
        <f t="shared" si="491"/>
        <v>0</v>
      </c>
      <c r="AE230" s="77">
        <f t="shared" si="491"/>
        <v>0</v>
      </c>
      <c r="AF230" s="77">
        <f t="shared" si="491"/>
        <v>0</v>
      </c>
      <c r="AG230" s="77">
        <f t="shared" si="491"/>
        <v>0</v>
      </c>
      <c r="AH230" s="84"/>
      <c r="AI230" s="85">
        <f>SUM(D230:AG230)</f>
        <v>0</v>
      </c>
      <c r="AJ230" s="84"/>
      <c r="AK230" s="116"/>
      <c r="BH230" s="2" t="s">
        <v>578</v>
      </c>
      <c r="BI230" s="2">
        <v>600</v>
      </c>
      <c r="BJ230" s="2">
        <v>600</v>
      </c>
      <c r="BN230" s="2">
        <v>531</v>
      </c>
    </row>
    <row r="231" spans="2:66">
      <c r="B231" s="46" t="s">
        <v>624</v>
      </c>
      <c r="D231" s="77">
        <f>D230/12</f>
        <v>0</v>
      </c>
      <c r="E231" s="77">
        <f>E230/12</f>
        <v>0</v>
      </c>
      <c r="F231" s="77">
        <f t="shared" ref="F231:AG231" si="492">F230/12</f>
        <v>0</v>
      </c>
      <c r="G231" s="77">
        <f t="shared" si="492"/>
        <v>0</v>
      </c>
      <c r="H231" s="77">
        <f t="shared" si="492"/>
        <v>0</v>
      </c>
      <c r="I231" s="77">
        <f t="shared" si="492"/>
        <v>0</v>
      </c>
      <c r="J231" s="77">
        <f t="shared" si="492"/>
        <v>0</v>
      </c>
      <c r="K231" s="77">
        <f t="shared" si="492"/>
        <v>0</v>
      </c>
      <c r="L231" s="77">
        <f t="shared" si="492"/>
        <v>0</v>
      </c>
      <c r="M231" s="77">
        <f t="shared" si="492"/>
        <v>0</v>
      </c>
      <c r="N231" s="77">
        <f t="shared" si="492"/>
        <v>0</v>
      </c>
      <c r="O231" s="77">
        <f t="shared" si="492"/>
        <v>0</v>
      </c>
      <c r="P231" s="77">
        <f t="shared" si="492"/>
        <v>0</v>
      </c>
      <c r="Q231" s="77">
        <f t="shared" si="492"/>
        <v>0</v>
      </c>
      <c r="R231" s="77">
        <f t="shared" si="492"/>
        <v>0</v>
      </c>
      <c r="S231" s="77">
        <f t="shared" si="492"/>
        <v>0</v>
      </c>
      <c r="T231" s="77">
        <f t="shared" si="492"/>
        <v>0</v>
      </c>
      <c r="U231" s="77">
        <f t="shared" si="492"/>
        <v>0</v>
      </c>
      <c r="V231" s="77">
        <f t="shared" si="492"/>
        <v>0</v>
      </c>
      <c r="W231" s="77">
        <f t="shared" si="492"/>
        <v>0</v>
      </c>
      <c r="X231" s="77">
        <f t="shared" si="492"/>
        <v>0</v>
      </c>
      <c r="Y231" s="77">
        <f t="shared" si="492"/>
        <v>0</v>
      </c>
      <c r="Z231" s="77">
        <f t="shared" si="492"/>
        <v>0</v>
      </c>
      <c r="AA231" s="77">
        <f t="shared" si="492"/>
        <v>0</v>
      </c>
      <c r="AB231" s="77">
        <f t="shared" si="492"/>
        <v>0</v>
      </c>
      <c r="AC231" s="77">
        <f t="shared" si="492"/>
        <v>0</v>
      </c>
      <c r="AD231" s="77">
        <f t="shared" si="492"/>
        <v>0</v>
      </c>
      <c r="AE231" s="77">
        <f t="shared" si="492"/>
        <v>0</v>
      </c>
      <c r="AF231" s="77">
        <f t="shared" si="492"/>
        <v>0</v>
      </c>
      <c r="AG231" s="77">
        <f t="shared" si="492"/>
        <v>0</v>
      </c>
      <c r="AH231" s="90"/>
      <c r="AI231" s="87"/>
      <c r="AJ231" s="90"/>
      <c r="AK231" s="116"/>
    </row>
    <row r="232" spans="2:66">
      <c r="B232" s="67" t="s">
        <v>603</v>
      </c>
      <c r="D232" s="78" t="e">
        <f t="shared" ref="D232:AG232" si="493">D227</f>
        <v>#DIV/0!</v>
      </c>
      <c r="E232" s="78" t="e">
        <f t="shared" si="493"/>
        <v>#DIV/0!</v>
      </c>
      <c r="F232" s="78" t="e">
        <f t="shared" si="493"/>
        <v>#DIV/0!</v>
      </c>
      <c r="G232" s="78" t="e">
        <f t="shared" si="493"/>
        <v>#DIV/0!</v>
      </c>
      <c r="H232" s="78" t="e">
        <f t="shared" si="493"/>
        <v>#DIV/0!</v>
      </c>
      <c r="I232" s="78" t="e">
        <f t="shared" si="493"/>
        <v>#DIV/0!</v>
      </c>
      <c r="J232" s="78" t="e">
        <f t="shared" si="493"/>
        <v>#DIV/0!</v>
      </c>
      <c r="K232" s="78" t="e">
        <f t="shared" si="493"/>
        <v>#DIV/0!</v>
      </c>
      <c r="L232" s="78" t="e">
        <f t="shared" si="493"/>
        <v>#DIV/0!</v>
      </c>
      <c r="M232" s="78" t="e">
        <f t="shared" si="493"/>
        <v>#DIV/0!</v>
      </c>
      <c r="N232" s="78" t="e">
        <f t="shared" si="493"/>
        <v>#DIV/0!</v>
      </c>
      <c r="O232" s="78" t="e">
        <f t="shared" si="493"/>
        <v>#DIV/0!</v>
      </c>
      <c r="P232" s="78" t="e">
        <f t="shared" si="493"/>
        <v>#DIV/0!</v>
      </c>
      <c r="Q232" s="78" t="e">
        <f t="shared" si="493"/>
        <v>#DIV/0!</v>
      </c>
      <c r="R232" s="78" t="e">
        <f t="shared" si="493"/>
        <v>#DIV/0!</v>
      </c>
      <c r="S232" s="78" t="e">
        <f t="shared" si="493"/>
        <v>#DIV/0!</v>
      </c>
      <c r="T232" s="78" t="e">
        <f t="shared" si="493"/>
        <v>#DIV/0!</v>
      </c>
      <c r="U232" s="78" t="e">
        <f t="shared" si="493"/>
        <v>#DIV/0!</v>
      </c>
      <c r="V232" s="78" t="e">
        <f t="shared" si="493"/>
        <v>#DIV/0!</v>
      </c>
      <c r="W232" s="78" t="e">
        <f t="shared" si="493"/>
        <v>#DIV/0!</v>
      </c>
      <c r="X232" s="78" t="e">
        <f t="shared" si="493"/>
        <v>#DIV/0!</v>
      </c>
      <c r="Y232" s="78" t="e">
        <f t="shared" si="493"/>
        <v>#DIV/0!</v>
      </c>
      <c r="Z232" s="78" t="e">
        <f t="shared" si="493"/>
        <v>#DIV/0!</v>
      </c>
      <c r="AA232" s="78" t="e">
        <f t="shared" si="493"/>
        <v>#DIV/0!</v>
      </c>
      <c r="AB232" s="78" t="e">
        <f t="shared" si="493"/>
        <v>#DIV/0!</v>
      </c>
      <c r="AC232" s="78" t="e">
        <f t="shared" si="493"/>
        <v>#DIV/0!</v>
      </c>
      <c r="AD232" s="78" t="e">
        <f t="shared" si="493"/>
        <v>#DIV/0!</v>
      </c>
      <c r="AE232" s="78" t="e">
        <f t="shared" si="493"/>
        <v>#DIV/0!</v>
      </c>
      <c r="AF232" s="78" t="e">
        <f t="shared" si="493"/>
        <v>#DIV/0!</v>
      </c>
      <c r="AG232" s="78" t="e">
        <f t="shared" si="493"/>
        <v>#DIV/0!</v>
      </c>
      <c r="AH232" s="90"/>
      <c r="AI232" s="87" t="e">
        <f>SUM(D232:AG232)</f>
        <v>#DIV/0!</v>
      </c>
      <c r="AJ232" s="90"/>
      <c r="AK232" s="102"/>
      <c r="BH232" s="2" t="s">
        <v>578</v>
      </c>
      <c r="BI232" s="2">
        <v>700</v>
      </c>
      <c r="BJ232" s="2">
        <v>600</v>
      </c>
      <c r="BN232" s="2">
        <v>619</v>
      </c>
    </row>
    <row r="233" spans="2:66">
      <c r="B233" s="46" t="s">
        <v>625</v>
      </c>
      <c r="D233" s="24" t="e">
        <f>D232-D230</f>
        <v>#DIV/0!</v>
      </c>
      <c r="E233" s="24" t="e">
        <f>E232-E230</f>
        <v>#DIV/0!</v>
      </c>
      <c r="F233" s="24" t="e">
        <f t="shared" ref="F233:AG233" si="494">F232-F230</f>
        <v>#DIV/0!</v>
      </c>
      <c r="G233" s="24" t="e">
        <f>G232-G230</f>
        <v>#DIV/0!</v>
      </c>
      <c r="H233" s="24" t="e">
        <f t="shared" si="494"/>
        <v>#DIV/0!</v>
      </c>
      <c r="I233" s="24" t="e">
        <f t="shared" si="494"/>
        <v>#DIV/0!</v>
      </c>
      <c r="J233" s="24" t="e">
        <f t="shared" si="494"/>
        <v>#DIV/0!</v>
      </c>
      <c r="K233" s="24" t="e">
        <f t="shared" si="494"/>
        <v>#DIV/0!</v>
      </c>
      <c r="L233" s="24" t="e">
        <f t="shared" si="494"/>
        <v>#DIV/0!</v>
      </c>
      <c r="M233" s="24" t="e">
        <f t="shared" si="494"/>
        <v>#DIV/0!</v>
      </c>
      <c r="N233" s="24" t="e">
        <f t="shared" si="494"/>
        <v>#DIV/0!</v>
      </c>
      <c r="O233" s="24" t="e">
        <f t="shared" si="494"/>
        <v>#DIV/0!</v>
      </c>
      <c r="P233" s="24" t="e">
        <f t="shared" si="494"/>
        <v>#DIV/0!</v>
      </c>
      <c r="Q233" s="24" t="e">
        <f t="shared" si="494"/>
        <v>#DIV/0!</v>
      </c>
      <c r="R233" s="24" t="e">
        <f t="shared" si="494"/>
        <v>#DIV/0!</v>
      </c>
      <c r="S233" s="24" t="e">
        <f t="shared" si="494"/>
        <v>#DIV/0!</v>
      </c>
      <c r="T233" s="24" t="e">
        <f t="shared" si="494"/>
        <v>#DIV/0!</v>
      </c>
      <c r="U233" s="24" t="e">
        <f t="shared" si="494"/>
        <v>#DIV/0!</v>
      </c>
      <c r="V233" s="24" t="e">
        <f t="shared" si="494"/>
        <v>#DIV/0!</v>
      </c>
      <c r="W233" s="24" t="e">
        <f t="shared" si="494"/>
        <v>#DIV/0!</v>
      </c>
      <c r="X233" s="24" t="e">
        <f t="shared" si="494"/>
        <v>#DIV/0!</v>
      </c>
      <c r="Y233" s="24" t="e">
        <f t="shared" si="494"/>
        <v>#DIV/0!</v>
      </c>
      <c r="Z233" s="24" t="e">
        <f t="shared" si="494"/>
        <v>#DIV/0!</v>
      </c>
      <c r="AA233" s="24" t="e">
        <f t="shared" si="494"/>
        <v>#DIV/0!</v>
      </c>
      <c r="AB233" s="24" t="e">
        <f t="shared" si="494"/>
        <v>#DIV/0!</v>
      </c>
      <c r="AC233" s="24" t="e">
        <f t="shared" si="494"/>
        <v>#DIV/0!</v>
      </c>
      <c r="AD233" s="24" t="e">
        <f t="shared" si="494"/>
        <v>#DIV/0!</v>
      </c>
      <c r="AE233" s="24" t="e">
        <f t="shared" si="494"/>
        <v>#DIV/0!</v>
      </c>
      <c r="AF233" s="24" t="e">
        <f t="shared" si="494"/>
        <v>#DIV/0!</v>
      </c>
      <c r="AG233" s="24" t="e">
        <f t="shared" si="494"/>
        <v>#DIV/0!</v>
      </c>
      <c r="AH233" s="90"/>
      <c r="AI233" s="87" t="e">
        <f>SUM(D233:AG233)</f>
        <v>#DIV/0!</v>
      </c>
      <c r="AJ233" s="90"/>
      <c r="AK233" s="47"/>
      <c r="BH233" s="2" t="s">
        <v>578</v>
      </c>
      <c r="BI233" s="2">
        <v>800</v>
      </c>
      <c r="BJ233" s="2">
        <v>600</v>
      </c>
      <c r="BN233" s="2">
        <v>707</v>
      </c>
    </row>
    <row r="234" spans="2:66" ht="17.399999999999999" thickBot="1">
      <c r="B234" s="906" t="s">
        <v>626</v>
      </c>
      <c r="C234" s="907"/>
      <c r="D234" s="908" t="e">
        <f>D233/12</f>
        <v>#DIV/0!</v>
      </c>
      <c r="E234" s="908" t="e">
        <f t="shared" ref="E234:AG234" si="495">E233/12</f>
        <v>#DIV/0!</v>
      </c>
      <c r="F234" s="908" t="e">
        <f t="shared" si="495"/>
        <v>#DIV/0!</v>
      </c>
      <c r="G234" s="908" t="e">
        <f t="shared" si="495"/>
        <v>#DIV/0!</v>
      </c>
      <c r="H234" s="908" t="e">
        <f t="shared" si="495"/>
        <v>#DIV/0!</v>
      </c>
      <c r="I234" s="908" t="e">
        <f t="shared" si="495"/>
        <v>#DIV/0!</v>
      </c>
      <c r="J234" s="908" t="e">
        <f t="shared" si="495"/>
        <v>#DIV/0!</v>
      </c>
      <c r="K234" s="908" t="e">
        <f t="shared" si="495"/>
        <v>#DIV/0!</v>
      </c>
      <c r="L234" s="908" t="e">
        <f t="shared" si="495"/>
        <v>#DIV/0!</v>
      </c>
      <c r="M234" s="908" t="e">
        <f t="shared" si="495"/>
        <v>#DIV/0!</v>
      </c>
      <c r="N234" s="908" t="e">
        <f t="shared" si="495"/>
        <v>#DIV/0!</v>
      </c>
      <c r="O234" s="908" t="e">
        <f t="shared" si="495"/>
        <v>#DIV/0!</v>
      </c>
      <c r="P234" s="908" t="e">
        <f t="shared" si="495"/>
        <v>#DIV/0!</v>
      </c>
      <c r="Q234" s="908" t="e">
        <f t="shared" si="495"/>
        <v>#DIV/0!</v>
      </c>
      <c r="R234" s="908" t="e">
        <f t="shared" si="495"/>
        <v>#DIV/0!</v>
      </c>
      <c r="S234" s="908" t="e">
        <f t="shared" si="495"/>
        <v>#DIV/0!</v>
      </c>
      <c r="T234" s="908" t="e">
        <f t="shared" si="495"/>
        <v>#DIV/0!</v>
      </c>
      <c r="U234" s="908" t="e">
        <f t="shared" si="495"/>
        <v>#DIV/0!</v>
      </c>
      <c r="V234" s="908" t="e">
        <f t="shared" si="495"/>
        <v>#DIV/0!</v>
      </c>
      <c r="W234" s="908" t="e">
        <f t="shared" si="495"/>
        <v>#DIV/0!</v>
      </c>
      <c r="X234" s="908" t="e">
        <f t="shared" si="495"/>
        <v>#DIV/0!</v>
      </c>
      <c r="Y234" s="908" t="e">
        <f t="shared" si="495"/>
        <v>#DIV/0!</v>
      </c>
      <c r="Z234" s="908" t="e">
        <f t="shared" si="495"/>
        <v>#DIV/0!</v>
      </c>
      <c r="AA234" s="908" t="e">
        <f t="shared" si="495"/>
        <v>#DIV/0!</v>
      </c>
      <c r="AB234" s="908" t="e">
        <f t="shared" si="495"/>
        <v>#DIV/0!</v>
      </c>
      <c r="AC234" s="908" t="e">
        <f t="shared" si="495"/>
        <v>#DIV/0!</v>
      </c>
      <c r="AD234" s="908" t="e">
        <f t="shared" si="495"/>
        <v>#DIV/0!</v>
      </c>
      <c r="AE234" s="908" t="e">
        <f t="shared" si="495"/>
        <v>#DIV/0!</v>
      </c>
      <c r="AF234" s="908" t="e">
        <f t="shared" si="495"/>
        <v>#DIV/0!</v>
      </c>
      <c r="AG234" s="908" t="e">
        <f t="shared" si="495"/>
        <v>#DIV/0!</v>
      </c>
      <c r="AH234" s="909"/>
      <c r="AI234" s="910"/>
      <c r="AJ234" s="909"/>
      <c r="AK234" s="911"/>
      <c r="BH234" s="2" t="s">
        <v>578</v>
      </c>
      <c r="BI234" s="2">
        <v>900</v>
      </c>
      <c r="BJ234" s="2">
        <v>600</v>
      </c>
      <c r="BN234" s="2">
        <v>796</v>
      </c>
    </row>
    <row r="235" spans="2:66">
      <c r="BH235" s="2" t="s">
        <v>578</v>
      </c>
      <c r="BI235" s="2">
        <v>1000</v>
      </c>
      <c r="BJ235" s="2">
        <v>600</v>
      </c>
      <c r="BN235" s="2">
        <v>884</v>
      </c>
    </row>
    <row r="236" spans="2:66">
      <c r="BH236" s="2" t="s">
        <v>578</v>
      </c>
      <c r="BI236" s="2">
        <v>1100</v>
      </c>
      <c r="BJ236" s="2">
        <v>600</v>
      </c>
      <c r="BN236" s="2">
        <v>973</v>
      </c>
    </row>
    <row r="237" spans="2:66">
      <c r="B237" s="4" t="s">
        <v>627</v>
      </c>
      <c r="C237" s="4"/>
      <c r="D237" s="4">
        <v>2025</v>
      </c>
      <c r="E237" s="4">
        <v>2026</v>
      </c>
      <c r="F237" s="4">
        <v>2027</v>
      </c>
      <c r="G237" s="4">
        <v>2028</v>
      </c>
      <c r="H237" s="4">
        <v>2029</v>
      </c>
      <c r="I237" s="4">
        <v>2030</v>
      </c>
      <c r="J237" s="4">
        <v>2031</v>
      </c>
      <c r="K237" s="4">
        <v>2032</v>
      </c>
      <c r="L237" s="4">
        <v>2033</v>
      </c>
      <c r="M237" s="4">
        <v>2034</v>
      </c>
      <c r="N237" s="4">
        <v>2035</v>
      </c>
      <c r="O237" s="4">
        <v>2036</v>
      </c>
      <c r="P237" s="4">
        <v>2037</v>
      </c>
      <c r="Q237" s="4">
        <v>2038</v>
      </c>
      <c r="R237" s="4">
        <v>2039</v>
      </c>
      <c r="S237" s="4">
        <v>2040</v>
      </c>
      <c r="T237" s="4">
        <v>2041</v>
      </c>
      <c r="U237" s="4">
        <v>2042</v>
      </c>
      <c r="V237" s="4">
        <v>2043</v>
      </c>
      <c r="W237" s="4">
        <v>2044</v>
      </c>
      <c r="X237" s="4">
        <v>2045</v>
      </c>
      <c r="Y237" s="4">
        <v>2046</v>
      </c>
      <c r="Z237" s="4">
        <v>2047</v>
      </c>
      <c r="AA237" s="4">
        <v>2048</v>
      </c>
      <c r="AB237" s="4">
        <v>2049</v>
      </c>
      <c r="AC237" s="4">
        <v>2050</v>
      </c>
      <c r="AD237" s="4">
        <v>2051</v>
      </c>
      <c r="AE237" s="4">
        <v>2052</v>
      </c>
      <c r="AF237" s="4">
        <v>2053</v>
      </c>
      <c r="AG237" s="4">
        <v>2054</v>
      </c>
      <c r="AH237" s="4"/>
      <c r="AI237" s="4"/>
      <c r="AJ237" s="4"/>
      <c r="AK237" s="4"/>
      <c r="AL237" s="4"/>
      <c r="AM237" s="4"/>
      <c r="AN237" s="4"/>
      <c r="AO237" s="4"/>
      <c r="AP237" s="4"/>
      <c r="AQ237" s="4"/>
      <c r="AR237" s="4"/>
      <c r="AS237" s="4"/>
      <c r="AT237" s="4"/>
      <c r="AU237" s="4"/>
      <c r="AV237" s="4"/>
      <c r="AW237" s="4"/>
      <c r="AX237" s="4"/>
      <c r="AY237" s="4"/>
      <c r="AZ237" s="4"/>
      <c r="BA237" s="4"/>
      <c r="BH237" s="2" t="s">
        <v>578</v>
      </c>
      <c r="BI237" s="2">
        <v>1200</v>
      </c>
      <c r="BJ237" s="2">
        <v>600</v>
      </c>
      <c r="BN237" s="2">
        <v>1061</v>
      </c>
    </row>
    <row r="238" spans="2:66">
      <c r="BH238" s="2" t="s">
        <v>578</v>
      </c>
      <c r="BI238" s="2">
        <v>1400</v>
      </c>
      <c r="BJ238" s="2">
        <v>600</v>
      </c>
      <c r="BN238" s="2">
        <v>1238</v>
      </c>
    </row>
    <row r="239" spans="2:66">
      <c r="BH239" s="2" t="s">
        <v>578</v>
      </c>
      <c r="BI239" s="2">
        <v>1600</v>
      </c>
      <c r="BJ239" s="2">
        <v>600</v>
      </c>
      <c r="BN239" s="2">
        <v>1415</v>
      </c>
    </row>
    <row r="240" spans="2:66">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I240" s="550"/>
      <c r="AN240" s="24"/>
      <c r="BH240" s="2" t="s">
        <v>578</v>
      </c>
      <c r="BI240" s="2">
        <v>1800</v>
      </c>
      <c r="BJ240" s="2">
        <v>600</v>
      </c>
      <c r="BN240" s="2">
        <v>1592</v>
      </c>
    </row>
    <row r="241" spans="2:66" ht="70.2">
      <c r="B241" s="515"/>
      <c r="BH241" s="2" t="s">
        <v>578</v>
      </c>
      <c r="BI241" s="2">
        <v>2000</v>
      </c>
      <c r="BJ241" s="2">
        <v>600</v>
      </c>
      <c r="BN241" s="2">
        <v>1769</v>
      </c>
    </row>
    <row r="242" spans="2:66" ht="18.600000000000001">
      <c r="B242" s="541"/>
      <c r="C242" s="542"/>
      <c r="BH242" s="2" t="s">
        <v>578</v>
      </c>
      <c r="BI242" s="2">
        <v>2200</v>
      </c>
      <c r="BJ242" s="2">
        <v>600</v>
      </c>
      <c r="BN242" s="2">
        <v>1945</v>
      </c>
    </row>
    <row r="243" spans="2:66">
      <c r="B243" s="543"/>
      <c r="C243" s="543"/>
      <c r="D243" s="544"/>
      <c r="E243" s="545"/>
      <c r="F243" s="544"/>
      <c r="G243" s="545"/>
      <c r="H243" s="544"/>
      <c r="I243" s="545"/>
      <c r="J243" s="545"/>
      <c r="K243" s="544"/>
      <c r="L243" s="544"/>
      <c r="M243" s="545"/>
      <c r="N243" s="545"/>
      <c r="O243" s="544"/>
      <c r="P243" s="544"/>
      <c r="Q243" s="545"/>
      <c r="R243" s="545"/>
      <c r="S243" s="544"/>
      <c r="T243" s="544"/>
      <c r="U243" s="545"/>
      <c r="V243" s="545"/>
      <c r="W243" s="544"/>
      <c r="X243" s="544"/>
      <c r="Y243" s="545"/>
      <c r="Z243" s="545"/>
      <c r="AA243" s="544"/>
      <c r="AB243" s="544"/>
      <c r="AC243" s="545"/>
      <c r="AD243" s="545"/>
      <c r="AE243" s="544"/>
      <c r="AF243" s="544"/>
      <c r="AG243" s="545"/>
      <c r="AH243" s="545"/>
      <c r="BH243" s="2" t="s">
        <v>578</v>
      </c>
      <c r="BI243" s="2">
        <v>2300</v>
      </c>
      <c r="BJ243" s="2">
        <v>600</v>
      </c>
      <c r="BN243" s="2">
        <v>1988</v>
      </c>
    </row>
    <row r="244" spans="2:66">
      <c r="B244" s="1783"/>
      <c r="C244" s="1783"/>
      <c r="D244" s="546"/>
      <c r="E244" s="546"/>
      <c r="J244" s="546"/>
      <c r="K244" s="546"/>
      <c r="L244" s="546"/>
      <c r="M244" s="546"/>
      <c r="N244" s="546"/>
      <c r="O244" s="546"/>
      <c r="P244" s="546"/>
      <c r="Q244" s="546"/>
      <c r="R244" s="546"/>
      <c r="S244" s="546"/>
      <c r="T244" s="546"/>
      <c r="U244" s="546"/>
      <c r="V244" s="546"/>
      <c r="W244" s="546"/>
      <c r="X244" s="546"/>
      <c r="Y244" s="546"/>
      <c r="Z244" s="546"/>
      <c r="AA244" s="546"/>
      <c r="AB244" s="546"/>
      <c r="AC244" s="546"/>
      <c r="AD244" s="546"/>
      <c r="AE244" s="546"/>
      <c r="AF244" s="546"/>
      <c r="AG244" s="546"/>
      <c r="AH244" s="546"/>
      <c r="BH244" s="2" t="s">
        <v>578</v>
      </c>
      <c r="BI244" s="2">
        <v>2600</v>
      </c>
      <c r="BJ244" s="2">
        <v>600</v>
      </c>
      <c r="BN244" s="2">
        <v>2247</v>
      </c>
    </row>
    <row r="245" spans="2:66">
      <c r="B245" s="51"/>
      <c r="C245" s="51"/>
      <c r="D245" s="547"/>
      <c r="E245" s="547"/>
      <c r="F245" s="547"/>
      <c r="G245" s="547"/>
      <c r="H245" s="547"/>
      <c r="I245" s="547"/>
      <c r="J245" s="547"/>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BH245" s="2" t="s">
        <v>578</v>
      </c>
      <c r="BI245" s="2">
        <v>3000</v>
      </c>
      <c r="BJ245" s="2">
        <v>600</v>
      </c>
      <c r="BN245" s="2">
        <v>2593</v>
      </c>
    </row>
    <row r="246" spans="2:66">
      <c r="B246" s="1784"/>
      <c r="C246" s="1784"/>
      <c r="BH246" s="2" t="s">
        <v>578</v>
      </c>
      <c r="BI246" s="2">
        <v>400</v>
      </c>
      <c r="BJ246" s="2">
        <v>900</v>
      </c>
      <c r="BN246" s="2">
        <v>471</v>
      </c>
    </row>
    <row r="247" spans="2:66">
      <c r="B247" s="1783"/>
      <c r="C247" s="1783"/>
      <c r="D247" s="548"/>
      <c r="E247" s="548"/>
      <c r="F247" s="548"/>
      <c r="G247" s="548"/>
      <c r="H247" s="548"/>
      <c r="I247" s="548"/>
      <c r="J247" s="548"/>
      <c r="K247" s="548"/>
      <c r="L247" s="548"/>
      <c r="M247" s="548"/>
      <c r="N247" s="548"/>
      <c r="O247" s="548"/>
      <c r="P247" s="548"/>
      <c r="Q247" s="548"/>
      <c r="R247" s="548"/>
      <c r="S247" s="548"/>
      <c r="T247" s="548"/>
      <c r="U247" s="548"/>
      <c r="V247" s="548"/>
      <c r="W247" s="548"/>
      <c r="X247" s="548"/>
      <c r="Y247" s="548"/>
      <c r="Z247" s="548"/>
      <c r="AA247" s="548"/>
      <c r="AB247" s="548"/>
      <c r="AC247" s="548"/>
      <c r="AD247" s="548"/>
      <c r="AE247" s="548"/>
      <c r="AF247" s="548"/>
      <c r="AG247" s="548"/>
      <c r="AH247" s="548"/>
      <c r="BH247" s="2" t="s">
        <v>578</v>
      </c>
      <c r="BI247" s="2">
        <v>500</v>
      </c>
      <c r="BJ247" s="2">
        <v>900</v>
      </c>
      <c r="BN247" s="2">
        <v>589</v>
      </c>
    </row>
    <row r="248" spans="2:66">
      <c r="B248" s="51"/>
      <c r="C248" s="51"/>
      <c r="E248" s="548"/>
      <c r="F248" s="548"/>
      <c r="G248" s="548"/>
      <c r="H248" s="548"/>
      <c r="I248" s="548"/>
      <c r="J248" s="548"/>
      <c r="K248" s="548"/>
      <c r="L248" s="548"/>
      <c r="M248" s="548"/>
      <c r="N248" s="548"/>
      <c r="O248" s="548"/>
      <c r="P248" s="548"/>
      <c r="Q248" s="548"/>
      <c r="R248" s="548"/>
      <c r="S248" s="548"/>
      <c r="T248" s="548"/>
      <c r="U248" s="548"/>
      <c r="V248" s="548"/>
      <c r="W248" s="548"/>
      <c r="X248" s="548"/>
      <c r="Y248" s="548"/>
      <c r="Z248" s="548"/>
      <c r="AA248" s="548"/>
      <c r="AB248" s="548"/>
      <c r="AC248" s="548"/>
      <c r="AD248" s="548"/>
      <c r="AE248" s="548"/>
      <c r="AF248" s="548"/>
      <c r="AG248" s="548"/>
      <c r="AH248" s="548"/>
      <c r="BH248" s="2" t="s">
        <v>578</v>
      </c>
      <c r="BI248" s="2">
        <v>600</v>
      </c>
      <c r="BJ248" s="2">
        <v>900</v>
      </c>
      <c r="BN248" s="2">
        <v>707</v>
      </c>
    </row>
    <row r="249" spans="2:66" ht="70.8" thickBot="1">
      <c r="B249" s="515" t="s">
        <v>402</v>
      </c>
      <c r="BH249" s="2" t="s">
        <v>578</v>
      </c>
      <c r="BI249" s="2">
        <v>700</v>
      </c>
      <c r="BJ249" s="2">
        <v>900</v>
      </c>
      <c r="BN249" s="2">
        <v>825</v>
      </c>
    </row>
    <row r="250" spans="2:66" ht="19.2" thickBot="1">
      <c r="B250" s="61" t="str">
        <f>Allgemein!L75</f>
        <v>BEG WG</v>
      </c>
      <c r="C250" s="29"/>
      <c r="D250" s="30"/>
      <c r="E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BH250" s="2" t="s">
        <v>578</v>
      </c>
      <c r="BI250" s="2">
        <v>800</v>
      </c>
      <c r="BJ250" s="2">
        <v>900</v>
      </c>
      <c r="BN250" s="2">
        <v>942</v>
      </c>
    </row>
    <row r="251" spans="2:66" ht="17.399999999999999" thickBot="1">
      <c r="B251" s="56" t="s">
        <v>339</v>
      </c>
      <c r="C251" s="57"/>
      <c r="D251" s="58">
        <v>1</v>
      </c>
      <c r="E251" s="59">
        <v>2</v>
      </c>
      <c r="F251" s="58">
        <v>3</v>
      </c>
      <c r="G251" s="59">
        <v>4</v>
      </c>
      <c r="H251" s="58">
        <v>5</v>
      </c>
      <c r="I251" s="59">
        <v>6</v>
      </c>
      <c r="J251" s="59">
        <v>7</v>
      </c>
      <c r="K251" s="58">
        <v>8</v>
      </c>
      <c r="L251" s="58">
        <v>9</v>
      </c>
      <c r="M251" s="59">
        <v>10</v>
      </c>
      <c r="N251" s="59">
        <v>11</v>
      </c>
      <c r="O251" s="58">
        <v>12</v>
      </c>
      <c r="P251" s="58">
        <v>13</v>
      </c>
      <c r="Q251" s="59">
        <v>14</v>
      </c>
      <c r="R251" s="59">
        <v>15</v>
      </c>
      <c r="S251" s="58">
        <v>16</v>
      </c>
      <c r="T251" s="58">
        <v>17</v>
      </c>
      <c r="U251" s="59">
        <v>18</v>
      </c>
      <c r="V251" s="59">
        <v>19</v>
      </c>
      <c r="W251" s="58">
        <v>20</v>
      </c>
      <c r="X251" s="58">
        <v>21</v>
      </c>
      <c r="Y251" s="59">
        <v>22</v>
      </c>
      <c r="Z251" s="59">
        <v>23</v>
      </c>
      <c r="AA251" s="58">
        <v>24</v>
      </c>
      <c r="AB251" s="58">
        <v>25</v>
      </c>
      <c r="AC251" s="59">
        <v>26</v>
      </c>
      <c r="AD251" s="59">
        <v>27</v>
      </c>
      <c r="AE251" s="58">
        <v>28</v>
      </c>
      <c r="AF251" s="58">
        <v>29</v>
      </c>
      <c r="AG251" s="59">
        <v>30</v>
      </c>
      <c r="AH251" s="74">
        <v>31</v>
      </c>
      <c r="BH251" s="2" t="s">
        <v>578</v>
      </c>
      <c r="BI251" s="2">
        <v>900</v>
      </c>
      <c r="BJ251" s="2">
        <v>900</v>
      </c>
      <c r="BN251" s="2">
        <v>1060</v>
      </c>
    </row>
    <row r="252" spans="2:66">
      <c r="B252" s="1778" t="s">
        <v>545</v>
      </c>
      <c r="C252" s="1779"/>
      <c r="D252" s="71"/>
      <c r="E252" s="72"/>
      <c r="J252" s="73"/>
      <c r="K252" s="73"/>
      <c r="L252" s="73"/>
      <c r="M252" s="73"/>
      <c r="N252" s="73"/>
      <c r="O252" s="73"/>
      <c r="P252" s="73"/>
      <c r="Q252" s="73"/>
      <c r="R252" s="73"/>
      <c r="S252" s="73"/>
      <c r="T252" s="73"/>
      <c r="U252" s="73"/>
      <c r="V252" s="73"/>
      <c r="W252" s="73"/>
      <c r="X252" s="73"/>
      <c r="Y252" s="73"/>
      <c r="Z252" s="73"/>
      <c r="AA252" s="73"/>
      <c r="AB252" s="73"/>
      <c r="AC252" s="73"/>
      <c r="AD252" s="73"/>
      <c r="AE252" s="73"/>
      <c r="AF252" s="73"/>
      <c r="AG252" s="73"/>
      <c r="AH252" s="73"/>
      <c r="BH252" s="2" t="s">
        <v>578</v>
      </c>
      <c r="BI252" s="2">
        <v>1000</v>
      </c>
      <c r="BJ252" s="2">
        <v>900</v>
      </c>
      <c r="BN252" s="2">
        <v>1178</v>
      </c>
    </row>
    <row r="253" spans="2:66">
      <c r="B253" s="1774" t="s">
        <v>546</v>
      </c>
      <c r="C253" s="1775"/>
      <c r="D253" s="33">
        <f>Allgemein!$L$80</f>
        <v>0</v>
      </c>
      <c r="E253" s="33">
        <f t="shared" ref="E253:M253" si="496">IF(E252=0,D253,E252)</f>
        <v>0</v>
      </c>
      <c r="F253" s="33">
        <f t="shared" si="496"/>
        <v>0</v>
      </c>
      <c r="G253" s="33">
        <f t="shared" si="496"/>
        <v>0</v>
      </c>
      <c r="H253" s="33">
        <f t="shared" si="496"/>
        <v>0</v>
      </c>
      <c r="I253" s="33">
        <f t="shared" si="496"/>
        <v>0</v>
      </c>
      <c r="J253" s="33">
        <f t="shared" si="496"/>
        <v>0</v>
      </c>
      <c r="K253" s="33">
        <f t="shared" si="496"/>
        <v>0</v>
      </c>
      <c r="L253" s="33">
        <f t="shared" si="496"/>
        <v>0</v>
      </c>
      <c r="M253" s="33">
        <f t="shared" si="496"/>
        <v>0</v>
      </c>
      <c r="N253" s="33">
        <f t="shared" ref="N253:S253" si="497">IF(N252=0,M253,N252)</f>
        <v>0</v>
      </c>
      <c r="O253" s="33">
        <f>IF(O252=0,N253,O252)</f>
        <v>0</v>
      </c>
      <c r="P253" s="33">
        <f t="shared" si="497"/>
        <v>0</v>
      </c>
      <c r="Q253" s="33">
        <f t="shared" si="497"/>
        <v>0</v>
      </c>
      <c r="R253" s="33">
        <f t="shared" si="497"/>
        <v>0</v>
      </c>
      <c r="S253" s="33">
        <f t="shared" si="497"/>
        <v>0</v>
      </c>
      <c r="T253" s="33">
        <f t="shared" ref="T253" si="498">IF(T252=0,S253,T252)</f>
        <v>0</v>
      </c>
      <c r="U253" s="33">
        <f t="shared" ref="U253" si="499">IF(U252=0,T253,U252)</f>
        <v>0</v>
      </c>
      <c r="V253" s="33">
        <f t="shared" ref="V253" si="500">IF(V252=0,U253,V252)</f>
        <v>0</v>
      </c>
      <c r="W253" s="33">
        <f t="shared" ref="W253" si="501">IF(W252=0,V253,W252)</f>
        <v>0</v>
      </c>
      <c r="X253" s="33">
        <f t="shared" ref="X253" si="502">IF(X252=0,W253,X252)</f>
        <v>0</v>
      </c>
      <c r="Y253" s="33">
        <f t="shared" ref="Y253" si="503">IF(Y252=0,X253,Y252)</f>
        <v>0</v>
      </c>
      <c r="Z253" s="33">
        <f t="shared" ref="Z253" si="504">IF(Z252=0,Y253,Z252)</f>
        <v>0</v>
      </c>
      <c r="AA253" s="33">
        <f t="shared" ref="AA253" si="505">IF(AA252=0,Z253,AA252)</f>
        <v>0</v>
      </c>
      <c r="AB253" s="33">
        <f t="shared" ref="AB253" si="506">IF(AB252=0,AA253,AB252)</f>
        <v>0</v>
      </c>
      <c r="AC253" s="33">
        <f t="shared" ref="AC253" si="507">IF(AC252=0,AB253,AC252)</f>
        <v>0</v>
      </c>
      <c r="AD253" s="33">
        <f t="shared" ref="AD253" si="508">IF(AD252=0,AC253,AD252)</f>
        <v>0</v>
      </c>
      <c r="AE253" s="33">
        <f t="shared" ref="AE253" si="509">IF(AE252=0,AD253,AE252)</f>
        <v>0</v>
      </c>
      <c r="AF253" s="33">
        <f t="shared" ref="AF253" si="510">IF(AF252=0,AE253,AF252)</f>
        <v>0</v>
      </c>
      <c r="AG253" s="33">
        <f t="shared" ref="AG253" si="511">IF(AG252=0,AF253,AG252)</f>
        <v>0</v>
      </c>
      <c r="AH253" s="33">
        <f t="shared" ref="AH253" si="512">IF(AH252=0,AG253,AH252)</f>
        <v>0</v>
      </c>
      <c r="BH253" s="2" t="s">
        <v>578</v>
      </c>
      <c r="BI253" s="2">
        <v>1100</v>
      </c>
      <c r="BJ253" s="2">
        <v>900</v>
      </c>
      <c r="BN253" s="2">
        <v>1296</v>
      </c>
    </row>
    <row r="254" spans="2:66">
      <c r="B254" s="1780"/>
      <c r="C254" s="1781"/>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BH254" s="2" t="s">
        <v>578</v>
      </c>
      <c r="BI254" s="2">
        <v>1200</v>
      </c>
      <c r="BJ254" s="2">
        <v>900</v>
      </c>
      <c r="BN254" s="2">
        <v>1414</v>
      </c>
    </row>
    <row r="255" spans="2:66">
      <c r="B255" s="1774" t="s">
        <v>548</v>
      </c>
      <c r="C255" s="1775"/>
      <c r="D255" s="36">
        <f>Allgemein!$L$78</f>
        <v>0</v>
      </c>
      <c r="E255" s="36">
        <f>IF(E251=Allgemein!$L$82+2,(Allgemein!$L$78-Allgemein!$L$86)-D259,D264)</f>
        <v>0</v>
      </c>
      <c r="F255" s="36">
        <f>IF(F251=Allgemein!$L$82+2,(Allgemein!$L$78-Allgemein!$L$86)-E259,E264)</f>
        <v>0</v>
      </c>
      <c r="G255" s="36">
        <f>IF(G251=Allgemein!$L$82+2,(Allgemein!$L$78-Allgemein!$L$86)-F259,F264)</f>
        <v>0</v>
      </c>
      <c r="H255" s="36">
        <f>IF(H251=Allgemein!$L$82+2,(Allgemein!$L$78-Allgemein!$L$86)-G259,G264)</f>
        <v>0</v>
      </c>
      <c r="I255" s="36">
        <f>IF(I251=Allgemein!$L$82+2,(Allgemein!$L$78-Allgemein!$L$86)-H259,H264)</f>
        <v>0</v>
      </c>
      <c r="J255" s="36">
        <f>IF(J251=Allgemein!$L$82+2,(Allgemein!$L$78-Allgemein!$L$86)-I259,I264)</f>
        <v>0</v>
      </c>
      <c r="K255" s="36">
        <f>IF(K251=Allgemein!$L$82+2,(Allgemein!$L$78-Allgemein!$L$86)-J259,J264)</f>
        <v>0</v>
      </c>
      <c r="L255" s="36">
        <f>IF(L251=Allgemein!$L$82+2,(Allgemein!$L$78-Allgemein!$L$86)-K259,K264)</f>
        <v>0</v>
      </c>
      <c r="M255" s="36">
        <f>IF(M251=Allgemein!$L$82+2,(Allgemein!$L$78-Allgemein!$L$86)-L259,L264)</f>
        <v>0</v>
      </c>
      <c r="N255" s="36">
        <f>IF(N251=Allgemein!$L$82+2,(Allgemein!$L$78-Allgemein!$L$86)-M259,M264)</f>
        <v>0</v>
      </c>
      <c r="O255" s="36">
        <f>IF(O251=Allgemein!$L$82+2,(Allgemein!$L$78-Allgemein!$L$86)-N259,N264)</f>
        <v>0</v>
      </c>
      <c r="P255" s="36">
        <f>IF(P251=Allgemein!$L$82+2,(Allgemein!$L$78-Allgemein!$L$86)-O259,O264)</f>
        <v>0</v>
      </c>
      <c r="Q255" s="36">
        <f>IF(Q251=Allgemein!$L$82+2,(Allgemein!$L$78-Allgemein!$L$86)-P259,P264)</f>
        <v>0</v>
      </c>
      <c r="R255" s="36">
        <f>IF(R251=Allgemein!$L$82+2,(Allgemein!$L$78-Allgemein!$L$86)-Q259,Q264)</f>
        <v>0</v>
      </c>
      <c r="S255" s="36">
        <f>IF(S251=Allgemein!$L$82+2,(Allgemein!$L$78-Allgemein!$L$86)-R259,R264)</f>
        <v>0</v>
      </c>
      <c r="T255" s="36">
        <f>IF(T251=Allgemein!$L$82+2,(Allgemein!$L$78-Allgemein!$L$86)-S259,S264)</f>
        <v>0</v>
      </c>
      <c r="U255" s="36">
        <f>IF(U251=Allgemein!$L$82+2,(Allgemein!$L$78-Allgemein!$L$86)-T259,T264)</f>
        <v>0</v>
      </c>
      <c r="V255" s="36">
        <f>IF(V251=Allgemein!$L$82+2,(Allgemein!$L$78-Allgemein!$L$86)-U259,U264)</f>
        <v>0</v>
      </c>
      <c r="W255" s="36">
        <f>IF(W251=Allgemein!$L$82+2,(Allgemein!$L$78-Allgemein!$L$86)-V259,V264)</f>
        <v>0</v>
      </c>
      <c r="X255" s="36">
        <f>IF(X251=Allgemein!$L$82+2,(Allgemein!$L$78-Allgemein!$L$86)-W259,W264)</f>
        <v>0</v>
      </c>
      <c r="Y255" s="36">
        <f>IF(Y251=Allgemein!$L$82+2,(Allgemein!$L$78-Allgemein!$L$86)-X259,X264)</f>
        <v>0</v>
      </c>
      <c r="Z255" s="36">
        <f>IF(Z251=Allgemein!$L$82+2,(Allgemein!$L$78-Allgemein!$L$86)-Y259,Y264)</f>
        <v>0</v>
      </c>
      <c r="AA255" s="36">
        <f>IF(AA251=Allgemein!$L$82+2,(Allgemein!$L$78-Allgemein!$L$86)-Z259,Z264)</f>
        <v>0</v>
      </c>
      <c r="AB255" s="36">
        <f>IF(AB251=Allgemein!$L$82+2,(Allgemein!$L$78-Allgemein!$L$86)-AA259,AA264)</f>
        <v>0</v>
      </c>
      <c r="AC255" s="36">
        <f>IF(AC251=Allgemein!$L$82+2,(Allgemein!$L$78-Allgemein!$L$86)-AB259,AB264)</f>
        <v>0</v>
      </c>
      <c r="AD255" s="36">
        <f>IF(AD251=Allgemein!$L$82+2,(Allgemein!$L$78-Allgemein!$L$86)-AC259,AC264)</f>
        <v>0</v>
      </c>
      <c r="AE255" s="36">
        <f>IF(AE251=Allgemein!$L$82+2,(Allgemein!$L$78-Allgemein!$L$86)-AD259,AD264)</f>
        <v>0</v>
      </c>
      <c r="AF255" s="36">
        <f>IF(AF251=Allgemein!$L$82+2,(Allgemein!$L$78-Allgemein!$L$86)-AE259,AE264)</f>
        <v>0</v>
      </c>
      <c r="AG255" s="36">
        <f>IF(AG251=Allgemein!$L$82+2,(Allgemein!$L$78-Allgemein!$L$86)-AF259,AF264)</f>
        <v>0</v>
      </c>
      <c r="AH255" s="36">
        <f>IF(AH251=Allgemein!$L$82+2,(Allgemein!$L$78-Allgemein!$L$86)-AG259,AG264)</f>
        <v>0</v>
      </c>
      <c r="BH255" s="2" t="s">
        <v>578</v>
      </c>
      <c r="BI255" s="2">
        <v>1400</v>
      </c>
      <c r="BJ255" s="2">
        <v>900</v>
      </c>
      <c r="BN255" s="2">
        <v>1649</v>
      </c>
    </row>
    <row r="256" spans="2:66">
      <c r="B256" s="31" t="s">
        <v>549</v>
      </c>
      <c r="C256" s="32"/>
      <c r="D256" s="36">
        <f>D255*D253</f>
        <v>0</v>
      </c>
      <c r="E256" s="36">
        <f>IF(E255=0,0,E253*E255)</f>
        <v>0</v>
      </c>
      <c r="F256" s="36">
        <f>IF(F255=0,0,F253*F255)</f>
        <v>0</v>
      </c>
      <c r="G256" s="36">
        <f t="shared" ref="G256" si="513">IF(G255=0,0,G253*G255)</f>
        <v>0</v>
      </c>
      <c r="H256" s="36">
        <f t="shared" ref="H256:N256" si="514">IF(H255=0,0,H253*H255)</f>
        <v>0</v>
      </c>
      <c r="I256" s="36">
        <f t="shared" si="514"/>
        <v>0</v>
      </c>
      <c r="J256" s="36">
        <f t="shared" si="514"/>
        <v>0</v>
      </c>
      <c r="K256" s="36">
        <f t="shared" si="514"/>
        <v>0</v>
      </c>
      <c r="L256" s="36">
        <f t="shared" si="514"/>
        <v>0</v>
      </c>
      <c r="M256" s="36">
        <f t="shared" si="514"/>
        <v>0</v>
      </c>
      <c r="N256" s="36">
        <f t="shared" si="514"/>
        <v>0</v>
      </c>
      <c r="O256" s="36">
        <f t="shared" ref="O256:AH256" si="515">IF(O255=0,0,O253*O255)</f>
        <v>0</v>
      </c>
      <c r="P256" s="36">
        <f t="shared" si="515"/>
        <v>0</v>
      </c>
      <c r="Q256" s="36">
        <f t="shared" si="515"/>
        <v>0</v>
      </c>
      <c r="R256" s="36">
        <f t="shared" si="515"/>
        <v>0</v>
      </c>
      <c r="S256" s="36">
        <f t="shared" si="515"/>
        <v>0</v>
      </c>
      <c r="T256" s="36">
        <f t="shared" si="515"/>
        <v>0</v>
      </c>
      <c r="U256" s="36">
        <f t="shared" si="515"/>
        <v>0</v>
      </c>
      <c r="V256" s="36">
        <f t="shared" si="515"/>
        <v>0</v>
      </c>
      <c r="W256" s="36">
        <f t="shared" si="515"/>
        <v>0</v>
      </c>
      <c r="X256" s="36">
        <f t="shared" si="515"/>
        <v>0</v>
      </c>
      <c r="Y256" s="36">
        <f t="shared" si="515"/>
        <v>0</v>
      </c>
      <c r="Z256" s="36">
        <f t="shared" si="515"/>
        <v>0</v>
      </c>
      <c r="AA256" s="36">
        <f t="shared" si="515"/>
        <v>0</v>
      </c>
      <c r="AB256" s="36">
        <f t="shared" si="515"/>
        <v>0</v>
      </c>
      <c r="AC256" s="36">
        <f t="shared" si="515"/>
        <v>0</v>
      </c>
      <c r="AD256" s="36">
        <f t="shared" si="515"/>
        <v>0</v>
      </c>
      <c r="AE256" s="36">
        <f t="shared" si="515"/>
        <v>0</v>
      </c>
      <c r="AF256" s="36">
        <f t="shared" si="515"/>
        <v>0</v>
      </c>
      <c r="AG256" s="36">
        <f t="shared" si="515"/>
        <v>0</v>
      </c>
      <c r="AH256" s="36">
        <f t="shared" si="515"/>
        <v>0</v>
      </c>
      <c r="BH256" s="2" t="s">
        <v>578</v>
      </c>
      <c r="BI256" s="2">
        <v>1600</v>
      </c>
      <c r="BJ256" s="2">
        <v>900</v>
      </c>
      <c r="BN256" s="2">
        <v>1885</v>
      </c>
    </row>
    <row r="257" spans="2:66">
      <c r="B257" s="34"/>
      <c r="C257" s="35"/>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BH257" s="2" t="s">
        <v>578</v>
      </c>
      <c r="BI257" s="2">
        <v>1800</v>
      </c>
      <c r="BJ257" s="2">
        <v>900</v>
      </c>
      <c r="BN257" s="2">
        <v>2120</v>
      </c>
    </row>
    <row r="258" spans="2:66">
      <c r="B258" s="31" t="s">
        <v>550</v>
      </c>
      <c r="C258" s="32"/>
      <c r="D258" s="36"/>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BH258" s="2" t="s">
        <v>578</v>
      </c>
      <c r="BI258" s="2">
        <v>2000</v>
      </c>
      <c r="BJ258" s="2">
        <v>900</v>
      </c>
      <c r="BN258" s="2">
        <v>2356</v>
      </c>
    </row>
    <row r="259" spans="2:66">
      <c r="B259" s="31" t="s">
        <v>551</v>
      </c>
      <c r="C259" s="32"/>
      <c r="D259" s="36">
        <f>D260*D255</f>
        <v>0</v>
      </c>
      <c r="E259" s="36">
        <f t="shared" ref="E259:N259" si="516">IF(D259=0,E260*E255,E262-E256)</f>
        <v>0</v>
      </c>
      <c r="F259" s="36">
        <f t="shared" si="516"/>
        <v>0</v>
      </c>
      <c r="G259" s="36">
        <f t="shared" si="516"/>
        <v>0</v>
      </c>
      <c r="H259" s="36">
        <f t="shared" si="516"/>
        <v>0</v>
      </c>
      <c r="I259" s="36">
        <f t="shared" si="516"/>
        <v>0</v>
      </c>
      <c r="J259" s="36">
        <f t="shared" si="516"/>
        <v>0</v>
      </c>
      <c r="K259" s="36">
        <f t="shared" si="516"/>
        <v>0</v>
      </c>
      <c r="L259" s="36">
        <f t="shared" si="516"/>
        <v>0</v>
      </c>
      <c r="M259" s="36">
        <f t="shared" si="516"/>
        <v>0</v>
      </c>
      <c r="N259" s="36">
        <f t="shared" si="516"/>
        <v>0</v>
      </c>
      <c r="O259" s="36">
        <f t="shared" ref="O259" si="517">IF(N259=0,O260*O255,O262-O256)</f>
        <v>0</v>
      </c>
      <c r="P259" s="36">
        <f>IF(O259=0,P260*P255,P262-P256)</f>
        <v>0</v>
      </c>
      <c r="Q259" s="36">
        <f t="shared" ref="Q259" si="518">IF(P259=0,Q260*Q255,Q262-Q256)</f>
        <v>0</v>
      </c>
      <c r="R259" s="36">
        <f>IF(Q259=0,R260*R255,R262-R256)</f>
        <v>0</v>
      </c>
      <c r="S259" s="36">
        <f t="shared" ref="S259" si="519">IF(R259=0,S260*S255,S262-S256)</f>
        <v>0</v>
      </c>
      <c r="T259" s="36">
        <f t="shared" ref="T259" si="520">IF(S259=0,T260*T255,T262-T256)</f>
        <v>0</v>
      </c>
      <c r="U259" s="36">
        <f t="shared" ref="U259" si="521">IF(T259=0,U260*U255,U262-U256)</f>
        <v>0</v>
      </c>
      <c r="V259" s="36">
        <f t="shared" ref="V259" si="522">IF(U259=0,V260*V255,V262-V256)</f>
        <v>0</v>
      </c>
      <c r="W259" s="36">
        <f t="shared" ref="W259" si="523">IF(V259=0,W260*W255,W262-W256)</f>
        <v>0</v>
      </c>
      <c r="X259" s="36">
        <f t="shared" ref="X259" si="524">IF(W259=0,X260*X255,X262-X256)</f>
        <v>0</v>
      </c>
      <c r="Y259" s="36">
        <f t="shared" ref="Y259" si="525">IF(X259=0,Y260*Y255,Y262-Y256)</f>
        <v>0</v>
      </c>
      <c r="Z259" s="36">
        <f t="shared" ref="Z259" si="526">IF(Y259=0,Z260*Z255,Z262-Z256)</f>
        <v>0</v>
      </c>
      <c r="AA259" s="36">
        <f t="shared" ref="AA259" si="527">IF(Z259=0,AA260*AA255,AA262-AA256)</f>
        <v>0</v>
      </c>
      <c r="AB259" s="36">
        <f t="shared" ref="AB259" si="528">IF(AA259=0,AB260*AB255,AB262-AB256)</f>
        <v>0</v>
      </c>
      <c r="AC259" s="36">
        <f t="shared" ref="AC259" si="529">IF(AB259=0,AC260*AC255,AC262-AC256)</f>
        <v>0</v>
      </c>
      <c r="AD259" s="36">
        <f t="shared" ref="AD259" si="530">IF(AC259=0,AD260*AD255,AD262-AD256)</f>
        <v>0</v>
      </c>
      <c r="AE259" s="36">
        <f t="shared" ref="AE259" si="531">IF(AD259=0,AE260*AE255,AE262-AE256)</f>
        <v>0</v>
      </c>
      <c r="AF259" s="36">
        <f>IF(AE259=0,AF260*AF255,AF262-AF256)</f>
        <v>0</v>
      </c>
      <c r="AG259" s="36">
        <f>IF(AF259=0,AG260*AG255,AG262-AG256)</f>
        <v>0</v>
      </c>
      <c r="AH259" s="36">
        <f t="shared" ref="AH259" si="532">IF(AG259=0,AH260*AH255,AH262-AH256)</f>
        <v>0</v>
      </c>
      <c r="BH259" s="2" t="s">
        <v>578</v>
      </c>
      <c r="BI259" s="2">
        <v>2200</v>
      </c>
      <c r="BJ259" s="2">
        <v>900</v>
      </c>
      <c r="BN259" s="2">
        <v>2592</v>
      </c>
    </row>
    <row r="260" spans="2:66">
      <c r="B260" s="38" t="s">
        <v>554</v>
      </c>
      <c r="C260" s="39"/>
      <c r="D260" s="33">
        <f>IF(Allgemein!$L$82&gt;=D251,0,Allgemein!$L$83)</f>
        <v>0</v>
      </c>
      <c r="E260" s="33">
        <f>IF(Allgemein!$L$82&gt;=E251,0,IF(D259=0,Allgemein!$L$83,IF(E255=0,0,E259/E255)))</f>
        <v>0</v>
      </c>
      <c r="F260" s="33">
        <f>IF(Allgemein!$L$82&gt;=F251,0,IF(E259=0,Allgemein!$L$83,IF(F255=0,0,F259/F255)))</f>
        <v>0</v>
      </c>
      <c r="G260" s="33">
        <f>IF(Allgemein!$L$82&gt;=G251,0,IF(F259=0,Allgemein!$L$83,IF(G255=0,0,G259/G255)))</f>
        <v>0</v>
      </c>
      <c r="H260" s="33">
        <f>IF(Allgemein!$L$82&gt;=H251,0,IF(G259=0,Allgemein!$L$83,IF(H255=0,0,H259/H255)))</f>
        <v>0</v>
      </c>
      <c r="I260" s="33">
        <f>IF(Allgemein!$L$82&gt;=I251,0,IF(H259=0,Allgemein!$L$83,IF(I255=0,0,I259/I255)))</f>
        <v>0</v>
      </c>
      <c r="J260" s="33">
        <f>IF(Allgemein!$L$82&gt;=J251,0,IF(I259=0,Allgemein!$L$83,IF(J255=0,0,J259/J255)))</f>
        <v>0</v>
      </c>
      <c r="K260" s="33">
        <f>IF(Allgemein!$L$82&gt;=K251,0,IF(J259=0,Allgemein!$L$83,IF(K255=0,0,K259/K255)))</f>
        <v>0</v>
      </c>
      <c r="L260" s="33">
        <f>IF(Allgemein!$L$82&gt;=L251,0,IF(K259=0,Allgemein!$L$83,IF(L255=0,0,L259/L255)))</f>
        <v>0</v>
      </c>
      <c r="M260" s="33">
        <f>IF(Allgemein!$L$82&gt;=M251,0,IF(L259=0,Allgemein!$L$83,IF(M255=0,0,M259/M255)))</f>
        <v>0</v>
      </c>
      <c r="N260" s="33">
        <f>IF(Allgemein!$L$82&gt;=N251,0,IF(M259=0,Allgemein!$L$83,IF(N255=0,0,N259/N255)))</f>
        <v>0</v>
      </c>
      <c r="O260" s="33">
        <f>IF(Allgemein!$L$82&gt;=O251,0,IF(N259=0,Allgemein!$L$83,IF(O255=0,0,O259/O255)))</f>
        <v>0</v>
      </c>
      <c r="P260" s="33">
        <f>IF(Allgemein!$L$82&gt;=P251,0,IF(O259=0,Allgemein!$L$83,IF(P255=0,0,P259/P255)))</f>
        <v>0</v>
      </c>
      <c r="Q260" s="33">
        <f>IF(Allgemein!$L$82&gt;=Q251,0,IF(P259=0,Allgemein!$L$83,IF(Q255=0,0,Q259/Q255)))</f>
        <v>0</v>
      </c>
      <c r="R260" s="33">
        <f>IF(Allgemein!$L$82&gt;=R251,0,IF(Q259=0,Allgemein!$L$83,IF(R255=0,0,R259/R255)))</f>
        <v>0</v>
      </c>
      <c r="S260" s="33">
        <f>IF(Allgemein!$L$82&gt;=S251,0,IF(R259=0,Allgemein!$L$83,IF(S255=0,0,S259/S255)))</f>
        <v>0</v>
      </c>
      <c r="T260" s="33">
        <f>IF(Allgemein!$L$82&gt;=T251,0,IF(S259=0,Allgemein!$L$83,IF(T255=0,0,T259/T255)))</f>
        <v>0</v>
      </c>
      <c r="U260" s="33">
        <f>IF(Allgemein!$L$82&gt;=U251,0,IF(T259=0,Allgemein!$L$83,IF(U255=0,0,U259/U255)))</f>
        <v>0</v>
      </c>
      <c r="V260" s="33">
        <f>IF(Allgemein!$L$82&gt;=V251,0,IF(U259=0,Allgemein!$L$83,IF(V255=0,0,V259/V255)))</f>
        <v>0</v>
      </c>
      <c r="W260" s="33">
        <f>IF(Allgemein!$L$82&gt;=W251,0,IF(V259=0,Allgemein!$L$83,IF(W255=0,0,W259/W255)))</f>
        <v>0</v>
      </c>
      <c r="X260" s="33">
        <f>IF(Allgemein!$L$82&gt;=X251,0,IF(W259=0,Allgemein!$L$83,IF(X255=0,0,X259/X255)))</f>
        <v>0</v>
      </c>
      <c r="Y260" s="33">
        <f>IF(Allgemein!$L$82&gt;=Y251,0,IF(X259=0,Allgemein!$L$83,IF(Y255=0,0,Y259/Y255)))</f>
        <v>0</v>
      </c>
      <c r="Z260" s="33">
        <f>IF(Allgemein!$L$82&gt;=Z251,0,IF(Y259=0,Allgemein!$L$83,IF(Z255=0,0,Z259/Z255)))</f>
        <v>0</v>
      </c>
      <c r="AA260" s="33">
        <f>IF(Allgemein!$L$82&gt;=AA251,0,IF(Z259=0,Allgemein!$L$83,IF(AA255=0,0,AA259/AA255)))</f>
        <v>0</v>
      </c>
      <c r="AB260" s="33">
        <f>IF(Allgemein!$L$82&gt;=AB251,0,IF(AA259=0,Allgemein!$L$83,IF(AB255=0,0,AB259/AB255)))</f>
        <v>0</v>
      </c>
      <c r="AC260" s="33">
        <f>IF(Allgemein!$L$82&gt;=AC251,0,IF(AB259=0,Allgemein!$L$83,IF(AC255=0,0,AC259/AC255)))</f>
        <v>0</v>
      </c>
      <c r="AD260" s="33">
        <f>IF(Allgemein!$L$82&gt;=AD251,0,IF(AC259=0,Allgemein!$L$83,IF(AD255=0,0,AD259/AD255)))</f>
        <v>0</v>
      </c>
      <c r="AE260" s="33">
        <f>IF(Allgemein!$L$82&gt;=AE251,0,IF(AD259=0,Allgemein!$L$83,IF(AE255=0,0,AE259/AE255)))</f>
        <v>0</v>
      </c>
      <c r="AF260" s="33">
        <f>IF(Allgemein!$L$82&gt;=AF251,0,IF(AE259=0,Allgemein!$L$83,IF(AF255=0,0,AF259/AF255)))</f>
        <v>0</v>
      </c>
      <c r="AG260" s="33">
        <f>IF(Allgemein!$L$82&gt;=AG251,0,IF(AF259=0,Allgemein!$L$83,IF(AG255=0,0,AG259/AG255)))</f>
        <v>0</v>
      </c>
      <c r="AH260" s="33">
        <f>IF(Allgemein!$L$82&gt;=AH251,0,IF(AG259=0,Allgemein!$L$83,IF(AH255=0,0,AH259/AH255)))</f>
        <v>0</v>
      </c>
      <c r="BH260" s="2" t="s">
        <v>578</v>
      </c>
      <c r="BI260" s="2">
        <v>2300</v>
      </c>
      <c r="BJ260" s="2">
        <v>900</v>
      </c>
      <c r="BN260" s="2">
        <v>2768</v>
      </c>
    </row>
    <row r="261" spans="2:66">
      <c r="B261" s="34"/>
      <c r="C261" s="35"/>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BH261" s="2" t="s">
        <v>578</v>
      </c>
      <c r="BI261" s="2">
        <v>2600</v>
      </c>
      <c r="BJ261" s="2">
        <v>900</v>
      </c>
      <c r="BN261" s="2">
        <v>3129</v>
      </c>
    </row>
    <row r="262" spans="2:66">
      <c r="B262" s="31" t="s">
        <v>555</v>
      </c>
      <c r="C262" s="32"/>
      <c r="D262" s="36">
        <f>D259+D256</f>
        <v>0</v>
      </c>
      <c r="E262" s="36">
        <f>IF(D259=0,E256+E259,IF(E255=0,0,IF(E255&lt;D262,E255+E256,IF(E258=0,D262,E258+E256))))</f>
        <v>0</v>
      </c>
      <c r="F262" s="36">
        <f>IF(E259=0,F256+F259,IF(F255=0,0,IF(F255&lt;E262,F255+F256,IF(F258=0,E262,F258+F256))))</f>
        <v>0</v>
      </c>
      <c r="G262" s="36">
        <f>IF(F259=0,G256+G259,IF(G255=0,0,IF(G255&lt;F262,G255+G256,IF(G258=0,F262,G258+G256))))</f>
        <v>0</v>
      </c>
      <c r="H262" s="36">
        <f>IF(G259=0,H256+H259,IF(H255=0,0,IF(H255&lt;G262,H255+H256,IF(H258=0,G262,H258+H256))))</f>
        <v>0</v>
      </c>
      <c r="I262" s="36">
        <f t="shared" ref="I262" si="533">IF(H259=0,I256+I259,IF(I255=0,0,IF(I255&lt;H262,I255+I256,IF(I258=0,H262,I258+I256))))</f>
        <v>0</v>
      </c>
      <c r="J262" s="36">
        <f>IF(I259=0,J256+J259,IF(J255=0,0,IF(J255&lt;I262,J255+J256,IF(J258=0,I262,J258+J256))))</f>
        <v>0</v>
      </c>
      <c r="K262" s="36">
        <f t="shared" ref="K262" si="534">IF(J259=0,K256+K259,IF(K255=0,0,IF(K255&lt;J262,K255+K256,IF(K258=0,J262,K258+K256))))</f>
        <v>0</v>
      </c>
      <c r="L262" s="36">
        <f t="shared" ref="L262" si="535">IF(K259=0,L256+L259,IF(L255=0,0,IF(L255&lt;K262,L255+L256,IF(L258=0,K262,L258+L256))))</f>
        <v>0</v>
      </c>
      <c r="M262" s="36">
        <f t="shared" ref="M262" si="536">IF(L259=0,M256+M259,IF(M255=0,0,IF(M255&lt;L262,M255+M256,IF(M258=0,L262,M258+M256))))</f>
        <v>0</v>
      </c>
      <c r="N262" s="36">
        <f t="shared" ref="N262" si="537">IF(M259=0,N256+N259,IF(N255=0,0,IF(N255&lt;M262,N255+N256,IF(N258=0,M262,N258+N256))))</f>
        <v>0</v>
      </c>
      <c r="O262" s="36">
        <f t="shared" ref="O262" si="538">IF(N259=0,O256+O259,IF(O255=0,0,IF(O255&lt;N262,O255+O256,IF(O258=0,N262,O258+O256))))</f>
        <v>0</v>
      </c>
      <c r="P262" s="36">
        <f t="shared" ref="P262" si="539">IF(O259=0,P256+P259,IF(P255=0,0,IF(P255&lt;O262,P255+P256,IF(P258=0,O262,P258+P256))))</f>
        <v>0</v>
      </c>
      <c r="Q262" s="36">
        <f t="shared" ref="Q262" si="540">IF(P259=0,Q256+Q259,IF(Q255=0,0,IF(Q255&lt;P262,Q255+Q256,IF(Q258=0,P262,Q258+Q256))))</f>
        <v>0</v>
      </c>
      <c r="R262" s="36">
        <f t="shared" ref="R262" si="541">IF(Q259=0,R256+R259,IF(R255=0,0,IF(R255&lt;Q262,R255+R256,IF(R258=0,Q262,R258+R256))))</f>
        <v>0</v>
      </c>
      <c r="S262" s="36">
        <f t="shared" ref="S262" si="542">IF(R259=0,S256+S259,IF(S255=0,0,IF(S255&lt;R262,S255+S256,IF(S258=0,R262,S258+S256))))</f>
        <v>0</v>
      </c>
      <c r="T262" s="36">
        <f t="shared" ref="T262" si="543">IF(S259=0,T256+T259,IF(T255=0,0,IF(T255&lt;S262,T255+T256,IF(T258=0,S262,T258+T256))))</f>
        <v>0</v>
      </c>
      <c r="U262" s="36">
        <f t="shared" ref="U262" si="544">IF(T259=0,U256+U259,IF(U255=0,0,IF(U255&lt;T262,U255+U256,IF(U258=0,T262,U258+U256))))</f>
        <v>0</v>
      </c>
      <c r="V262" s="36">
        <f t="shared" ref="V262" si="545">IF(U259=0,V256+V259,IF(V255=0,0,IF(V255&lt;U262,V255+V256,IF(V258=0,U262,V258+V256))))</f>
        <v>0</v>
      </c>
      <c r="W262" s="36">
        <f t="shared" ref="W262" si="546">IF(V259=0,W256+W259,IF(W255=0,0,IF(W255&lt;V262,W255+W256,IF(W258=0,V262,W258+W256))))</f>
        <v>0</v>
      </c>
      <c r="X262" s="36">
        <f t="shared" ref="X262" si="547">IF(W259=0,X256+X259,IF(X255=0,0,IF(X255&lt;W262,X255+X256,IF(X258=0,W262,X258+X256))))</f>
        <v>0</v>
      </c>
      <c r="Y262" s="36">
        <f t="shared" ref="Y262" si="548">IF(X259=0,Y256+Y259,IF(Y255=0,0,IF(Y255&lt;X262,Y255+Y256,IF(Y258=0,X262,Y258+Y256))))</f>
        <v>0</v>
      </c>
      <c r="Z262" s="36">
        <f t="shared" ref="Z262" si="549">IF(Y259=0,Z256+Z259,IF(Z255=0,0,IF(Z255&lt;Y262,Z255+Z256,IF(Z258=0,Y262,Z258+Z256))))</f>
        <v>0</v>
      </c>
      <c r="AA262" s="36">
        <f t="shared" ref="AA262" si="550">IF(Z259=0,AA256+AA259,IF(AA255=0,0,IF(AA255&lt;Z262,AA255+AA256,IF(AA258=0,Z262,AA258+AA256))))</f>
        <v>0</v>
      </c>
      <c r="AB262" s="36">
        <f t="shared" ref="AB262" si="551">IF(AA259=0,AB256+AB259,IF(AB255=0,0,IF(AB255&lt;AA262,AB255+AB256,IF(AB258=0,AA262,AB258+AB256))))</f>
        <v>0</v>
      </c>
      <c r="AC262" s="36">
        <f t="shared" ref="AC262" si="552">IF(AB259=0,AC256+AC259,IF(AC255=0,0,IF(AC255&lt;AB262,AC255+AC256,IF(AC258=0,AB262,AC258+AC256))))</f>
        <v>0</v>
      </c>
      <c r="AD262" s="36">
        <f t="shared" ref="AD262" si="553">IF(AC259=0,AD256+AD259,IF(AD255=0,0,IF(AD255&lt;AC262,AD255+AD256,IF(AD258=0,AC262,AD258+AD256))))</f>
        <v>0</v>
      </c>
      <c r="AE262" s="36">
        <f t="shared" ref="AE262" si="554">IF(AD259=0,AE256+AE259,IF(AE255=0,0,IF(AE255&lt;AD262,AE255+AE256,IF(AE258=0,AD262,AE258+AE256))))</f>
        <v>0</v>
      </c>
      <c r="AF262" s="36">
        <f t="shared" ref="AF262" si="555">IF(AE259=0,AF256+AF259,IF(AF255=0,0,IF(AF255&lt;AE262,AF255+AF256,IF(AF258=0,AE262,AF258+AF256))))</f>
        <v>0</v>
      </c>
      <c r="AG262" s="36">
        <f t="shared" ref="AG262" si="556">IF(AF259=0,AG256+AG259,IF(AG255=0,0,IF(AG255&lt;AF262,AG255+AG256,IF(AG258=0,AF262,AG258+AG256))))</f>
        <v>0</v>
      </c>
      <c r="AH262" s="36">
        <f t="shared" ref="AH262" si="557">IF(AG259=0,AH256+AH259,IF(AH255=0,0,IF(AH255&lt;AG262,AH255+AH256,IF(AH258=0,AG262,AH258+AH256))))</f>
        <v>0</v>
      </c>
      <c r="BH262" s="2" t="s">
        <v>578</v>
      </c>
      <c r="BI262" s="2">
        <v>3000</v>
      </c>
      <c r="BJ262" s="2">
        <v>900</v>
      </c>
      <c r="BN262" s="2">
        <v>3610</v>
      </c>
    </row>
    <row r="263" spans="2:66">
      <c r="B263" s="31" t="s">
        <v>556</v>
      </c>
      <c r="C263" s="32"/>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BH263" s="2" t="s">
        <v>577</v>
      </c>
      <c r="BI263" s="2">
        <v>400</v>
      </c>
      <c r="BJ263" s="2">
        <v>300</v>
      </c>
      <c r="BN263" s="2">
        <v>159</v>
      </c>
    </row>
    <row r="264" spans="2:66">
      <c r="B264" s="31" t="s">
        <v>557</v>
      </c>
      <c r="C264" s="32"/>
      <c r="D264" s="36">
        <f>D255-D259</f>
        <v>0</v>
      </c>
      <c r="E264" s="36">
        <f t="shared" ref="E264:AH264" si="558">E255-E259</f>
        <v>0</v>
      </c>
      <c r="F264" s="36">
        <f t="shared" si="558"/>
        <v>0</v>
      </c>
      <c r="G264" s="36">
        <f t="shared" si="558"/>
        <v>0</v>
      </c>
      <c r="H264" s="36">
        <f t="shared" si="558"/>
        <v>0</v>
      </c>
      <c r="I264" s="36">
        <f t="shared" si="558"/>
        <v>0</v>
      </c>
      <c r="J264" s="36">
        <f t="shared" si="558"/>
        <v>0</v>
      </c>
      <c r="K264" s="36">
        <f t="shared" si="558"/>
        <v>0</v>
      </c>
      <c r="L264" s="36">
        <f t="shared" si="558"/>
        <v>0</v>
      </c>
      <c r="M264" s="36">
        <f t="shared" si="558"/>
        <v>0</v>
      </c>
      <c r="N264" s="36">
        <f t="shared" si="558"/>
        <v>0</v>
      </c>
      <c r="O264" s="36">
        <f t="shared" si="558"/>
        <v>0</v>
      </c>
      <c r="P264" s="36">
        <f t="shared" si="558"/>
        <v>0</v>
      </c>
      <c r="Q264" s="36">
        <f t="shared" si="558"/>
        <v>0</v>
      </c>
      <c r="R264" s="36">
        <f t="shared" si="558"/>
        <v>0</v>
      </c>
      <c r="S264" s="36">
        <f t="shared" si="558"/>
        <v>0</v>
      </c>
      <c r="T264" s="36">
        <f t="shared" si="558"/>
        <v>0</v>
      </c>
      <c r="U264" s="36">
        <f t="shared" si="558"/>
        <v>0</v>
      </c>
      <c r="V264" s="36">
        <f t="shared" si="558"/>
        <v>0</v>
      </c>
      <c r="W264" s="36">
        <f t="shared" si="558"/>
        <v>0</v>
      </c>
      <c r="X264" s="36">
        <f t="shared" si="558"/>
        <v>0</v>
      </c>
      <c r="Y264" s="36">
        <f t="shared" si="558"/>
        <v>0</v>
      </c>
      <c r="Z264" s="36">
        <f t="shared" si="558"/>
        <v>0</v>
      </c>
      <c r="AA264" s="36">
        <f t="shared" si="558"/>
        <v>0</v>
      </c>
      <c r="AB264" s="36">
        <f t="shared" si="558"/>
        <v>0</v>
      </c>
      <c r="AC264" s="36">
        <f t="shared" si="558"/>
        <v>0</v>
      </c>
      <c r="AD264" s="36">
        <f t="shared" si="558"/>
        <v>0</v>
      </c>
      <c r="AE264" s="36">
        <f t="shared" si="558"/>
        <v>0</v>
      </c>
      <c r="AF264" s="36">
        <f t="shared" si="558"/>
        <v>0</v>
      </c>
      <c r="AG264" s="36">
        <f t="shared" si="558"/>
        <v>0</v>
      </c>
      <c r="AH264" s="36">
        <f t="shared" si="558"/>
        <v>0</v>
      </c>
      <c r="BH264" s="2" t="s">
        <v>577</v>
      </c>
      <c r="BI264" s="2">
        <v>500</v>
      </c>
      <c r="BJ264" s="2">
        <v>300</v>
      </c>
      <c r="BN264" s="2">
        <v>199</v>
      </c>
    </row>
    <row r="265" spans="2:66" ht="17.399999999999999" thickBot="1">
      <c r="B265" s="40" t="s">
        <v>558</v>
      </c>
      <c r="C265" s="41"/>
      <c r="D265" s="42">
        <f>D262/12</f>
        <v>0</v>
      </c>
      <c r="E265" s="42">
        <f>E262/12</f>
        <v>0</v>
      </c>
      <c r="F265" s="42">
        <f>F262/12</f>
        <v>0</v>
      </c>
      <c r="G265" s="42">
        <f>G262/12</f>
        <v>0</v>
      </c>
      <c r="H265" s="42">
        <f t="shared" ref="H265:AH265" si="559">H262/12</f>
        <v>0</v>
      </c>
      <c r="I265" s="42">
        <f t="shared" si="559"/>
        <v>0</v>
      </c>
      <c r="J265" s="42">
        <f t="shared" si="559"/>
        <v>0</v>
      </c>
      <c r="K265" s="42">
        <f t="shared" si="559"/>
        <v>0</v>
      </c>
      <c r="L265" s="42">
        <f t="shared" si="559"/>
        <v>0</v>
      </c>
      <c r="M265" s="42">
        <f t="shared" si="559"/>
        <v>0</v>
      </c>
      <c r="N265" s="42">
        <f t="shared" si="559"/>
        <v>0</v>
      </c>
      <c r="O265" s="42">
        <f t="shared" si="559"/>
        <v>0</v>
      </c>
      <c r="P265" s="42">
        <f t="shared" si="559"/>
        <v>0</v>
      </c>
      <c r="Q265" s="42">
        <f t="shared" si="559"/>
        <v>0</v>
      </c>
      <c r="R265" s="42">
        <f t="shared" si="559"/>
        <v>0</v>
      </c>
      <c r="S265" s="42">
        <f t="shared" si="559"/>
        <v>0</v>
      </c>
      <c r="T265" s="42">
        <f t="shared" si="559"/>
        <v>0</v>
      </c>
      <c r="U265" s="42">
        <f t="shared" si="559"/>
        <v>0</v>
      </c>
      <c r="V265" s="42">
        <f t="shared" si="559"/>
        <v>0</v>
      </c>
      <c r="W265" s="42">
        <f t="shared" si="559"/>
        <v>0</v>
      </c>
      <c r="X265" s="42">
        <f t="shared" si="559"/>
        <v>0</v>
      </c>
      <c r="Y265" s="42">
        <f t="shared" si="559"/>
        <v>0</v>
      </c>
      <c r="Z265" s="42">
        <f t="shared" si="559"/>
        <v>0</v>
      </c>
      <c r="AA265" s="42">
        <f t="shared" si="559"/>
        <v>0</v>
      </c>
      <c r="AB265" s="42">
        <f t="shared" si="559"/>
        <v>0</v>
      </c>
      <c r="AC265" s="42">
        <f t="shared" si="559"/>
        <v>0</v>
      </c>
      <c r="AD265" s="42">
        <f t="shared" si="559"/>
        <v>0</v>
      </c>
      <c r="AE265" s="42">
        <f t="shared" si="559"/>
        <v>0</v>
      </c>
      <c r="AF265" s="42">
        <f t="shared" si="559"/>
        <v>0</v>
      </c>
      <c r="AG265" s="42">
        <f t="shared" si="559"/>
        <v>0</v>
      </c>
      <c r="AH265" s="42">
        <f t="shared" si="559"/>
        <v>0</v>
      </c>
      <c r="BH265" s="2" t="s">
        <v>577</v>
      </c>
      <c r="BI265" s="2">
        <v>600</v>
      </c>
      <c r="BJ265" s="2">
        <v>300</v>
      </c>
      <c r="BN265" s="2">
        <v>238</v>
      </c>
    </row>
    <row r="266" spans="2:66" ht="17.399999999999999" thickBot="1">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BH266" s="2" t="s">
        <v>577</v>
      </c>
      <c r="BI266" s="2">
        <v>700</v>
      </c>
      <c r="BJ266" s="2">
        <v>300</v>
      </c>
      <c r="BN266" s="2">
        <v>278</v>
      </c>
    </row>
    <row r="267" spans="2:66" ht="19.2" thickBot="1">
      <c r="B267" s="61" t="str">
        <f>Allgemein!M75</f>
        <v>Ergänzungskredit</v>
      </c>
      <c r="C267" s="29"/>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BH267" s="2" t="s">
        <v>577</v>
      </c>
      <c r="BI267" s="2">
        <v>800</v>
      </c>
      <c r="BJ267" s="2">
        <v>300</v>
      </c>
      <c r="BN267" s="2">
        <v>318</v>
      </c>
    </row>
    <row r="268" spans="2:66" ht="17.399999999999999" thickBot="1">
      <c r="B268" s="56" t="s">
        <v>339</v>
      </c>
      <c r="C268" s="57"/>
      <c r="D268" s="58">
        <v>1</v>
      </c>
      <c r="E268" s="59">
        <v>2</v>
      </c>
      <c r="F268" s="59">
        <v>3</v>
      </c>
      <c r="G268" s="58">
        <v>4</v>
      </c>
      <c r="H268" s="58">
        <v>5</v>
      </c>
      <c r="I268" s="59">
        <v>6</v>
      </c>
      <c r="J268" s="59">
        <v>7</v>
      </c>
      <c r="K268" s="58">
        <v>8</v>
      </c>
      <c r="L268" s="58">
        <v>9</v>
      </c>
      <c r="M268" s="59">
        <v>10</v>
      </c>
      <c r="N268" s="59">
        <v>11</v>
      </c>
      <c r="O268" s="58">
        <v>12</v>
      </c>
      <c r="P268" s="58">
        <v>13</v>
      </c>
      <c r="Q268" s="59">
        <v>14</v>
      </c>
      <c r="R268" s="59">
        <v>15</v>
      </c>
      <c r="S268" s="58">
        <v>16</v>
      </c>
      <c r="T268" s="58">
        <v>17</v>
      </c>
      <c r="U268" s="59">
        <v>18</v>
      </c>
      <c r="V268" s="59">
        <v>19</v>
      </c>
      <c r="W268" s="58">
        <v>20</v>
      </c>
      <c r="X268" s="58">
        <v>21</v>
      </c>
      <c r="Y268" s="59">
        <v>22</v>
      </c>
      <c r="Z268" s="59">
        <v>23</v>
      </c>
      <c r="AA268" s="58">
        <v>24</v>
      </c>
      <c r="AB268" s="58">
        <v>25</v>
      </c>
      <c r="AC268" s="59">
        <v>26</v>
      </c>
      <c r="AD268" s="59">
        <v>27</v>
      </c>
      <c r="AE268" s="58">
        <v>28</v>
      </c>
      <c r="AF268" s="58">
        <v>29</v>
      </c>
      <c r="AG268" s="59">
        <v>30</v>
      </c>
      <c r="AH268" s="74">
        <v>31</v>
      </c>
      <c r="BH268" s="2" t="s">
        <v>577</v>
      </c>
      <c r="BI268" s="2">
        <v>900</v>
      </c>
      <c r="BJ268" s="2">
        <v>300</v>
      </c>
      <c r="BN268" s="2">
        <v>358</v>
      </c>
    </row>
    <row r="269" spans="2:66">
      <c r="B269" s="69" t="s">
        <v>545</v>
      </c>
      <c r="C269" s="70"/>
      <c r="D269" s="71"/>
      <c r="E269" s="72"/>
      <c r="F269" s="73"/>
      <c r="G269" s="73"/>
      <c r="H269" s="73"/>
      <c r="I269" s="73"/>
      <c r="J269" s="73"/>
      <c r="K269" s="73"/>
      <c r="L269" s="73"/>
      <c r="M269" s="73"/>
      <c r="N269" s="73"/>
      <c r="O269" s="73"/>
      <c r="P269" s="73"/>
      <c r="Q269" s="73"/>
      <c r="R269" s="73"/>
      <c r="S269" s="73"/>
      <c r="T269" s="73"/>
      <c r="U269" s="73"/>
      <c r="V269" s="73"/>
      <c r="W269" s="73"/>
      <c r="X269" s="73"/>
      <c r="Y269" s="73"/>
      <c r="Z269" s="73"/>
      <c r="AA269" s="73"/>
      <c r="AB269" s="73"/>
      <c r="AC269" s="73"/>
      <c r="AD269" s="73"/>
      <c r="AE269" s="73"/>
      <c r="AF269" s="73"/>
      <c r="AG269" s="73"/>
      <c r="AH269" s="73"/>
      <c r="BH269" s="2" t="s">
        <v>577</v>
      </c>
      <c r="BI269" s="2">
        <v>1000</v>
      </c>
      <c r="BJ269" s="2">
        <v>300</v>
      </c>
      <c r="BN269" s="2">
        <v>397</v>
      </c>
    </row>
    <row r="270" spans="2:66">
      <c r="B270" s="31" t="s">
        <v>546</v>
      </c>
      <c r="C270" s="32"/>
      <c r="D270" s="33">
        <f>Allgemein!$M$80</f>
        <v>0</v>
      </c>
      <c r="E270" s="33">
        <f t="shared" ref="E270:T270" si="560">IF(E269=0,D270,E269)</f>
        <v>0</v>
      </c>
      <c r="F270" s="33">
        <f t="shared" si="560"/>
        <v>0</v>
      </c>
      <c r="G270" s="33">
        <f t="shared" si="560"/>
        <v>0</v>
      </c>
      <c r="H270" s="33">
        <f t="shared" si="560"/>
        <v>0</v>
      </c>
      <c r="I270" s="33">
        <f t="shared" si="560"/>
        <v>0</v>
      </c>
      <c r="J270" s="33">
        <f t="shared" si="560"/>
        <v>0</v>
      </c>
      <c r="K270" s="33">
        <f t="shared" si="560"/>
        <v>0</v>
      </c>
      <c r="L270" s="33">
        <f t="shared" si="560"/>
        <v>0</v>
      </c>
      <c r="M270" s="33">
        <f t="shared" si="560"/>
        <v>0</v>
      </c>
      <c r="N270" s="33">
        <f t="shared" si="560"/>
        <v>0</v>
      </c>
      <c r="O270" s="33">
        <f t="shared" si="560"/>
        <v>0</v>
      </c>
      <c r="P270" s="33">
        <f t="shared" si="560"/>
        <v>0</v>
      </c>
      <c r="Q270" s="33">
        <f t="shared" si="560"/>
        <v>0</v>
      </c>
      <c r="R270" s="33">
        <f t="shared" si="560"/>
        <v>0</v>
      </c>
      <c r="S270" s="33">
        <f t="shared" si="560"/>
        <v>0</v>
      </c>
      <c r="T270" s="33">
        <f t="shared" si="560"/>
        <v>0</v>
      </c>
      <c r="U270" s="33">
        <f t="shared" ref="U270" si="561">IF(U269=0,T270,U269)</f>
        <v>0</v>
      </c>
      <c r="V270" s="33">
        <f t="shared" ref="V270" si="562">IF(V269=0,U270,V269)</f>
        <v>0</v>
      </c>
      <c r="W270" s="33">
        <f t="shared" ref="W270" si="563">IF(W269=0,V270,W269)</f>
        <v>0</v>
      </c>
      <c r="X270" s="33">
        <f t="shared" ref="X270" si="564">IF(X269=0,W270,X269)</f>
        <v>0</v>
      </c>
      <c r="Y270" s="33">
        <f t="shared" ref="Y270" si="565">IF(Y269=0,X270,Y269)</f>
        <v>0</v>
      </c>
      <c r="Z270" s="33">
        <f t="shared" ref="Z270" si="566">IF(Z269=0,Y270,Z269)</f>
        <v>0</v>
      </c>
      <c r="AA270" s="33">
        <f t="shared" ref="AA270" si="567">IF(AA269=0,Z270,AA269)</f>
        <v>0</v>
      </c>
      <c r="AB270" s="33">
        <f t="shared" ref="AB270" si="568">IF(AB269=0,AA270,AB269)</f>
        <v>0</v>
      </c>
      <c r="AC270" s="33">
        <f t="shared" ref="AC270" si="569">IF(AC269=0,AB270,AC269)</f>
        <v>0</v>
      </c>
      <c r="AD270" s="33">
        <f t="shared" ref="AD270" si="570">IF(AD269=0,AC270,AD269)</f>
        <v>0</v>
      </c>
      <c r="AE270" s="33">
        <f t="shared" ref="AE270" si="571">IF(AE269=0,AD270,AE269)</f>
        <v>0</v>
      </c>
      <c r="AF270" s="33">
        <f t="shared" ref="AF270" si="572">IF(AF269=0,AE270,AF269)</f>
        <v>0</v>
      </c>
      <c r="AG270" s="33">
        <f t="shared" ref="AG270" si="573">IF(AG269=0,AF270,AG269)</f>
        <v>0</v>
      </c>
      <c r="AH270" s="33">
        <f t="shared" ref="AH270" si="574">IF(AH269=0,AG270,AH269)</f>
        <v>0</v>
      </c>
      <c r="BH270" s="2" t="s">
        <v>577</v>
      </c>
      <c r="BI270" s="2">
        <v>1100</v>
      </c>
      <c r="BJ270" s="2">
        <v>300</v>
      </c>
      <c r="BN270" s="2">
        <v>437</v>
      </c>
    </row>
    <row r="271" spans="2:66">
      <c r="B271" s="34"/>
      <c r="C271" s="35"/>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BH271" s="2" t="s">
        <v>577</v>
      </c>
      <c r="BI271" s="2">
        <v>1200</v>
      </c>
      <c r="BJ271" s="2">
        <v>300</v>
      </c>
      <c r="BN271" s="2">
        <v>477</v>
      </c>
    </row>
    <row r="272" spans="2:66">
      <c r="B272" s="31" t="s">
        <v>548</v>
      </c>
      <c r="C272" s="32"/>
      <c r="D272" s="36">
        <f>Allgemein!$M$78</f>
        <v>0</v>
      </c>
      <c r="E272" s="36">
        <f>IF(E268=Allgemein!$M$82+2,(Allgemein!$M$78-Allgemein!$M$86)-D276,D281)</f>
        <v>0</v>
      </c>
      <c r="F272" s="36">
        <f>IF(F268=Allgemein!$M$82+2,(Allgemein!$M$78-Allgemein!$M$86)-E276,E281)</f>
        <v>0</v>
      </c>
      <c r="G272" s="36">
        <f>IF(G268=Allgemein!$M$82+2,(Allgemein!$M$78-Allgemein!$M$86)-F276,F281)</f>
        <v>0</v>
      </c>
      <c r="H272" s="36">
        <f>IF(H268=Allgemein!$M$82+2,(Allgemein!$M$78-Allgemein!$M$86)-G276,G281)</f>
        <v>0</v>
      </c>
      <c r="I272" s="36">
        <f>IF(I268=Allgemein!$M$82+2,(Allgemein!$M$78-Allgemein!$M$86)-H276,H281)</f>
        <v>0</v>
      </c>
      <c r="J272" s="36">
        <f>IF(J268=Allgemein!$M$82+2,(Allgemein!$M$78-Allgemein!$M$86)-I276,I281)</f>
        <v>0</v>
      </c>
      <c r="K272" s="36">
        <f>IF(K268=Allgemein!$M$82+2,(Allgemein!$M$78-Allgemein!$M$86)-J276,J281)</f>
        <v>0</v>
      </c>
      <c r="L272" s="36">
        <f>IF(L268=Allgemein!$M$82+2,(Allgemein!$M$78-Allgemein!$M$86)-K276,K281)</f>
        <v>0</v>
      </c>
      <c r="M272" s="36">
        <f>IF(M268=Allgemein!$M$82+2,(Allgemein!$M$78-Allgemein!$M$86)-L276,L281)</f>
        <v>0</v>
      </c>
      <c r="N272" s="36">
        <f>IF(N268=Allgemein!$M$82+2,(Allgemein!$M$78-Allgemein!$M$86)-M276,M281)</f>
        <v>0</v>
      </c>
      <c r="O272" s="36">
        <f>IF(O268=Allgemein!$M$82+2,(Allgemein!$M$78-Allgemein!$M$86)-N276,N281)</f>
        <v>0</v>
      </c>
      <c r="P272" s="36">
        <f>IF(P268=Allgemein!$M$82+2,(Allgemein!$M$78-Allgemein!$M$86)-O276,O281)</f>
        <v>0</v>
      </c>
      <c r="Q272" s="36">
        <f>IF(Q268=Allgemein!$M$82+2,(Allgemein!$M$78-Allgemein!$M$86)-P276,P281)</f>
        <v>0</v>
      </c>
      <c r="R272" s="36">
        <f>IF(R268=Allgemein!$M$82+2,(Allgemein!$M$78-Allgemein!$M$86)-Q276,Q281)</f>
        <v>0</v>
      </c>
      <c r="S272" s="36">
        <f>IF(S268=Allgemein!$M$82+2,(Allgemein!$M$78-Allgemein!$M$86)-R276,R281)</f>
        <v>0</v>
      </c>
      <c r="T272" s="36">
        <f>IF(T268=Allgemein!$M$82+2,(Allgemein!$M$78-Allgemein!$M$86)-S276,S281)</f>
        <v>0</v>
      </c>
      <c r="U272" s="36">
        <f>IF(U268=Allgemein!$M$82+2,(Allgemein!$M$78-Allgemein!$M$86)-T276,T281)</f>
        <v>0</v>
      </c>
      <c r="V272" s="36">
        <f>IF(V268=Allgemein!$M$82+2,(Allgemein!$M$78-Allgemein!$M$86)-U276,U281)</f>
        <v>0</v>
      </c>
      <c r="W272" s="36">
        <f>IF(W268=Allgemein!$M$82+2,(Allgemein!$M$78-Allgemein!$M$86)-V276,V281)</f>
        <v>0</v>
      </c>
      <c r="X272" s="36">
        <f>IF(X268=Allgemein!$M$82+2,(Allgemein!$M$78-Allgemein!$M$86)-W276,W281)</f>
        <v>0</v>
      </c>
      <c r="Y272" s="36">
        <f>IF(Y268=Allgemein!$M$82+2,(Allgemein!$M$78-Allgemein!$M$86)-X276,X281)</f>
        <v>0</v>
      </c>
      <c r="Z272" s="36">
        <f>IF(Z268=Allgemein!$M$82+2,(Allgemein!$M$78-Allgemein!$M$86)-Y276,Y281)</f>
        <v>0</v>
      </c>
      <c r="AA272" s="36">
        <f>IF(AA268=Allgemein!$M$82+2,(Allgemein!$M$78-Allgemein!$M$86)-Z276,Z281)</f>
        <v>0</v>
      </c>
      <c r="AB272" s="36">
        <f>IF(AB268=Allgemein!$M$82+2,(Allgemein!$M$78-Allgemein!$M$86)-AA276,AA281)</f>
        <v>0</v>
      </c>
      <c r="AC272" s="36">
        <f>IF(AC268=Allgemein!$M$82+2,(Allgemein!$M$78-Allgemein!$M$86)-AB276,AB281)</f>
        <v>0</v>
      </c>
      <c r="AD272" s="36">
        <f>IF(AD268=Allgemein!$M$82+2,(Allgemein!$M$78-Allgemein!$M$86)-AC276,AC281)</f>
        <v>0</v>
      </c>
      <c r="AE272" s="36">
        <f>IF(AE268=Allgemein!$M$82+2,(Allgemein!$M$78-Allgemein!$M$86)-AD276,AD281)</f>
        <v>0</v>
      </c>
      <c r="AF272" s="36">
        <f>IF(AF268=Allgemein!$M$82+2,(Allgemein!$M$78-Allgemein!$M$86)-AE276,AE281)</f>
        <v>0</v>
      </c>
      <c r="AG272" s="36">
        <f>IF(AG268=Allgemein!$M$82+2,(Allgemein!$M$78-Allgemein!$M$86)-AF276,AF281)</f>
        <v>0</v>
      </c>
      <c r="AH272" s="36">
        <f>IF(AH268=Allgemein!$M$82+2,(Allgemein!$M$78-Allgemein!$M$86)-AG276,AG281)</f>
        <v>0</v>
      </c>
      <c r="BH272" s="2" t="s">
        <v>577</v>
      </c>
      <c r="BI272" s="2">
        <v>1400</v>
      </c>
      <c r="BJ272" s="2">
        <v>300</v>
      </c>
      <c r="BN272" s="2">
        <v>556</v>
      </c>
    </row>
    <row r="273" spans="2:66">
      <c r="B273" s="31" t="s">
        <v>549</v>
      </c>
      <c r="C273" s="32"/>
      <c r="D273" s="36">
        <f>D272*D270</f>
        <v>0</v>
      </c>
      <c r="E273" s="36">
        <f>IF(E272=0,0,E270*E272)</f>
        <v>0</v>
      </c>
      <c r="F273" s="36">
        <f>IF(F272=0,0,F270*F272)</f>
        <v>0</v>
      </c>
      <c r="G273" s="36">
        <f>IF(G272=0,0,G270*G272)</f>
        <v>0</v>
      </c>
      <c r="H273" s="36">
        <f>IF(H272=0,0,H270*H272)</f>
        <v>0</v>
      </c>
      <c r="I273" s="36">
        <f>IF(I272=0,0,I270*I272)</f>
        <v>0</v>
      </c>
      <c r="J273" s="36">
        <f t="shared" ref="J273:M273" si="575">IF(J272=0,0,J270*J272)</f>
        <v>0</v>
      </c>
      <c r="K273" s="36">
        <f t="shared" si="575"/>
        <v>0</v>
      </c>
      <c r="L273" s="36">
        <f t="shared" si="575"/>
        <v>0</v>
      </c>
      <c r="M273" s="36">
        <f t="shared" si="575"/>
        <v>0</v>
      </c>
      <c r="N273" s="36">
        <f t="shared" ref="N273:AH273" si="576">IF(N272=0,0,N270*N272)</f>
        <v>0</v>
      </c>
      <c r="O273" s="36">
        <f t="shared" si="576"/>
        <v>0</v>
      </c>
      <c r="P273" s="36">
        <f t="shared" si="576"/>
        <v>0</v>
      </c>
      <c r="Q273" s="36">
        <f t="shared" si="576"/>
        <v>0</v>
      </c>
      <c r="R273" s="36">
        <f t="shared" si="576"/>
        <v>0</v>
      </c>
      <c r="S273" s="36">
        <f t="shared" si="576"/>
        <v>0</v>
      </c>
      <c r="T273" s="36">
        <f t="shared" si="576"/>
        <v>0</v>
      </c>
      <c r="U273" s="36">
        <f t="shared" si="576"/>
        <v>0</v>
      </c>
      <c r="V273" s="36">
        <f t="shared" si="576"/>
        <v>0</v>
      </c>
      <c r="W273" s="36">
        <f t="shared" si="576"/>
        <v>0</v>
      </c>
      <c r="X273" s="36">
        <f t="shared" si="576"/>
        <v>0</v>
      </c>
      <c r="Y273" s="36">
        <f t="shared" si="576"/>
        <v>0</v>
      </c>
      <c r="Z273" s="36">
        <f t="shared" si="576"/>
        <v>0</v>
      </c>
      <c r="AA273" s="36">
        <f t="shared" si="576"/>
        <v>0</v>
      </c>
      <c r="AB273" s="36">
        <f t="shared" si="576"/>
        <v>0</v>
      </c>
      <c r="AC273" s="36">
        <f t="shared" si="576"/>
        <v>0</v>
      </c>
      <c r="AD273" s="36">
        <f t="shared" si="576"/>
        <v>0</v>
      </c>
      <c r="AE273" s="36">
        <f t="shared" si="576"/>
        <v>0</v>
      </c>
      <c r="AF273" s="36">
        <f t="shared" si="576"/>
        <v>0</v>
      </c>
      <c r="AG273" s="36">
        <f t="shared" si="576"/>
        <v>0</v>
      </c>
      <c r="AH273" s="36">
        <f t="shared" si="576"/>
        <v>0</v>
      </c>
      <c r="BH273" s="2" t="s">
        <v>577</v>
      </c>
      <c r="BI273" s="2">
        <v>1600</v>
      </c>
      <c r="BJ273" s="2">
        <v>300</v>
      </c>
      <c r="BN273" s="2">
        <v>636</v>
      </c>
    </row>
    <row r="274" spans="2:66">
      <c r="B274" s="34"/>
      <c r="C274" s="35"/>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BH274" s="2" t="s">
        <v>577</v>
      </c>
      <c r="BI274" s="2">
        <v>1800</v>
      </c>
      <c r="BJ274" s="2">
        <v>300</v>
      </c>
      <c r="BN274" s="2">
        <v>715</v>
      </c>
    </row>
    <row r="275" spans="2:66">
      <c r="B275" s="31" t="s">
        <v>550</v>
      </c>
      <c r="C275" s="32"/>
      <c r="D275" s="36"/>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BH275" s="2" t="s">
        <v>577</v>
      </c>
      <c r="BI275" s="2">
        <v>2000</v>
      </c>
      <c r="BJ275" s="2">
        <v>300</v>
      </c>
      <c r="BN275" s="2">
        <v>795</v>
      </c>
    </row>
    <row r="276" spans="2:66">
      <c r="B276" s="31" t="s">
        <v>551</v>
      </c>
      <c r="C276" s="32"/>
      <c r="D276" s="36">
        <f>D277*D272</f>
        <v>0</v>
      </c>
      <c r="E276" s="36">
        <f>IF(D276=0,E277*E272,E279-E273)</f>
        <v>0</v>
      </c>
      <c r="F276" s="36">
        <f>IF(E276=0,F277*F272,F279-F273)</f>
        <v>0</v>
      </c>
      <c r="G276" s="36">
        <f>IF(F276=0,G277*G272,G279-G273)</f>
        <v>0</v>
      </c>
      <c r="H276" s="36">
        <f>IF(G276=0,H277*H272,H279-H273)</f>
        <v>0</v>
      </c>
      <c r="I276" s="36">
        <f t="shared" ref="I276" si="577">IF(H276=0,I277*I272,I279-I273)</f>
        <v>0</v>
      </c>
      <c r="J276" s="36">
        <f>IF(I276=0,J277*J272,J279-J273)</f>
        <v>0</v>
      </c>
      <c r="K276" s="36">
        <f t="shared" ref="K276" si="578">IF(J276=0,K277*K272,K279-K273)</f>
        <v>0</v>
      </c>
      <c r="L276" s="36">
        <f t="shared" ref="L276" si="579">IF(K276=0,L277*L272,L279-L273)</f>
        <v>0</v>
      </c>
      <c r="M276" s="36">
        <f t="shared" ref="M276" si="580">IF(L276=0,M277*M272,M279-M273)</f>
        <v>0</v>
      </c>
      <c r="N276" s="36">
        <f t="shared" ref="N276" si="581">IF(M276=0,N277*N272,N279-N273)</f>
        <v>0</v>
      </c>
      <c r="O276" s="36">
        <f t="shared" ref="O276" si="582">IF(N276=0,O277*O272,O279-O273)</f>
        <v>0</v>
      </c>
      <c r="P276" s="36">
        <f t="shared" ref="P276" si="583">IF(O276=0,P277*P272,P279-P273)</f>
        <v>0</v>
      </c>
      <c r="Q276" s="36">
        <f t="shared" ref="Q276" si="584">IF(P276=0,Q277*Q272,Q279-Q273)</f>
        <v>0</v>
      </c>
      <c r="R276" s="36">
        <f t="shared" ref="R276" si="585">IF(Q276=0,R277*R272,R279-R273)</f>
        <v>0</v>
      </c>
      <c r="S276" s="36">
        <f t="shared" ref="S276" si="586">IF(R276=0,S277*S272,S279-S273)</f>
        <v>0</v>
      </c>
      <c r="T276" s="36">
        <f t="shared" ref="T276" si="587">IF(S276=0,T277*T272,T279-T273)</f>
        <v>0</v>
      </c>
      <c r="U276" s="36">
        <f t="shared" ref="U276" si="588">IF(T276=0,U277*U272,U279-U273)</f>
        <v>0</v>
      </c>
      <c r="V276" s="36">
        <f t="shared" ref="V276" si="589">IF(U276=0,V277*V272,V279-V273)</f>
        <v>0</v>
      </c>
      <c r="W276" s="36">
        <f t="shared" ref="W276" si="590">IF(V276=0,W277*W272,W279-W273)</f>
        <v>0</v>
      </c>
      <c r="X276" s="36">
        <f t="shared" ref="X276" si="591">IF(W276=0,X277*X272,X279-X273)</f>
        <v>0</v>
      </c>
      <c r="Y276" s="36">
        <f t="shared" ref="Y276" si="592">IF(X276=0,Y277*Y272,Y279-Y273)</f>
        <v>0</v>
      </c>
      <c r="Z276" s="36">
        <f t="shared" ref="Z276" si="593">IF(Y276=0,Z277*Z272,Z279-Z273)</f>
        <v>0</v>
      </c>
      <c r="AA276" s="36">
        <f t="shared" ref="AA276" si="594">IF(Z276=0,AA277*AA272,AA279-AA273)</f>
        <v>0</v>
      </c>
      <c r="AB276" s="36">
        <f t="shared" ref="AB276" si="595">IF(AA276=0,AB277*AB272,AB279-AB273)</f>
        <v>0</v>
      </c>
      <c r="AC276" s="36">
        <f t="shared" ref="AC276" si="596">IF(AB276=0,AC277*AC272,AC279-AC273)</f>
        <v>0</v>
      </c>
      <c r="AD276" s="36">
        <f t="shared" ref="AD276" si="597">IF(AC276=0,AD277*AD272,AD279-AD273)</f>
        <v>0</v>
      </c>
      <c r="AE276" s="36">
        <f t="shared" ref="AE276" si="598">IF(AD276=0,AE277*AE272,AE279-AE273)</f>
        <v>0</v>
      </c>
      <c r="AF276" s="36">
        <f t="shared" ref="AF276" si="599">IF(AE276=0,AF277*AF272,AF279-AF273)</f>
        <v>0</v>
      </c>
      <c r="AG276" s="36">
        <f t="shared" ref="AG276" si="600">IF(AF276=0,AG277*AG272,AG279-AG273)</f>
        <v>0</v>
      </c>
      <c r="AH276" s="36">
        <f t="shared" ref="AH276" si="601">IF(AG276=0,AH277*AH272,AH279-AH273)</f>
        <v>0</v>
      </c>
      <c r="BH276" s="2" t="s">
        <v>577</v>
      </c>
      <c r="BI276" s="2">
        <v>2200</v>
      </c>
      <c r="BJ276" s="2">
        <v>300</v>
      </c>
      <c r="BN276" s="2">
        <v>874</v>
      </c>
    </row>
    <row r="277" spans="2:66">
      <c r="B277" s="38" t="s">
        <v>554</v>
      </c>
      <c r="C277" s="39"/>
      <c r="D277" s="33">
        <f>IF(Allgemein!$M$82&gt;=D268,0,Allgemein!$M$83)</f>
        <v>0</v>
      </c>
      <c r="E277" s="33">
        <f>IF(Allgemein!$M$82&gt;=E268,0,IF(D276=0,Allgemein!$M$83,IF(E272=0,0,E276/E272)))</f>
        <v>0</v>
      </c>
      <c r="F277" s="33">
        <f>IF(Allgemein!$M$82&gt;=F268,0,IF(E276=0,Allgemein!$M$83,IF(F272=0,0,F276/F272)))</f>
        <v>0</v>
      </c>
      <c r="G277" s="33">
        <f>IF(Allgemein!$M$82&gt;=G268,0,IF(F276=0,Allgemein!$M$83,IF(G272=0,0,G276/G272)))</f>
        <v>0</v>
      </c>
      <c r="H277" s="33">
        <f>IF(Allgemein!$M$82&gt;=H268,0,IF(G276=0,Allgemein!$M$83,IF(H272=0,0,H276/H272)))</f>
        <v>0</v>
      </c>
      <c r="I277" s="33">
        <f>IF(Allgemein!$M$82&gt;=I268,0,IF(H276=0,Allgemein!$M$83,IF(I272=0,0,I276/I272)))</f>
        <v>0</v>
      </c>
      <c r="J277" s="33">
        <f>IF(Allgemein!$M$82&gt;=J268,0,IF(I276=0,Allgemein!$M$83,IF(J272=0,0,J276/J272)))</f>
        <v>0</v>
      </c>
      <c r="K277" s="33">
        <f>IF(Allgemein!$M$82&gt;=K268,0,IF(J276=0,Allgemein!$M$83,IF(K272=0,0,K276/K272)))</f>
        <v>0</v>
      </c>
      <c r="L277" s="33">
        <f>IF(Allgemein!$M$82&gt;=L268,0,IF(K276=0,Allgemein!$M$83,IF(L272=0,0,L276/L272)))</f>
        <v>0</v>
      </c>
      <c r="M277" s="33">
        <f>IF(Allgemein!$M$82&gt;=M268,0,IF(L276=0,Allgemein!$M$83,IF(M272=0,0,M276/M272)))</f>
        <v>0</v>
      </c>
      <c r="N277" s="33">
        <f>IF(Allgemein!$M$82&gt;=N268,0,IF(M276=0,Allgemein!$M$83,IF(N272=0,0,N276/N272)))</f>
        <v>0</v>
      </c>
      <c r="O277" s="33">
        <f>IF(Allgemein!$M$82&gt;=O268,0,IF(N276=0,Allgemein!$M$83,IF(O272=0,0,O276/O272)))</f>
        <v>0</v>
      </c>
      <c r="P277" s="33">
        <f>IF(Allgemein!$M$82&gt;=P268,0,IF(O276=0,Allgemein!$M$83,IF(P272=0,0,P276/P272)))</f>
        <v>0</v>
      </c>
      <c r="Q277" s="33">
        <f>IF(Allgemein!$M$82&gt;=Q268,0,IF(P276=0,Allgemein!$M$83,IF(Q272=0,0,Q276/Q272)))</f>
        <v>0</v>
      </c>
      <c r="R277" s="33">
        <f>IF(Allgemein!$M$82&gt;=R268,0,IF(Q276=0,Allgemein!$M$83,IF(R272=0,0,R276/R272)))</f>
        <v>0</v>
      </c>
      <c r="S277" s="33">
        <f>IF(Allgemein!$M$82&gt;=S268,0,IF(R276=0,Allgemein!$M$83,IF(S272=0,0,S276/S272)))</f>
        <v>0</v>
      </c>
      <c r="T277" s="33">
        <f>IF(Allgemein!$M$82&gt;=T268,0,IF(S276=0,Allgemein!$M$83,IF(T272=0,0,T276/T272)))</f>
        <v>0</v>
      </c>
      <c r="U277" s="33">
        <f>IF(Allgemein!$M$82&gt;=U268,0,IF(T276=0,Allgemein!$M$83,IF(U272=0,0,U276/U272)))</f>
        <v>0</v>
      </c>
      <c r="V277" s="33">
        <f>IF(Allgemein!$M$82&gt;=V268,0,IF(U276=0,Allgemein!$M$83,IF(V272=0,0,V276/V272)))</f>
        <v>0</v>
      </c>
      <c r="W277" s="33">
        <f>IF(Allgemein!$M$82&gt;=W268,0,IF(V276=0,Allgemein!$M$83,IF(W272=0,0,W276/W272)))</f>
        <v>0</v>
      </c>
      <c r="X277" s="33">
        <f>IF(Allgemein!$M$82&gt;=X268,0,IF(W276=0,Allgemein!$M$83,IF(X272=0,0,X276/X272)))</f>
        <v>0</v>
      </c>
      <c r="Y277" s="33">
        <f>IF(Allgemein!$M$82&gt;=Y268,0,IF(X276=0,Allgemein!$M$83,IF(Y272=0,0,Y276/Y272)))</f>
        <v>0</v>
      </c>
      <c r="Z277" s="33">
        <f>IF(Allgemein!$M$82&gt;=Z268,0,IF(Y276=0,Allgemein!$M$83,IF(Z272=0,0,Z276/Z272)))</f>
        <v>0</v>
      </c>
      <c r="AA277" s="33">
        <f>IF(Allgemein!$M$82&gt;=AA268,0,IF(Z276=0,Allgemein!$M$83,IF(AA272=0,0,AA276/AA272)))</f>
        <v>0</v>
      </c>
      <c r="AB277" s="33">
        <f>IF(Allgemein!$M$82&gt;=AB268,0,IF(AA276=0,Allgemein!$M$83,IF(AB272=0,0,AB276/AB272)))</f>
        <v>0</v>
      </c>
      <c r="AC277" s="33">
        <f>IF(Allgemein!$M$82&gt;=AC268,0,IF(AB276=0,Allgemein!$M$83,IF(AC272=0,0,AC276/AC272)))</f>
        <v>0</v>
      </c>
      <c r="AD277" s="33">
        <f>IF(Allgemein!$M$82&gt;=AD268,0,IF(AC276=0,Allgemein!$M$83,IF(AD272=0,0,AD276/AD272)))</f>
        <v>0</v>
      </c>
      <c r="AE277" s="33">
        <f>IF(Allgemein!$M$82&gt;=AE268,0,IF(AD276=0,Allgemein!$M$83,IF(AE272=0,0,AE276/AE272)))</f>
        <v>0</v>
      </c>
      <c r="AF277" s="33">
        <f>IF(Allgemein!$M$82&gt;=AF268,0,IF(AE276=0,Allgemein!$M$83,IF(AF272=0,0,AF276/AF272)))</f>
        <v>0</v>
      </c>
      <c r="AG277" s="33">
        <f>IF(Allgemein!$M$82&gt;=AG268,0,IF(AF276=0,Allgemein!$M$83,IF(AG272=0,0,AG276/AG272)))</f>
        <v>0</v>
      </c>
      <c r="AH277" s="33">
        <f>IF(Allgemein!$M$82&gt;=AH268,0,IF(AG276=0,Allgemein!$M$83,IF(AH272=0,0,AH276/AH272)))</f>
        <v>0</v>
      </c>
      <c r="BH277" s="2" t="s">
        <v>577</v>
      </c>
      <c r="BI277" s="2">
        <v>2300</v>
      </c>
      <c r="BJ277" s="2">
        <v>300</v>
      </c>
      <c r="BN277" s="2">
        <v>921</v>
      </c>
    </row>
    <row r="278" spans="2:66">
      <c r="B278" s="34"/>
      <c r="C278" s="35"/>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BH278" s="2" t="s">
        <v>577</v>
      </c>
      <c r="BI278" s="2">
        <v>2600</v>
      </c>
      <c r="BJ278" s="2">
        <v>300</v>
      </c>
      <c r="BN278" s="2">
        <v>1041</v>
      </c>
    </row>
    <row r="279" spans="2:66">
      <c r="B279" s="31" t="s">
        <v>555</v>
      </c>
      <c r="C279" s="32"/>
      <c r="D279" s="36">
        <f>D276+D273</f>
        <v>0</v>
      </c>
      <c r="E279" s="36">
        <f>IF(D276=0,E273+E276,IF(E272=0,0,IF(E272&lt;D279,E272+E273,IF(E275=0,D279,E275+E273))))</f>
        <v>0</v>
      </c>
      <c r="F279" s="36">
        <f>IF(E276=0,F273+F276,IF(F272=0,0,IF(F272&lt;E279,F272+F273,IF(F275=0,E279,F275+F273))))</f>
        <v>0</v>
      </c>
      <c r="G279" s="36">
        <f>IF(F276=0,G273+G276,IF(G272=0,0,IF(G272&lt;F279,G272+G273,IF(G275=0,F279,G275+G273))))</f>
        <v>0</v>
      </c>
      <c r="H279" s="36">
        <f>IF(G276=0,H273+H276,IF(H272=0,0,IF(H272&lt;G279,H272+H273,IF(H275=0,G279,H275+H273))))</f>
        <v>0</v>
      </c>
      <c r="I279" s="36">
        <f t="shared" ref="I279" si="602">IF(H276=0,I273+I276,IF(I272=0,0,IF(I272&lt;H279,I272+I273,IF(I275=0,H279,I275+I273))))</f>
        <v>0</v>
      </c>
      <c r="J279" s="36">
        <f>IF(I276=0,J273+J276,IF(J272=0,0,IF(J272&lt;I279,J272+J273,IF(J275=0,I279,J275+J273))))</f>
        <v>0</v>
      </c>
      <c r="K279" s="36">
        <f t="shared" ref="K279" si="603">IF(J276=0,K273+K276,IF(K272=0,0,IF(K272&lt;J279,K272+K273,IF(K275=0,J279,K275+K273))))</f>
        <v>0</v>
      </c>
      <c r="L279" s="36">
        <f t="shared" ref="L279" si="604">IF(K276=0,L273+L276,IF(L272=0,0,IF(L272&lt;K279,L272+L273,IF(L275=0,K279,L275+L273))))</f>
        <v>0</v>
      </c>
      <c r="M279" s="36">
        <f t="shared" ref="M279" si="605">IF(L276=0,M273+M276,IF(M272=0,0,IF(M272&lt;L279,M272+M273,IF(M275=0,L279,M275+M273))))</f>
        <v>0</v>
      </c>
      <c r="N279" s="36">
        <f t="shared" ref="N279" si="606">IF(M276=0,N273+N276,IF(N272=0,0,IF(N272&lt;M279,N272+N273,IF(N275=0,M279,N275+N273))))</f>
        <v>0</v>
      </c>
      <c r="O279" s="36">
        <f t="shared" ref="O279" si="607">IF(N276=0,O273+O276,IF(O272=0,0,IF(O272&lt;N279,O272+O273,IF(O275=0,N279,O275+O273))))</f>
        <v>0</v>
      </c>
      <c r="P279" s="36">
        <f t="shared" ref="P279" si="608">IF(O276=0,P273+P276,IF(P272=0,0,IF(P272&lt;O279,P272+P273,IF(P275=0,O279,P275+P273))))</f>
        <v>0</v>
      </c>
      <c r="Q279" s="36">
        <f t="shared" ref="Q279" si="609">IF(P276=0,Q273+Q276,IF(Q272=0,0,IF(Q272&lt;P279,Q272+Q273,IF(Q275=0,P279,Q275+Q273))))</f>
        <v>0</v>
      </c>
      <c r="R279" s="36">
        <f t="shared" ref="R279" si="610">IF(Q276=0,R273+R276,IF(R272=0,0,IF(R272&lt;Q279,R272+R273,IF(R275=0,Q279,R275+R273))))</f>
        <v>0</v>
      </c>
      <c r="S279" s="36">
        <f t="shared" ref="S279" si="611">IF(R276=0,S273+S276,IF(S272=0,0,IF(S272&lt;R279,S272+S273,IF(S275=0,R279,S275+S273))))</f>
        <v>0</v>
      </c>
      <c r="T279" s="36">
        <f t="shared" ref="T279" si="612">IF(S276=0,T273+T276,IF(T272=0,0,IF(T272&lt;S279,T272+T273,IF(T275=0,S279,T275+T273))))</f>
        <v>0</v>
      </c>
      <c r="U279" s="36">
        <f t="shared" ref="U279" si="613">IF(T276=0,U273+U276,IF(U272=0,0,IF(U272&lt;T279,U272+U273,IF(U275=0,T279,U275+U273))))</f>
        <v>0</v>
      </c>
      <c r="V279" s="36">
        <f t="shared" ref="V279" si="614">IF(U276=0,V273+V276,IF(V272=0,0,IF(V272&lt;U279,V272+V273,IF(V275=0,U279,V275+V273))))</f>
        <v>0</v>
      </c>
      <c r="W279" s="36">
        <f t="shared" ref="W279" si="615">IF(V276=0,W273+W276,IF(W272=0,0,IF(W272&lt;V279,W272+W273,IF(W275=0,V279,W275+W273))))</f>
        <v>0</v>
      </c>
      <c r="X279" s="36">
        <f t="shared" ref="X279" si="616">IF(W276=0,X273+X276,IF(X272=0,0,IF(X272&lt;W279,X272+X273,IF(X275=0,W279,X275+X273))))</f>
        <v>0</v>
      </c>
      <c r="Y279" s="36">
        <f t="shared" ref="Y279" si="617">IF(X276=0,Y273+Y276,IF(Y272=0,0,IF(Y272&lt;X279,Y272+Y273,IF(Y275=0,X279,Y275+Y273))))</f>
        <v>0</v>
      </c>
      <c r="Z279" s="36">
        <f t="shared" ref="Z279" si="618">IF(Y276=0,Z273+Z276,IF(Z272=0,0,IF(Z272&lt;Y279,Z272+Z273,IF(Z275=0,Y279,Z275+Z273))))</f>
        <v>0</v>
      </c>
      <c r="AA279" s="36">
        <f t="shared" ref="AA279" si="619">IF(Z276=0,AA273+AA276,IF(AA272=0,0,IF(AA272&lt;Z279,AA272+AA273,IF(AA275=0,Z279,AA275+AA273))))</f>
        <v>0</v>
      </c>
      <c r="AB279" s="36">
        <f t="shared" ref="AB279" si="620">IF(AA276=0,AB273+AB276,IF(AB272=0,0,IF(AB272&lt;AA279,AB272+AB273,IF(AB275=0,AA279,AB275+AB273))))</f>
        <v>0</v>
      </c>
      <c r="AC279" s="36">
        <f t="shared" ref="AC279" si="621">IF(AB276=0,AC273+AC276,IF(AC272=0,0,IF(AC272&lt;AB279,AC272+AC273,IF(AC275=0,AB279,AC275+AC273))))</f>
        <v>0</v>
      </c>
      <c r="AD279" s="36">
        <f t="shared" ref="AD279" si="622">IF(AC276=0,AD273+AD276,IF(AD272=0,0,IF(AD272&lt;AC279,AD272+AD273,IF(AD275=0,AC279,AD275+AD273))))</f>
        <v>0</v>
      </c>
      <c r="AE279" s="36">
        <f t="shared" ref="AE279" si="623">IF(AD276=0,AE273+AE276,IF(AE272=0,0,IF(AE272&lt;AD279,AE272+AE273,IF(AE275=0,AD279,AE275+AE273))))</f>
        <v>0</v>
      </c>
      <c r="AF279" s="36">
        <f t="shared" ref="AF279" si="624">IF(AE276=0,AF273+AF276,IF(AF272=0,0,IF(AF272&lt;AE279,AF272+AF273,IF(AF275=0,AE279,AF275+AF273))))</f>
        <v>0</v>
      </c>
      <c r="AG279" s="36">
        <f t="shared" ref="AG279" si="625">IF(AF276=0,AG273+AG276,IF(AG272=0,0,IF(AG272&lt;AF279,AG272+AG273,IF(AG275=0,AF279,AG275+AG273))))</f>
        <v>0</v>
      </c>
      <c r="AH279" s="36">
        <f t="shared" ref="AH279" si="626">IF(AG276=0,AH273+AH276,IF(AH272=0,0,IF(AH272&lt;AG279,AH272+AH273,IF(AH275=0,AG279,AH275+AH273))))</f>
        <v>0</v>
      </c>
      <c r="BH279" s="2" t="s">
        <v>577</v>
      </c>
      <c r="BI279" s="2">
        <v>3000</v>
      </c>
      <c r="BJ279" s="2">
        <v>300</v>
      </c>
      <c r="BN279" s="2">
        <v>1202</v>
      </c>
    </row>
    <row r="280" spans="2:66">
      <c r="B280" s="31" t="s">
        <v>556</v>
      </c>
      <c r="C280" s="32"/>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BH280" s="2" t="s">
        <v>577</v>
      </c>
      <c r="BI280" s="2">
        <v>400</v>
      </c>
      <c r="BJ280" s="2">
        <v>400</v>
      </c>
      <c r="BN280" s="2">
        <v>201</v>
      </c>
    </row>
    <row r="281" spans="2:66">
      <c r="B281" s="31" t="s">
        <v>557</v>
      </c>
      <c r="C281" s="32"/>
      <c r="D281" s="36">
        <f>D272-D276</f>
        <v>0</v>
      </c>
      <c r="E281" s="36">
        <f t="shared" ref="E281:AH281" si="627">E272-E276</f>
        <v>0</v>
      </c>
      <c r="F281" s="36">
        <f t="shared" si="627"/>
        <v>0</v>
      </c>
      <c r="G281" s="36">
        <f t="shared" si="627"/>
        <v>0</v>
      </c>
      <c r="H281" s="36">
        <f t="shared" si="627"/>
        <v>0</v>
      </c>
      <c r="I281" s="36">
        <f t="shared" si="627"/>
        <v>0</v>
      </c>
      <c r="J281" s="36">
        <f t="shared" si="627"/>
        <v>0</v>
      </c>
      <c r="K281" s="36">
        <f t="shared" si="627"/>
        <v>0</v>
      </c>
      <c r="L281" s="36">
        <f t="shared" si="627"/>
        <v>0</v>
      </c>
      <c r="M281" s="36">
        <f t="shared" si="627"/>
        <v>0</v>
      </c>
      <c r="N281" s="36">
        <f t="shared" si="627"/>
        <v>0</v>
      </c>
      <c r="O281" s="36">
        <f t="shared" si="627"/>
        <v>0</v>
      </c>
      <c r="P281" s="36">
        <f t="shared" si="627"/>
        <v>0</v>
      </c>
      <c r="Q281" s="36">
        <f t="shared" si="627"/>
        <v>0</v>
      </c>
      <c r="R281" s="36">
        <f t="shared" si="627"/>
        <v>0</v>
      </c>
      <c r="S281" s="36">
        <f t="shared" si="627"/>
        <v>0</v>
      </c>
      <c r="T281" s="36">
        <f t="shared" si="627"/>
        <v>0</v>
      </c>
      <c r="U281" s="36">
        <f t="shared" si="627"/>
        <v>0</v>
      </c>
      <c r="V281" s="36">
        <f t="shared" si="627"/>
        <v>0</v>
      </c>
      <c r="W281" s="36">
        <f t="shared" si="627"/>
        <v>0</v>
      </c>
      <c r="X281" s="36">
        <f t="shared" si="627"/>
        <v>0</v>
      </c>
      <c r="Y281" s="36">
        <f t="shared" si="627"/>
        <v>0</v>
      </c>
      <c r="Z281" s="36">
        <f t="shared" si="627"/>
        <v>0</v>
      </c>
      <c r="AA281" s="36">
        <f t="shared" si="627"/>
        <v>0</v>
      </c>
      <c r="AB281" s="36">
        <f t="shared" si="627"/>
        <v>0</v>
      </c>
      <c r="AC281" s="36">
        <f t="shared" si="627"/>
        <v>0</v>
      </c>
      <c r="AD281" s="36">
        <f t="shared" si="627"/>
        <v>0</v>
      </c>
      <c r="AE281" s="36">
        <f t="shared" si="627"/>
        <v>0</v>
      </c>
      <c r="AF281" s="36">
        <f t="shared" si="627"/>
        <v>0</v>
      </c>
      <c r="AG281" s="36">
        <f t="shared" si="627"/>
        <v>0</v>
      </c>
      <c r="AH281" s="36">
        <f t="shared" si="627"/>
        <v>0</v>
      </c>
      <c r="BH281" s="2" t="s">
        <v>577</v>
      </c>
      <c r="BI281" s="2">
        <v>500</v>
      </c>
      <c r="BJ281" s="2">
        <v>400</v>
      </c>
      <c r="BN281" s="2">
        <v>251</v>
      </c>
    </row>
    <row r="282" spans="2:66" ht="17.399999999999999" thickBot="1">
      <c r="B282" s="40" t="s">
        <v>558</v>
      </c>
      <c r="C282" s="41"/>
      <c r="D282" s="42">
        <f>D279/12</f>
        <v>0</v>
      </c>
      <c r="E282" s="42">
        <f t="shared" ref="E282:AH282" si="628">E279/12</f>
        <v>0</v>
      </c>
      <c r="F282" s="42">
        <f t="shared" si="628"/>
        <v>0</v>
      </c>
      <c r="G282" s="42">
        <f t="shared" si="628"/>
        <v>0</v>
      </c>
      <c r="H282" s="42">
        <f t="shared" si="628"/>
        <v>0</v>
      </c>
      <c r="I282" s="42">
        <f t="shared" si="628"/>
        <v>0</v>
      </c>
      <c r="J282" s="42">
        <f t="shared" si="628"/>
        <v>0</v>
      </c>
      <c r="K282" s="42">
        <f t="shared" si="628"/>
        <v>0</v>
      </c>
      <c r="L282" s="42">
        <f t="shared" si="628"/>
        <v>0</v>
      </c>
      <c r="M282" s="42">
        <f t="shared" si="628"/>
        <v>0</v>
      </c>
      <c r="N282" s="42">
        <f t="shared" si="628"/>
        <v>0</v>
      </c>
      <c r="O282" s="42">
        <f t="shared" si="628"/>
        <v>0</v>
      </c>
      <c r="P282" s="42">
        <f t="shared" si="628"/>
        <v>0</v>
      </c>
      <c r="Q282" s="42">
        <f t="shared" si="628"/>
        <v>0</v>
      </c>
      <c r="R282" s="42">
        <f t="shared" si="628"/>
        <v>0</v>
      </c>
      <c r="S282" s="42">
        <f t="shared" si="628"/>
        <v>0</v>
      </c>
      <c r="T282" s="42">
        <f t="shared" si="628"/>
        <v>0</v>
      </c>
      <c r="U282" s="42">
        <f t="shared" si="628"/>
        <v>0</v>
      </c>
      <c r="V282" s="42">
        <f t="shared" si="628"/>
        <v>0</v>
      </c>
      <c r="W282" s="42">
        <f t="shared" si="628"/>
        <v>0</v>
      </c>
      <c r="X282" s="42">
        <f t="shared" si="628"/>
        <v>0</v>
      </c>
      <c r="Y282" s="42">
        <f t="shared" si="628"/>
        <v>0</v>
      </c>
      <c r="Z282" s="42">
        <f t="shared" si="628"/>
        <v>0</v>
      </c>
      <c r="AA282" s="42">
        <f t="shared" si="628"/>
        <v>0</v>
      </c>
      <c r="AB282" s="42">
        <f t="shared" si="628"/>
        <v>0</v>
      </c>
      <c r="AC282" s="42">
        <f t="shared" si="628"/>
        <v>0</v>
      </c>
      <c r="AD282" s="42">
        <f t="shared" si="628"/>
        <v>0</v>
      </c>
      <c r="AE282" s="42">
        <f t="shared" si="628"/>
        <v>0</v>
      </c>
      <c r="AF282" s="42">
        <f t="shared" si="628"/>
        <v>0</v>
      </c>
      <c r="AG282" s="42">
        <f t="shared" si="628"/>
        <v>0</v>
      </c>
      <c r="AH282" s="42">
        <f t="shared" si="628"/>
        <v>0</v>
      </c>
      <c r="BH282" s="2" t="s">
        <v>577</v>
      </c>
      <c r="BI282" s="2">
        <v>600</v>
      </c>
      <c r="BJ282" s="2">
        <v>400</v>
      </c>
      <c r="BN282" s="2">
        <v>301</v>
      </c>
    </row>
    <row r="283" spans="2:66" ht="17.399999999999999" thickBot="1">
      <c r="B283" s="30"/>
      <c r="C283" s="30"/>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BH283" s="2" t="s">
        <v>577</v>
      </c>
      <c r="BI283" s="2">
        <v>700</v>
      </c>
      <c r="BJ283" s="2">
        <v>400</v>
      </c>
      <c r="BN283" s="2">
        <v>351</v>
      </c>
    </row>
    <row r="284" spans="2:66" ht="19.2" thickBot="1">
      <c r="B284" s="61" t="str">
        <f>Allgemein!N75</f>
        <v>Zusatz Darlehen</v>
      </c>
      <c r="C284" s="29"/>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BH284" s="2" t="s">
        <v>577</v>
      </c>
      <c r="BI284" s="2">
        <v>800</v>
      </c>
      <c r="BJ284" s="2">
        <v>400</v>
      </c>
      <c r="BN284" s="2">
        <v>401</v>
      </c>
    </row>
    <row r="285" spans="2:66" ht="17.399999999999999" thickBot="1">
      <c r="B285" s="56" t="s">
        <v>339</v>
      </c>
      <c r="C285" s="57"/>
      <c r="D285" s="58">
        <v>1</v>
      </c>
      <c r="E285" s="59">
        <v>2</v>
      </c>
      <c r="F285" s="59">
        <v>3</v>
      </c>
      <c r="G285" s="58">
        <v>4</v>
      </c>
      <c r="H285" s="58">
        <v>5</v>
      </c>
      <c r="I285" s="59">
        <v>6</v>
      </c>
      <c r="J285" s="59">
        <v>7</v>
      </c>
      <c r="K285" s="58">
        <v>8</v>
      </c>
      <c r="L285" s="58">
        <v>9</v>
      </c>
      <c r="M285" s="59">
        <v>10</v>
      </c>
      <c r="N285" s="59">
        <v>11</v>
      </c>
      <c r="O285" s="58">
        <v>12</v>
      </c>
      <c r="P285" s="58">
        <v>13</v>
      </c>
      <c r="Q285" s="59">
        <v>14</v>
      </c>
      <c r="R285" s="59">
        <v>15</v>
      </c>
      <c r="S285" s="58">
        <v>16</v>
      </c>
      <c r="T285" s="58">
        <v>17</v>
      </c>
      <c r="U285" s="59">
        <v>18</v>
      </c>
      <c r="V285" s="59">
        <v>19</v>
      </c>
      <c r="W285" s="58">
        <v>20</v>
      </c>
      <c r="X285" s="58">
        <v>21</v>
      </c>
      <c r="Y285" s="59">
        <v>22</v>
      </c>
      <c r="Z285" s="59">
        <v>23</v>
      </c>
      <c r="AA285" s="58">
        <v>24</v>
      </c>
      <c r="AB285" s="58">
        <v>25</v>
      </c>
      <c r="AC285" s="59">
        <v>26</v>
      </c>
      <c r="AD285" s="59">
        <v>27</v>
      </c>
      <c r="AE285" s="58">
        <v>28</v>
      </c>
      <c r="AF285" s="58">
        <v>29</v>
      </c>
      <c r="AG285" s="59">
        <v>30</v>
      </c>
      <c r="AH285" s="74">
        <v>31</v>
      </c>
      <c r="BH285" s="2" t="s">
        <v>577</v>
      </c>
      <c r="BI285" s="2">
        <v>900</v>
      </c>
      <c r="BJ285" s="2">
        <v>400</v>
      </c>
      <c r="BN285" s="2">
        <v>452</v>
      </c>
    </row>
    <row r="286" spans="2:66">
      <c r="B286" s="69" t="s">
        <v>545</v>
      </c>
      <c r="C286" s="70"/>
      <c r="D286" s="71"/>
      <c r="E286" s="72"/>
      <c r="F286" s="73"/>
      <c r="G286" s="73"/>
      <c r="H286" s="73"/>
      <c r="I286" s="73"/>
      <c r="J286" s="73"/>
      <c r="K286" s="73"/>
      <c r="L286" s="73"/>
      <c r="M286" s="73"/>
      <c r="N286" s="73"/>
      <c r="O286" s="73"/>
      <c r="P286" s="73"/>
      <c r="Q286" s="73"/>
      <c r="R286" s="73"/>
      <c r="S286" s="73"/>
      <c r="T286" s="73"/>
      <c r="U286" s="73"/>
      <c r="V286" s="73"/>
      <c r="W286" s="73"/>
      <c r="X286" s="73"/>
      <c r="Y286" s="73"/>
      <c r="Z286" s="73"/>
      <c r="AA286" s="73"/>
      <c r="AB286" s="73"/>
      <c r="AC286" s="73"/>
      <c r="AD286" s="73"/>
      <c r="AE286" s="73"/>
      <c r="AF286" s="73"/>
      <c r="AG286" s="73"/>
      <c r="AH286" s="73"/>
      <c r="BH286" s="2" t="s">
        <v>577</v>
      </c>
      <c r="BI286" s="2">
        <v>1000</v>
      </c>
      <c r="BJ286" s="2">
        <v>400</v>
      </c>
      <c r="BN286" s="2">
        <v>502</v>
      </c>
    </row>
    <row r="287" spans="2:66">
      <c r="B287" s="31" t="s">
        <v>546</v>
      </c>
      <c r="C287" s="32"/>
      <c r="D287" s="33">
        <f>Allgemein!$N$80</f>
        <v>0</v>
      </c>
      <c r="E287" s="33">
        <f t="shared" ref="E287:S287" si="629">IF(E286=0,D287,E286)</f>
        <v>0</v>
      </c>
      <c r="F287" s="33">
        <f t="shared" si="629"/>
        <v>0</v>
      </c>
      <c r="G287" s="33">
        <f t="shared" si="629"/>
        <v>0</v>
      </c>
      <c r="H287" s="33">
        <f t="shared" si="629"/>
        <v>0</v>
      </c>
      <c r="I287" s="33">
        <f t="shared" si="629"/>
        <v>0</v>
      </c>
      <c r="J287" s="33">
        <f t="shared" si="629"/>
        <v>0</v>
      </c>
      <c r="K287" s="33">
        <f t="shared" si="629"/>
        <v>0</v>
      </c>
      <c r="L287" s="33">
        <f t="shared" si="629"/>
        <v>0</v>
      </c>
      <c r="M287" s="33">
        <f t="shared" si="629"/>
        <v>0</v>
      </c>
      <c r="N287" s="33">
        <f t="shared" si="629"/>
        <v>0</v>
      </c>
      <c r="O287" s="33">
        <f t="shared" si="629"/>
        <v>0</v>
      </c>
      <c r="P287" s="33">
        <f t="shared" si="629"/>
        <v>0</v>
      </c>
      <c r="Q287" s="33">
        <f t="shared" si="629"/>
        <v>0</v>
      </c>
      <c r="R287" s="33">
        <f t="shared" si="629"/>
        <v>0</v>
      </c>
      <c r="S287" s="33">
        <f t="shared" si="629"/>
        <v>0</v>
      </c>
      <c r="T287" s="33">
        <f t="shared" ref="T287" si="630">IF(T286=0,S287,T286)</f>
        <v>0</v>
      </c>
      <c r="U287" s="33">
        <f t="shared" ref="U287" si="631">IF(U286=0,T287,U286)</f>
        <v>0</v>
      </c>
      <c r="V287" s="33">
        <f>IF(V286=0,U287,V286)</f>
        <v>0</v>
      </c>
      <c r="W287" s="33">
        <f t="shared" ref="W287" si="632">IF(W286=0,V287,W286)</f>
        <v>0</v>
      </c>
      <c r="X287" s="33">
        <f t="shared" ref="X287" si="633">IF(X286=0,W287,X286)</f>
        <v>0</v>
      </c>
      <c r="Y287" s="33">
        <f t="shared" ref="Y287" si="634">IF(Y286=0,X287,Y286)</f>
        <v>0</v>
      </c>
      <c r="Z287" s="33">
        <f t="shared" ref="Z287" si="635">IF(Z286=0,Y287,Z286)</f>
        <v>0</v>
      </c>
      <c r="AA287" s="33">
        <f t="shared" ref="AA287" si="636">IF(AA286=0,Z287,AA286)</f>
        <v>0</v>
      </c>
      <c r="AB287" s="33">
        <f t="shared" ref="AB287" si="637">IF(AB286=0,AA287,AB286)</f>
        <v>0</v>
      </c>
      <c r="AC287" s="33">
        <f t="shared" ref="AC287" si="638">IF(AC286=0,AB287,AC286)</f>
        <v>0</v>
      </c>
      <c r="AD287" s="33">
        <f t="shared" ref="AD287" si="639">IF(AD286=0,AC287,AD286)</f>
        <v>0</v>
      </c>
      <c r="AE287" s="33">
        <f t="shared" ref="AE287" si="640">IF(AE286=0,AD287,AE286)</f>
        <v>0</v>
      </c>
      <c r="AF287" s="33">
        <f t="shared" ref="AF287" si="641">IF(AF286=0,AE287,AF286)</f>
        <v>0</v>
      </c>
      <c r="AG287" s="33">
        <f t="shared" ref="AG287" si="642">IF(AG286=0,AF287,AG286)</f>
        <v>0</v>
      </c>
      <c r="AH287" s="33">
        <f t="shared" ref="AH287" si="643">IF(AH286=0,AG287,AH286)</f>
        <v>0</v>
      </c>
      <c r="BH287" s="2" t="s">
        <v>577</v>
      </c>
      <c r="BI287" s="2">
        <v>1100</v>
      </c>
      <c r="BJ287" s="2">
        <v>400</v>
      </c>
      <c r="BN287" s="2">
        <v>552</v>
      </c>
    </row>
    <row r="288" spans="2:66">
      <c r="B288" s="34"/>
      <c r="C288" s="35"/>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BH288" s="2" t="s">
        <v>577</v>
      </c>
      <c r="BI288" s="2">
        <v>1200</v>
      </c>
      <c r="BJ288" s="2">
        <v>400</v>
      </c>
      <c r="BN288" s="2">
        <v>602</v>
      </c>
    </row>
    <row r="289" spans="2:66">
      <c r="B289" s="31" t="s">
        <v>548</v>
      </c>
      <c r="C289" s="32"/>
      <c r="D289" s="36">
        <f>Allgemein!$N$78</f>
        <v>0</v>
      </c>
      <c r="E289" s="36">
        <f>IF(D298&lt;0,0,D298)</f>
        <v>0</v>
      </c>
      <c r="F289" s="36">
        <f t="shared" ref="F289:J289" si="644">IF(E298&lt;0,0,E298)</f>
        <v>0</v>
      </c>
      <c r="G289" s="36">
        <f t="shared" si="644"/>
        <v>0</v>
      </c>
      <c r="H289" s="36">
        <f t="shared" si="644"/>
        <v>0</v>
      </c>
      <c r="I289" s="36">
        <f t="shared" si="644"/>
        <v>0</v>
      </c>
      <c r="J289" s="36">
        <f t="shared" si="644"/>
        <v>0</v>
      </c>
      <c r="K289" s="36">
        <f t="shared" ref="K289" si="645">IF(J298&lt;0,0,J298)</f>
        <v>0</v>
      </c>
      <c r="L289" s="36">
        <f t="shared" ref="L289" si="646">IF(K298&lt;0,0,K298)</f>
        <v>0</v>
      </c>
      <c r="M289" s="36">
        <f t="shared" ref="M289" si="647">IF(L298&lt;0,0,L298)</f>
        <v>0</v>
      </c>
      <c r="N289" s="36">
        <f t="shared" ref="N289" si="648">IF(M298&lt;0,0,M298)</f>
        <v>0</v>
      </c>
      <c r="O289" s="36">
        <f t="shared" ref="O289" si="649">IF(N298&lt;0,0,N298)</f>
        <v>0</v>
      </c>
      <c r="P289" s="36">
        <f t="shared" ref="P289" si="650">IF(O298&lt;0,0,O298)</f>
        <v>0</v>
      </c>
      <c r="Q289" s="36">
        <f t="shared" ref="Q289" si="651">IF(P298&lt;0,0,P298)</f>
        <v>0</v>
      </c>
      <c r="R289" s="36">
        <f t="shared" ref="R289" si="652">IF(Q298&lt;0,0,Q298)</f>
        <v>0</v>
      </c>
      <c r="S289" s="36">
        <f t="shared" ref="S289" si="653">IF(R298&lt;0,0,R298)</f>
        <v>0</v>
      </c>
      <c r="T289" s="36">
        <f t="shared" ref="T289" si="654">IF(S298&lt;0,0,S298)</f>
        <v>0</v>
      </c>
      <c r="U289" s="36">
        <f t="shared" ref="U289" si="655">IF(T298&lt;0,0,T298)</f>
        <v>0</v>
      </c>
      <c r="V289" s="36">
        <f t="shared" ref="V289" si="656">IF(U298&lt;0,0,U298)</f>
        <v>0</v>
      </c>
      <c r="W289" s="36">
        <f t="shared" ref="W289" si="657">IF(V298&lt;0,0,V298)</f>
        <v>0</v>
      </c>
      <c r="X289" s="36">
        <f t="shared" ref="X289" si="658">IF(W298&lt;0,0,W298)</f>
        <v>0</v>
      </c>
      <c r="Y289" s="36">
        <f t="shared" ref="Y289" si="659">IF(X298&lt;0,0,X298)</f>
        <v>0</v>
      </c>
      <c r="Z289" s="36">
        <f t="shared" ref="Z289" si="660">IF(Y298&lt;0,0,Y298)</f>
        <v>0</v>
      </c>
      <c r="AA289" s="36">
        <f t="shared" ref="AA289" si="661">IF(Z298&lt;0,0,Z298)</f>
        <v>0</v>
      </c>
      <c r="AB289" s="36">
        <f t="shared" ref="AB289" si="662">IF(AA298&lt;0,0,AA298)</f>
        <v>0</v>
      </c>
      <c r="AC289" s="36">
        <f t="shared" ref="AC289" si="663">IF(AB298&lt;0,0,AB298)</f>
        <v>0</v>
      </c>
      <c r="AD289" s="36">
        <f>IF(AC298&lt;0,0,AC298)</f>
        <v>0</v>
      </c>
      <c r="AE289" s="36">
        <f t="shared" ref="AE289" si="664">IF(AD298&lt;0,0,AD298)</f>
        <v>0</v>
      </c>
      <c r="AF289" s="36">
        <f t="shared" ref="AF289" si="665">IF(AE298&lt;0,0,AE298)</f>
        <v>0</v>
      </c>
      <c r="AG289" s="36">
        <f t="shared" ref="AG289" si="666">IF(AF298&lt;0,0,AF298)</f>
        <v>0</v>
      </c>
      <c r="AH289" s="36">
        <f t="shared" ref="AH289" si="667">IF(AG298&lt;0,0,AG298)</f>
        <v>0</v>
      </c>
      <c r="BH289" s="2" t="s">
        <v>577</v>
      </c>
      <c r="BI289" s="2">
        <v>1400</v>
      </c>
      <c r="BJ289" s="2">
        <v>400</v>
      </c>
      <c r="BN289" s="2">
        <v>703</v>
      </c>
    </row>
    <row r="290" spans="2:66">
      <c r="B290" s="31" t="s">
        <v>549</v>
      </c>
      <c r="C290" s="32"/>
      <c r="D290" s="36">
        <f>D289*D287</f>
        <v>0</v>
      </c>
      <c r="E290" s="36">
        <f>IF(E289=0,0,E287*E289)</f>
        <v>0</v>
      </c>
      <c r="F290" s="36">
        <f t="shared" ref="F290:AH290" si="668">IF(F289=0,0,F287*F289)</f>
        <v>0</v>
      </c>
      <c r="G290" s="36">
        <f t="shared" si="668"/>
        <v>0</v>
      </c>
      <c r="H290" s="36">
        <f t="shared" si="668"/>
        <v>0</v>
      </c>
      <c r="I290" s="36">
        <f t="shared" si="668"/>
        <v>0</v>
      </c>
      <c r="J290" s="36">
        <f t="shared" si="668"/>
        <v>0</v>
      </c>
      <c r="K290" s="36">
        <f t="shared" si="668"/>
        <v>0</v>
      </c>
      <c r="L290" s="36">
        <f t="shared" si="668"/>
        <v>0</v>
      </c>
      <c r="M290" s="36">
        <f t="shared" si="668"/>
        <v>0</v>
      </c>
      <c r="N290" s="36">
        <f t="shared" si="668"/>
        <v>0</v>
      </c>
      <c r="O290" s="36">
        <f t="shared" si="668"/>
        <v>0</v>
      </c>
      <c r="P290" s="36">
        <f t="shared" si="668"/>
        <v>0</v>
      </c>
      <c r="Q290" s="36">
        <f t="shared" si="668"/>
        <v>0</v>
      </c>
      <c r="R290" s="36">
        <f t="shared" si="668"/>
        <v>0</v>
      </c>
      <c r="S290" s="36">
        <f t="shared" si="668"/>
        <v>0</v>
      </c>
      <c r="T290" s="36">
        <f t="shared" si="668"/>
        <v>0</v>
      </c>
      <c r="U290" s="36">
        <f t="shared" si="668"/>
        <v>0</v>
      </c>
      <c r="V290" s="36">
        <f t="shared" si="668"/>
        <v>0</v>
      </c>
      <c r="W290" s="36">
        <f t="shared" si="668"/>
        <v>0</v>
      </c>
      <c r="X290" s="36">
        <f t="shared" si="668"/>
        <v>0</v>
      </c>
      <c r="Y290" s="36">
        <f t="shared" si="668"/>
        <v>0</v>
      </c>
      <c r="Z290" s="36">
        <f t="shared" si="668"/>
        <v>0</v>
      </c>
      <c r="AA290" s="36">
        <f t="shared" si="668"/>
        <v>0</v>
      </c>
      <c r="AB290" s="36">
        <f t="shared" si="668"/>
        <v>0</v>
      </c>
      <c r="AC290" s="36">
        <f t="shared" si="668"/>
        <v>0</v>
      </c>
      <c r="AD290" s="36">
        <f t="shared" si="668"/>
        <v>0</v>
      </c>
      <c r="AE290" s="36">
        <f t="shared" si="668"/>
        <v>0</v>
      </c>
      <c r="AF290" s="36">
        <f t="shared" si="668"/>
        <v>0</v>
      </c>
      <c r="AG290" s="36">
        <f t="shared" si="668"/>
        <v>0</v>
      </c>
      <c r="AH290" s="36">
        <f t="shared" si="668"/>
        <v>0</v>
      </c>
      <c r="BH290" s="2" t="s">
        <v>577</v>
      </c>
      <c r="BI290" s="2">
        <v>1600</v>
      </c>
      <c r="BJ290" s="2">
        <v>400</v>
      </c>
      <c r="BN290" s="2">
        <v>803</v>
      </c>
    </row>
    <row r="291" spans="2:66">
      <c r="B291" s="34"/>
      <c r="C291" s="35"/>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BH291" s="2" t="s">
        <v>577</v>
      </c>
      <c r="BI291" s="2">
        <v>1800</v>
      </c>
      <c r="BJ291" s="2">
        <v>400</v>
      </c>
      <c r="BN291" s="2">
        <v>903</v>
      </c>
    </row>
    <row r="292" spans="2:66">
      <c r="B292" s="31" t="s">
        <v>550</v>
      </c>
      <c r="C292" s="32"/>
      <c r="D292" s="36"/>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BH292" s="2" t="s">
        <v>577</v>
      </c>
      <c r="BI292" s="2">
        <v>2000</v>
      </c>
      <c r="BJ292" s="2">
        <v>400</v>
      </c>
      <c r="BN292" s="2">
        <v>1004</v>
      </c>
    </row>
    <row r="293" spans="2:66">
      <c r="B293" s="31" t="s">
        <v>551</v>
      </c>
      <c r="C293" s="32"/>
      <c r="D293" s="36">
        <f>D294*D289</f>
        <v>0</v>
      </c>
      <c r="E293" s="36">
        <f>IF(D293=0,E294*E289,E296-E290)</f>
        <v>0</v>
      </c>
      <c r="F293" s="36">
        <f>IF(E293=0,F294*F289,F296-F290)</f>
        <v>0</v>
      </c>
      <c r="G293" s="36">
        <f>IF(F293=0,G294*G289,G296-G290)</f>
        <v>0</v>
      </c>
      <c r="H293" s="36">
        <f>IF(G293=0,H294*H289,H296-H290)</f>
        <v>0</v>
      </c>
      <c r="I293" s="36">
        <f t="shared" ref="I293" si="669">IF(H293=0,I294*I289,I296-I290)</f>
        <v>0</v>
      </c>
      <c r="J293" s="36">
        <f>IF(I293=0,J294*J289,J296-J290)</f>
        <v>0</v>
      </c>
      <c r="K293" s="36">
        <f t="shared" ref="K293" si="670">IF(J293=0,K294*K289,K296-K290)</f>
        <v>0</v>
      </c>
      <c r="L293" s="36">
        <f t="shared" ref="L293" si="671">IF(K293=0,L294*L289,L296-L290)</f>
        <v>0</v>
      </c>
      <c r="M293" s="36">
        <f t="shared" ref="M293" si="672">IF(L293=0,M294*M289,M296-M290)</f>
        <v>0</v>
      </c>
      <c r="N293" s="36">
        <f t="shared" ref="N293" si="673">IF(M293=0,N294*N289,N296-N290)</f>
        <v>0</v>
      </c>
      <c r="O293" s="36">
        <f t="shared" ref="O293" si="674">IF(N293=0,O294*O289,O296-O290)</f>
        <v>0</v>
      </c>
      <c r="P293" s="36">
        <f t="shared" ref="P293" si="675">IF(O293=0,P294*P289,P296-P290)</f>
        <v>0</v>
      </c>
      <c r="Q293" s="36">
        <f t="shared" ref="Q293" si="676">IF(P293=0,Q294*Q289,Q296-Q290)</f>
        <v>0</v>
      </c>
      <c r="R293" s="36">
        <f t="shared" ref="R293" si="677">IF(Q293=0,R294*R289,R296-R290)</f>
        <v>0</v>
      </c>
      <c r="S293" s="36">
        <f t="shared" ref="S293" si="678">IF(R293=0,S294*S289,S296-S290)</f>
        <v>0</v>
      </c>
      <c r="T293" s="36">
        <f t="shared" ref="T293" si="679">IF(S293=0,T294*T289,T296-T290)</f>
        <v>0</v>
      </c>
      <c r="U293" s="36">
        <f t="shared" ref="U293" si="680">IF(T293=0,U294*U289,U296-U290)</f>
        <v>0</v>
      </c>
      <c r="V293" s="36">
        <f t="shared" ref="V293" si="681">IF(U293=0,V294*V289,V296-V290)</f>
        <v>0</v>
      </c>
      <c r="W293" s="36">
        <f t="shared" ref="W293" si="682">IF(V293=0,W294*W289,W296-W290)</f>
        <v>0</v>
      </c>
      <c r="X293" s="36">
        <f t="shared" ref="X293" si="683">IF(W293=0,X294*X289,X296-X290)</f>
        <v>0</v>
      </c>
      <c r="Y293" s="36">
        <f t="shared" ref="Y293" si="684">IF(X293=0,Y294*Y289,Y296-Y290)</f>
        <v>0</v>
      </c>
      <c r="Z293" s="36">
        <f t="shared" ref="Z293" si="685">IF(Y293=0,Z294*Z289,Z296-Z290)</f>
        <v>0</v>
      </c>
      <c r="AA293" s="36">
        <f t="shared" ref="AA293" si="686">IF(Z293=0,AA294*AA289,AA296-AA290)</f>
        <v>0</v>
      </c>
      <c r="AB293" s="36">
        <f t="shared" ref="AB293" si="687">IF(AA293=0,AB294*AB289,AB296-AB290)</f>
        <v>0</v>
      </c>
      <c r="AC293" s="36">
        <f t="shared" ref="AC293" si="688">IF(AB293=0,AC294*AC289,AC296-AC290)</f>
        <v>0</v>
      </c>
      <c r="AD293" s="36">
        <f t="shared" ref="AD293" si="689">IF(AC293=0,AD294*AD289,AD296-AD290)</f>
        <v>0</v>
      </c>
      <c r="AE293" s="36">
        <f t="shared" ref="AE293" si="690">IF(AD293=0,AE294*AE289,AE296-AE290)</f>
        <v>0</v>
      </c>
      <c r="AF293" s="36">
        <f t="shared" ref="AF293" si="691">IF(AE293=0,AF294*AF289,AF296-AF290)</f>
        <v>0</v>
      </c>
      <c r="AG293" s="36">
        <f t="shared" ref="AG293" si="692">IF(AF293=0,AG294*AG289,AG296-AG290)</f>
        <v>0</v>
      </c>
      <c r="AH293" s="36">
        <f t="shared" ref="AH293" si="693">IF(AG293=0,AH294*AH289,AH296-AH290)</f>
        <v>0</v>
      </c>
      <c r="BH293" s="2" t="s">
        <v>577</v>
      </c>
      <c r="BI293" s="2">
        <v>2200</v>
      </c>
      <c r="BJ293" s="2">
        <v>400</v>
      </c>
      <c r="BN293" s="2">
        <v>1104</v>
      </c>
    </row>
    <row r="294" spans="2:66">
      <c r="B294" s="38" t="s">
        <v>554</v>
      </c>
      <c r="C294" s="39"/>
      <c r="D294" s="33">
        <f>IF(Allgemein!$N$82&gt;=D285,0,Allgemein!$N$83)</f>
        <v>0</v>
      </c>
      <c r="E294" s="33">
        <f>IF(Allgemein!$N$82&gt;=E285,0,IF(D293=0,Allgemein!$N$83,IF(E289=0,0,E293/E289)))</f>
        <v>0</v>
      </c>
      <c r="F294" s="33">
        <f>IF(Allgemein!$N$82&gt;=F285,0,IF(E293=0,Allgemein!$N$83,IF(F289=0,0,F293/F289)))</f>
        <v>0</v>
      </c>
      <c r="G294" s="33">
        <f>IF(Allgemein!$N$82&gt;=G285,0,IF(F293=0,Allgemein!$N$83,IF(G289=0,0,G293/G289)))</f>
        <v>0</v>
      </c>
      <c r="H294" s="33">
        <f>IF(Allgemein!$N$82&gt;=H285,0,IF(G293=0,Allgemein!$N$83,IF(H289=0,0,H293/H289)))</f>
        <v>0</v>
      </c>
      <c r="I294" s="33">
        <f>IF(Allgemein!$N$82&gt;=I285,0,IF(H293=0,Allgemein!$N$83,IF(I289=0,0,I293/I289)))</f>
        <v>0</v>
      </c>
      <c r="J294" s="33">
        <f>IF(Allgemein!$N$82&gt;=J285,0,IF(I293=0,Allgemein!$N$83,IF(J289=0,0,J293/J289)))</f>
        <v>0</v>
      </c>
      <c r="K294" s="33">
        <f>IF(Allgemein!$N$82&gt;=K285,0,IF(J293=0,Allgemein!$N$83,IF(K289=0,0,K293/K289)))</f>
        <v>0</v>
      </c>
      <c r="L294" s="33">
        <f>IF(Allgemein!$N$82&gt;=L285,0,IF(K293=0,Allgemein!$N$83,IF(L289=0,0,L293/L289)))</f>
        <v>0</v>
      </c>
      <c r="M294" s="33">
        <f>IF(Allgemein!$N$82&gt;=M285,0,IF(L293=0,Allgemein!$N$83,IF(M289=0,0,M293/M289)))</f>
        <v>0</v>
      </c>
      <c r="N294" s="33">
        <f>IF(Allgemein!$N$82&gt;=N285,0,IF(M293=0,Allgemein!$N$83,IF(N289=0,0,N293/N289)))</f>
        <v>0</v>
      </c>
      <c r="O294" s="33">
        <f>IF(Allgemein!$N$82&gt;=O285,0,IF(N293=0,Allgemein!$N$83,IF(O289=0,0,O293/O289)))</f>
        <v>0</v>
      </c>
      <c r="P294" s="33">
        <f>IF(Allgemein!$N$82&gt;=P285,0,IF(O293=0,Allgemein!$N$83,IF(P289=0,0,P293/P289)))</f>
        <v>0</v>
      </c>
      <c r="Q294" s="33">
        <f>IF(Allgemein!$N$82&gt;=Q285,0,IF(P293=0,Allgemein!$N$83,IF(Q289=0,0,Q293/Q289)))</f>
        <v>0</v>
      </c>
      <c r="R294" s="33">
        <f>IF(Allgemein!$N$82&gt;=R285,0,IF(Q293=0,Allgemein!$N$83,IF(R289=0,0,R293/R289)))</f>
        <v>0</v>
      </c>
      <c r="S294" s="33">
        <f>IF(Allgemein!$N$82&gt;=S285,0,IF(R293=0,Allgemein!$N$83,IF(S289=0,0,S293/S289)))</f>
        <v>0</v>
      </c>
      <c r="T294" s="33">
        <f>IF(Allgemein!$N$82&gt;=T285,0,IF(S293=0,Allgemein!$N$83,IF(T289=0,0,T293/T289)))</f>
        <v>0</v>
      </c>
      <c r="U294" s="33">
        <f>IF(Allgemein!$N$82&gt;=U285,0,IF(T293=0,Allgemein!$N$83,IF(U289=0,0,U293/U289)))</f>
        <v>0</v>
      </c>
      <c r="V294" s="33">
        <f>IF(Allgemein!$N$82&gt;=V285,0,IF(U293=0,Allgemein!$N$83,IF(V289=0,0,V293/V289)))</f>
        <v>0</v>
      </c>
      <c r="W294" s="33">
        <f>IF(Allgemein!$N$82&gt;=W285,0,IF(V293=0,Allgemein!$N$83,IF(W289=0,0,W293/W289)))</f>
        <v>0</v>
      </c>
      <c r="X294" s="33">
        <f>IF(Allgemein!$N$82&gt;=X285,0,IF(W293=0,Allgemein!$N$83,IF(X289=0,0,X293/X289)))</f>
        <v>0</v>
      </c>
      <c r="Y294" s="33">
        <f>IF(Allgemein!$N$82&gt;=Y285,0,IF(X293=0,Allgemein!$N$83,IF(Y289=0,0,Y293/Y289)))</f>
        <v>0</v>
      </c>
      <c r="Z294" s="33">
        <f>IF(Allgemein!$N$82&gt;=Z285,0,IF(Y293=0,Allgemein!$N$83,IF(Z289=0,0,Z293/Z289)))</f>
        <v>0</v>
      </c>
      <c r="AA294" s="33">
        <f>IF(Allgemein!$N$82&gt;=AA285,0,IF(Z293=0,Allgemein!$N$83,IF(AA289=0,0,AA293/AA289)))</f>
        <v>0</v>
      </c>
      <c r="AB294" s="33">
        <f>IF(Allgemein!$N$82&gt;=AB285,0,IF(AA293=0,Allgemein!$N$83,IF(AB289=0,0,AB293/AB289)))</f>
        <v>0</v>
      </c>
      <c r="AC294" s="33">
        <f>IF(Allgemein!$N$82&gt;=AC285,0,IF(AB293=0,Allgemein!$N$83,IF(AC289=0,0,AC293/AC289)))</f>
        <v>0</v>
      </c>
      <c r="AD294" s="33">
        <f>IF(Allgemein!$N$82&gt;=AD285,0,IF(AC293=0,Allgemein!$N$83,IF(AD289=0,0,AD293/AD289)))</f>
        <v>0</v>
      </c>
      <c r="AE294" s="33">
        <f>IF(Allgemein!$N$82&gt;=AE285,0,IF(AD293=0,Allgemein!$N$83,IF(AE289=0,0,AE293/AE289)))</f>
        <v>0</v>
      </c>
      <c r="AF294" s="33">
        <f>IF(Allgemein!$N$82&gt;=AF285,0,IF(AE293=0,Allgemein!$N$83,IF(AF289=0,0,AF293/AF289)))</f>
        <v>0</v>
      </c>
      <c r="AG294" s="33">
        <f>IF(Allgemein!$N$82&gt;=AG285,0,IF(AF293=0,Allgemein!$N$83,IF(AG289=0,0,AG293/AG289)))</f>
        <v>0</v>
      </c>
      <c r="AH294" s="33">
        <f>IF(Allgemein!$N$82&gt;=AH285,0,IF(AG293=0,Allgemein!$N$83,IF(AH289=0,0,AH293/AH289)))</f>
        <v>0</v>
      </c>
      <c r="BH294" s="2" t="s">
        <v>577</v>
      </c>
      <c r="BI294" s="2">
        <v>2300</v>
      </c>
      <c r="BJ294" s="2">
        <v>400</v>
      </c>
      <c r="BN294" s="2">
        <v>1130</v>
      </c>
    </row>
    <row r="295" spans="2:66">
      <c r="B295" s="34"/>
      <c r="C295" s="35"/>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BH295" s="2" t="s">
        <v>577</v>
      </c>
      <c r="BI295" s="2">
        <v>2600</v>
      </c>
      <c r="BJ295" s="2">
        <v>400</v>
      </c>
      <c r="BN295" s="2">
        <v>1277</v>
      </c>
    </row>
    <row r="296" spans="2:66">
      <c r="B296" s="31" t="s">
        <v>555</v>
      </c>
      <c r="C296" s="32"/>
      <c r="D296" s="36">
        <f>D293+D290</f>
        <v>0</v>
      </c>
      <c r="E296" s="36">
        <f>IF(D293=0,E290+E293,IF(E289=0,0,IF(E289&lt;D296,E289+E290,IF(E292=0,D296,E292+E290))))</f>
        <v>0</v>
      </c>
      <c r="F296" s="36">
        <f>IF(E293=0,F290+F293,IF(F289=0,0,IF(F289&lt;E296,F289+F290,IF(F292=0,E296,F292+F290))))</f>
        <v>0</v>
      </c>
      <c r="G296" s="36">
        <f>IF(F293=0,G290+G293,IF(G289=0,0,IF(G289&lt;F296,G289+G290,IF(G292=0,F296,G292+G290))))</f>
        <v>0</v>
      </c>
      <c r="H296" s="36">
        <f>IF(G293=0,H290+H293,IF(H289=0,0,IF(H289&lt;G296,H289+H290,IF(H292=0,G296,H292+H290))))</f>
        <v>0</v>
      </c>
      <c r="I296" s="36">
        <f t="shared" ref="I296" si="694">IF(H293=0,I290+I293,IF(I289=0,0,IF(I289&lt;H296,I289+I290,IF(I292=0,H296,I292+I290))))</f>
        <v>0</v>
      </c>
      <c r="J296" s="36">
        <f>IF(I293=0,J290+J293,IF(J289=0,0,IF(J289&lt;I296,J289+J290,IF(J292=0,I296,J292+J290))))</f>
        <v>0</v>
      </c>
      <c r="K296" s="36">
        <f t="shared" ref="K296" si="695">IF(J293=0,K290+K293,IF(K289=0,0,IF(K289&lt;J296,K289+K290,IF(K292=0,J296,K292+K290))))</f>
        <v>0</v>
      </c>
      <c r="L296" s="36">
        <f t="shared" ref="L296" si="696">IF(K293=0,L290+L293,IF(L289=0,0,IF(L289&lt;K296,L289+L290,IF(L292=0,K296,L292+L290))))</f>
        <v>0</v>
      </c>
      <c r="M296" s="36">
        <f t="shared" ref="M296" si="697">IF(L293=0,M290+M293,IF(M289=0,0,IF(M289&lt;L296,M289+M290,IF(M292=0,L296,M292+M290))))</f>
        <v>0</v>
      </c>
      <c r="N296" s="36">
        <f t="shared" ref="N296" si="698">IF(M293=0,N290+N293,IF(N289=0,0,IF(N289&lt;M296,N289+N290,IF(N292=0,M296,N292+N290))))</f>
        <v>0</v>
      </c>
      <c r="O296" s="36">
        <f t="shared" ref="O296" si="699">IF(N293=0,O290+O293,IF(O289=0,0,IF(O289&lt;N296,O289+O290,IF(O292=0,N296,O292+O290))))</f>
        <v>0</v>
      </c>
      <c r="P296" s="36">
        <f t="shared" ref="P296" si="700">IF(O293=0,P290+P293,IF(P289=0,0,IF(P289&lt;O296,P289+P290,IF(P292=0,O296,P292+P290))))</f>
        <v>0</v>
      </c>
      <c r="Q296" s="36">
        <f t="shared" ref="Q296" si="701">IF(P293=0,Q290+Q293,IF(Q289=0,0,IF(Q289&lt;P296,Q289+Q290,IF(Q292=0,P296,Q292+Q290))))</f>
        <v>0</v>
      </c>
      <c r="R296" s="36">
        <f t="shared" ref="R296" si="702">IF(Q293=0,R290+R293,IF(R289=0,0,IF(R289&lt;Q296,R289+R290,IF(R292=0,Q296,R292+R290))))</f>
        <v>0</v>
      </c>
      <c r="S296" s="36">
        <f t="shared" ref="S296" si="703">IF(R293=0,S290+S293,IF(S289=0,0,IF(S289&lt;R296,S289+S290,IF(S292=0,R296,S292+S290))))</f>
        <v>0</v>
      </c>
      <c r="T296" s="36">
        <f t="shared" ref="T296" si="704">IF(S293=0,T290+T293,IF(T289=0,0,IF(T289&lt;S296,T289+T290,IF(T292=0,S296,T292+T290))))</f>
        <v>0</v>
      </c>
      <c r="U296" s="36">
        <f t="shared" ref="U296" si="705">IF(T293=0,U290+U293,IF(U289=0,0,IF(U289&lt;T296,U289+U290,IF(U292=0,T296,U292+U290))))</f>
        <v>0</v>
      </c>
      <c r="V296" s="36">
        <f t="shared" ref="V296" si="706">IF(U293=0,V290+V293,IF(V289=0,0,IF(V289&lt;U296,V289+V290,IF(V292=0,U296,V292+V290))))</f>
        <v>0</v>
      </c>
      <c r="W296" s="36">
        <f t="shared" ref="W296" si="707">IF(V293=0,W290+W293,IF(W289=0,0,IF(W289&lt;V296,W289+W290,IF(W292=0,V296,W292+W290))))</f>
        <v>0</v>
      </c>
      <c r="X296" s="36">
        <f t="shared" ref="X296" si="708">IF(W293=0,X290+X293,IF(X289=0,0,IF(X289&lt;W296,X289+X290,IF(X292=0,W296,X292+X290))))</f>
        <v>0</v>
      </c>
      <c r="Y296" s="36">
        <f t="shared" ref="Y296" si="709">IF(X293=0,Y290+Y293,IF(Y289=0,0,IF(Y289&lt;X296,Y289+Y290,IF(Y292=0,X296,Y292+Y290))))</f>
        <v>0</v>
      </c>
      <c r="Z296" s="36">
        <f t="shared" ref="Z296" si="710">IF(Y293=0,Z290+Z293,IF(Z289=0,0,IF(Z289&lt;Y296,Z289+Z290,IF(Z292=0,Y296,Z292+Z290))))</f>
        <v>0</v>
      </c>
      <c r="AA296" s="36">
        <f t="shared" ref="AA296" si="711">IF(Z293=0,AA290+AA293,IF(AA289=0,0,IF(AA289&lt;Z296,AA289+AA290,IF(AA292=0,Z296,AA292+AA290))))</f>
        <v>0</v>
      </c>
      <c r="AB296" s="36">
        <f t="shared" ref="AB296" si="712">IF(AA293=0,AB290+AB293,IF(AB289=0,0,IF(AB289&lt;AA296,AB289+AB290,IF(AB292=0,AA296,AB292+AB290))))</f>
        <v>0</v>
      </c>
      <c r="AC296" s="36">
        <f t="shared" ref="AC296" si="713">IF(AB293=0,AC290+AC293,IF(AC289=0,0,IF(AC289&lt;AB296,AC289+AC290,IF(AC292=0,AB296,AC292+AC290))))</f>
        <v>0</v>
      </c>
      <c r="AD296" s="36">
        <f t="shared" ref="AD296" si="714">IF(AC293=0,AD290+AD293,IF(AD289=0,0,IF(AD289&lt;AC296,AD289+AD290,IF(AD292=0,AC296,AD292+AD290))))</f>
        <v>0</v>
      </c>
      <c r="AE296" s="36">
        <f t="shared" ref="AE296" si="715">IF(AD293=0,AE290+AE293,IF(AE289=0,0,IF(AE289&lt;AD296,AE289+AE290,IF(AE292=0,AD296,AE292+AE290))))</f>
        <v>0</v>
      </c>
      <c r="AF296" s="36">
        <f t="shared" ref="AF296" si="716">IF(AE293=0,AF290+AF293,IF(AF289=0,0,IF(AF289&lt;AE296,AF289+AF290,IF(AF292=0,AE296,AF292+AF290))))</f>
        <v>0</v>
      </c>
      <c r="AG296" s="36">
        <f t="shared" ref="AG296" si="717">IF(AF293=0,AG290+AG293,IF(AG289=0,0,IF(AG289&lt;AF296,AG289+AG290,IF(AG292=0,AF296,AG292+AG290))))</f>
        <v>0</v>
      </c>
      <c r="AH296" s="36">
        <f t="shared" ref="AH296" si="718">IF(AG293=0,AH290+AH293,IF(AH289=0,0,IF(AH289&lt;AG296,AH289+AH290,IF(AH292=0,AG296,AH292+AH290))))</f>
        <v>0</v>
      </c>
      <c r="BH296" s="2" t="s">
        <v>577</v>
      </c>
      <c r="BI296" s="2">
        <v>3000</v>
      </c>
      <c r="BJ296" s="2">
        <v>400</v>
      </c>
      <c r="BN296" s="2">
        <v>1473</v>
      </c>
    </row>
    <row r="297" spans="2:66">
      <c r="B297" s="31" t="s">
        <v>556</v>
      </c>
      <c r="C297" s="32"/>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BH297" s="2" t="s">
        <v>577</v>
      </c>
      <c r="BI297" s="2">
        <v>400</v>
      </c>
      <c r="BJ297" s="2">
        <v>500</v>
      </c>
      <c r="BN297" s="2">
        <v>239</v>
      </c>
    </row>
    <row r="298" spans="2:66">
      <c r="B298" s="31" t="s">
        <v>557</v>
      </c>
      <c r="C298" s="32"/>
      <c r="D298" s="36">
        <f>D289-D293</f>
        <v>0</v>
      </c>
      <c r="E298" s="36">
        <f t="shared" ref="E298:AH298" si="719">E289-E293</f>
        <v>0</v>
      </c>
      <c r="F298" s="36">
        <f t="shared" si="719"/>
        <v>0</v>
      </c>
      <c r="G298" s="36">
        <f t="shared" si="719"/>
        <v>0</v>
      </c>
      <c r="H298" s="36">
        <f t="shared" si="719"/>
        <v>0</v>
      </c>
      <c r="I298" s="36">
        <f t="shared" si="719"/>
        <v>0</v>
      </c>
      <c r="J298" s="36">
        <f t="shared" si="719"/>
        <v>0</v>
      </c>
      <c r="K298" s="36">
        <f t="shared" si="719"/>
        <v>0</v>
      </c>
      <c r="L298" s="36">
        <f t="shared" si="719"/>
        <v>0</v>
      </c>
      <c r="M298" s="36">
        <f t="shared" si="719"/>
        <v>0</v>
      </c>
      <c r="N298" s="36">
        <f t="shared" si="719"/>
        <v>0</v>
      </c>
      <c r="O298" s="36">
        <f t="shared" si="719"/>
        <v>0</v>
      </c>
      <c r="P298" s="36">
        <f t="shared" si="719"/>
        <v>0</v>
      </c>
      <c r="Q298" s="36">
        <f t="shared" si="719"/>
        <v>0</v>
      </c>
      <c r="R298" s="36">
        <f t="shared" si="719"/>
        <v>0</v>
      </c>
      <c r="S298" s="36">
        <f t="shared" si="719"/>
        <v>0</v>
      </c>
      <c r="T298" s="36">
        <f t="shared" si="719"/>
        <v>0</v>
      </c>
      <c r="U298" s="36">
        <f t="shared" si="719"/>
        <v>0</v>
      </c>
      <c r="V298" s="36">
        <f t="shared" si="719"/>
        <v>0</v>
      </c>
      <c r="W298" s="36">
        <f t="shared" si="719"/>
        <v>0</v>
      </c>
      <c r="X298" s="36">
        <f t="shared" si="719"/>
        <v>0</v>
      </c>
      <c r="Y298" s="36">
        <f t="shared" si="719"/>
        <v>0</v>
      </c>
      <c r="Z298" s="36">
        <f t="shared" si="719"/>
        <v>0</v>
      </c>
      <c r="AA298" s="36">
        <f t="shared" si="719"/>
        <v>0</v>
      </c>
      <c r="AB298" s="36">
        <f t="shared" si="719"/>
        <v>0</v>
      </c>
      <c r="AC298" s="36">
        <f t="shared" si="719"/>
        <v>0</v>
      </c>
      <c r="AD298" s="36">
        <f t="shared" si="719"/>
        <v>0</v>
      </c>
      <c r="AE298" s="36">
        <f t="shared" si="719"/>
        <v>0</v>
      </c>
      <c r="AF298" s="36">
        <f t="shared" si="719"/>
        <v>0</v>
      </c>
      <c r="AG298" s="36">
        <f t="shared" si="719"/>
        <v>0</v>
      </c>
      <c r="AH298" s="36">
        <f t="shared" si="719"/>
        <v>0</v>
      </c>
      <c r="BH298" s="2" t="s">
        <v>577</v>
      </c>
      <c r="BI298" s="2">
        <v>500</v>
      </c>
      <c r="BJ298" s="2">
        <v>500</v>
      </c>
      <c r="BN298" s="2">
        <v>298</v>
      </c>
    </row>
    <row r="299" spans="2:66" ht="17.399999999999999" thickBot="1">
      <c r="B299" s="40" t="s">
        <v>558</v>
      </c>
      <c r="C299" s="41"/>
      <c r="D299" s="42">
        <f>D296/12</f>
        <v>0</v>
      </c>
      <c r="E299" s="42">
        <f t="shared" ref="E299:AH299" si="720">E296/12</f>
        <v>0</v>
      </c>
      <c r="F299" s="42">
        <f t="shared" si="720"/>
        <v>0</v>
      </c>
      <c r="G299" s="42">
        <f t="shared" si="720"/>
        <v>0</v>
      </c>
      <c r="H299" s="42">
        <f t="shared" si="720"/>
        <v>0</v>
      </c>
      <c r="I299" s="42">
        <f t="shared" si="720"/>
        <v>0</v>
      </c>
      <c r="J299" s="42">
        <f t="shared" si="720"/>
        <v>0</v>
      </c>
      <c r="K299" s="42">
        <f t="shared" si="720"/>
        <v>0</v>
      </c>
      <c r="L299" s="42">
        <f t="shared" si="720"/>
        <v>0</v>
      </c>
      <c r="M299" s="42">
        <f t="shared" si="720"/>
        <v>0</v>
      </c>
      <c r="N299" s="42">
        <f t="shared" si="720"/>
        <v>0</v>
      </c>
      <c r="O299" s="42">
        <f t="shared" si="720"/>
        <v>0</v>
      </c>
      <c r="P299" s="42">
        <f t="shared" si="720"/>
        <v>0</v>
      </c>
      <c r="Q299" s="42">
        <f t="shared" si="720"/>
        <v>0</v>
      </c>
      <c r="R299" s="42">
        <f t="shared" si="720"/>
        <v>0</v>
      </c>
      <c r="S299" s="42">
        <f t="shared" si="720"/>
        <v>0</v>
      </c>
      <c r="T299" s="42">
        <f t="shared" si="720"/>
        <v>0</v>
      </c>
      <c r="U299" s="42">
        <f t="shared" si="720"/>
        <v>0</v>
      </c>
      <c r="V299" s="42">
        <f t="shared" si="720"/>
        <v>0</v>
      </c>
      <c r="W299" s="42">
        <f t="shared" si="720"/>
        <v>0</v>
      </c>
      <c r="X299" s="42">
        <f t="shared" si="720"/>
        <v>0</v>
      </c>
      <c r="Y299" s="42">
        <f t="shared" si="720"/>
        <v>0</v>
      </c>
      <c r="Z299" s="42">
        <f t="shared" si="720"/>
        <v>0</v>
      </c>
      <c r="AA299" s="42">
        <f t="shared" si="720"/>
        <v>0</v>
      </c>
      <c r="AB299" s="42">
        <f t="shared" si="720"/>
        <v>0</v>
      </c>
      <c r="AC299" s="42">
        <f t="shared" si="720"/>
        <v>0</v>
      </c>
      <c r="AD299" s="42">
        <f t="shared" si="720"/>
        <v>0</v>
      </c>
      <c r="AE299" s="42">
        <f t="shared" si="720"/>
        <v>0</v>
      </c>
      <c r="AF299" s="42">
        <f t="shared" si="720"/>
        <v>0</v>
      </c>
      <c r="AG299" s="42">
        <f t="shared" si="720"/>
        <v>0</v>
      </c>
      <c r="AH299" s="42">
        <f t="shared" si="720"/>
        <v>0</v>
      </c>
      <c r="BH299" s="2" t="s">
        <v>577</v>
      </c>
      <c r="BI299" s="2">
        <v>600</v>
      </c>
      <c r="BJ299" s="2">
        <v>500</v>
      </c>
      <c r="BN299" s="2">
        <v>358</v>
      </c>
    </row>
    <row r="300" spans="2:66">
      <c r="BH300" s="2" t="s">
        <v>577</v>
      </c>
      <c r="BI300" s="2">
        <v>700</v>
      </c>
      <c r="BJ300" s="2">
        <v>500</v>
      </c>
      <c r="BN300" s="2">
        <v>418</v>
      </c>
    </row>
    <row r="301" spans="2:66" ht="17.399999999999999" thickBot="1">
      <c r="BH301" s="2" t="s">
        <v>577</v>
      </c>
      <c r="BI301" s="2">
        <v>800</v>
      </c>
      <c r="BJ301" s="2">
        <v>500</v>
      </c>
      <c r="BN301" s="2">
        <v>477</v>
      </c>
    </row>
    <row r="302" spans="2:66" ht="19.2" thickBot="1">
      <c r="B302" s="68" t="s">
        <v>580</v>
      </c>
      <c r="C302" s="4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3"/>
      <c r="AE302" s="43"/>
      <c r="AF302" s="43"/>
      <c r="AG302" s="43"/>
      <c r="AH302" s="43"/>
      <c r="BH302" s="2" t="s">
        <v>577</v>
      </c>
      <c r="BI302" s="2">
        <v>900</v>
      </c>
      <c r="BJ302" s="2">
        <v>500</v>
      </c>
      <c r="BN302" s="2">
        <v>537</v>
      </c>
    </row>
    <row r="303" spans="2:66" ht="17.399999999999999" thickBot="1">
      <c r="B303" s="56" t="s">
        <v>339</v>
      </c>
      <c r="C303" s="57"/>
      <c r="D303" s="58">
        <v>1</v>
      </c>
      <c r="E303" s="59">
        <v>2</v>
      </c>
      <c r="F303" s="59">
        <v>3</v>
      </c>
      <c r="G303" s="58">
        <v>4</v>
      </c>
      <c r="H303" s="59">
        <v>5</v>
      </c>
      <c r="I303" s="59">
        <v>6</v>
      </c>
      <c r="J303" s="58">
        <v>7</v>
      </c>
      <c r="K303" s="59">
        <v>8</v>
      </c>
      <c r="L303" s="59">
        <v>9</v>
      </c>
      <c r="M303" s="58">
        <v>10</v>
      </c>
      <c r="N303" s="59">
        <v>11</v>
      </c>
      <c r="O303" s="59">
        <v>12</v>
      </c>
      <c r="P303" s="58">
        <v>13</v>
      </c>
      <c r="Q303" s="59">
        <v>14</v>
      </c>
      <c r="R303" s="59">
        <v>15</v>
      </c>
      <c r="S303" s="58">
        <v>16</v>
      </c>
      <c r="T303" s="59">
        <v>17</v>
      </c>
      <c r="U303" s="59">
        <v>18</v>
      </c>
      <c r="V303" s="58">
        <v>19</v>
      </c>
      <c r="W303" s="59">
        <v>20</v>
      </c>
      <c r="X303" s="59">
        <v>21</v>
      </c>
      <c r="Y303" s="58">
        <v>22</v>
      </c>
      <c r="Z303" s="59">
        <v>23</v>
      </c>
      <c r="AA303" s="59">
        <v>24</v>
      </c>
      <c r="AB303" s="58">
        <v>25</v>
      </c>
      <c r="AC303" s="59">
        <v>26</v>
      </c>
      <c r="AD303" s="59">
        <v>27</v>
      </c>
      <c r="AE303" s="58">
        <v>28</v>
      </c>
      <c r="AF303" s="59">
        <v>29</v>
      </c>
      <c r="AG303" s="59">
        <v>30</v>
      </c>
      <c r="AH303" s="60">
        <v>31</v>
      </c>
      <c r="BH303" s="2" t="s">
        <v>577</v>
      </c>
      <c r="BI303" s="2">
        <v>1000</v>
      </c>
      <c r="BJ303" s="2">
        <v>500</v>
      </c>
      <c r="BN303" s="2">
        <v>597</v>
      </c>
    </row>
    <row r="304" spans="2:66">
      <c r="B304" s="69" t="s">
        <v>548</v>
      </c>
      <c r="C304" s="70"/>
      <c r="D304" s="45">
        <f>SUM(D305:D307)</f>
        <v>0</v>
      </c>
      <c r="E304" s="45">
        <f t="shared" ref="E304:AH304" si="721">SUM(E305:E307)</f>
        <v>0</v>
      </c>
      <c r="F304" s="45">
        <f t="shared" si="721"/>
        <v>0</v>
      </c>
      <c r="G304" s="45">
        <f t="shared" si="721"/>
        <v>0</v>
      </c>
      <c r="H304" s="45">
        <f t="shared" si="721"/>
        <v>0</v>
      </c>
      <c r="I304" s="45">
        <f>SUM(I305:I307)</f>
        <v>0</v>
      </c>
      <c r="J304" s="45">
        <f t="shared" si="721"/>
        <v>0</v>
      </c>
      <c r="K304" s="45">
        <f t="shared" si="721"/>
        <v>0</v>
      </c>
      <c r="L304" s="45">
        <f t="shared" si="721"/>
        <v>0</v>
      </c>
      <c r="M304" s="45">
        <f t="shared" si="721"/>
        <v>0</v>
      </c>
      <c r="N304" s="45">
        <f t="shared" si="721"/>
        <v>0</v>
      </c>
      <c r="O304" s="45">
        <f t="shared" si="721"/>
        <v>0</v>
      </c>
      <c r="P304" s="45">
        <f t="shared" si="721"/>
        <v>0</v>
      </c>
      <c r="Q304" s="45">
        <f t="shared" si="721"/>
        <v>0</v>
      </c>
      <c r="R304" s="45">
        <f t="shared" si="721"/>
        <v>0</v>
      </c>
      <c r="S304" s="45">
        <f t="shared" si="721"/>
        <v>0</v>
      </c>
      <c r="T304" s="45">
        <f t="shared" si="721"/>
        <v>0</v>
      </c>
      <c r="U304" s="45">
        <f t="shared" si="721"/>
        <v>0</v>
      </c>
      <c r="V304" s="45">
        <f t="shared" si="721"/>
        <v>0</v>
      </c>
      <c r="W304" s="45">
        <f t="shared" si="721"/>
        <v>0</v>
      </c>
      <c r="X304" s="45">
        <f t="shared" si="721"/>
        <v>0</v>
      </c>
      <c r="Y304" s="45">
        <f t="shared" si="721"/>
        <v>0</v>
      </c>
      <c r="Z304" s="45">
        <f t="shared" si="721"/>
        <v>0</v>
      </c>
      <c r="AA304" s="45">
        <f t="shared" si="721"/>
        <v>0</v>
      </c>
      <c r="AB304" s="45">
        <f t="shared" si="721"/>
        <v>0</v>
      </c>
      <c r="AC304" s="45">
        <f t="shared" si="721"/>
        <v>0</v>
      </c>
      <c r="AD304" s="45">
        <f t="shared" si="721"/>
        <v>0</v>
      </c>
      <c r="AE304" s="45">
        <f t="shared" si="721"/>
        <v>0</v>
      </c>
      <c r="AF304" s="45">
        <f t="shared" si="721"/>
        <v>0</v>
      </c>
      <c r="AG304" s="45">
        <f t="shared" si="721"/>
        <v>0</v>
      </c>
      <c r="AH304" s="45">
        <f t="shared" si="721"/>
        <v>0</v>
      </c>
      <c r="BH304" s="2" t="s">
        <v>577</v>
      </c>
      <c r="BI304" s="2">
        <v>1100</v>
      </c>
      <c r="BJ304" s="2">
        <v>500</v>
      </c>
      <c r="BN304" s="2">
        <v>656</v>
      </c>
    </row>
    <row r="305" spans="2:66">
      <c r="B305" s="38" t="s">
        <v>582</v>
      </c>
      <c r="C305" s="39"/>
      <c r="D305" s="45">
        <f>D255</f>
        <v>0</v>
      </c>
      <c r="E305" s="45">
        <f>E255</f>
        <v>0</v>
      </c>
      <c r="F305" s="45">
        <f t="shared" ref="F305:AH305" si="722">F255</f>
        <v>0</v>
      </c>
      <c r="G305" s="45">
        <f t="shared" si="722"/>
        <v>0</v>
      </c>
      <c r="H305" s="45">
        <f t="shared" si="722"/>
        <v>0</v>
      </c>
      <c r="I305" s="45">
        <f t="shared" si="722"/>
        <v>0</v>
      </c>
      <c r="J305" s="45">
        <f t="shared" si="722"/>
        <v>0</v>
      </c>
      <c r="K305" s="45">
        <f t="shared" si="722"/>
        <v>0</v>
      </c>
      <c r="L305" s="45">
        <f t="shared" si="722"/>
        <v>0</v>
      </c>
      <c r="M305" s="45">
        <f t="shared" si="722"/>
        <v>0</v>
      </c>
      <c r="N305" s="45">
        <f t="shared" si="722"/>
        <v>0</v>
      </c>
      <c r="O305" s="45">
        <f t="shared" si="722"/>
        <v>0</v>
      </c>
      <c r="P305" s="45">
        <f t="shared" si="722"/>
        <v>0</v>
      </c>
      <c r="Q305" s="45">
        <f t="shared" si="722"/>
        <v>0</v>
      </c>
      <c r="R305" s="45">
        <f t="shared" si="722"/>
        <v>0</v>
      </c>
      <c r="S305" s="45">
        <f t="shared" si="722"/>
        <v>0</v>
      </c>
      <c r="T305" s="45">
        <f t="shared" si="722"/>
        <v>0</v>
      </c>
      <c r="U305" s="45">
        <f t="shared" si="722"/>
        <v>0</v>
      </c>
      <c r="V305" s="45">
        <f t="shared" si="722"/>
        <v>0</v>
      </c>
      <c r="W305" s="45">
        <f t="shared" si="722"/>
        <v>0</v>
      </c>
      <c r="X305" s="45">
        <f t="shared" si="722"/>
        <v>0</v>
      </c>
      <c r="Y305" s="45">
        <f t="shared" si="722"/>
        <v>0</v>
      </c>
      <c r="Z305" s="45">
        <f t="shared" si="722"/>
        <v>0</v>
      </c>
      <c r="AA305" s="45">
        <f t="shared" si="722"/>
        <v>0</v>
      </c>
      <c r="AB305" s="45">
        <f t="shared" si="722"/>
        <v>0</v>
      </c>
      <c r="AC305" s="45">
        <f t="shared" si="722"/>
        <v>0</v>
      </c>
      <c r="AD305" s="45">
        <f t="shared" si="722"/>
        <v>0</v>
      </c>
      <c r="AE305" s="45">
        <f t="shared" si="722"/>
        <v>0</v>
      </c>
      <c r="AF305" s="45">
        <f t="shared" si="722"/>
        <v>0</v>
      </c>
      <c r="AG305" s="45">
        <f t="shared" si="722"/>
        <v>0</v>
      </c>
      <c r="AH305" s="45">
        <f t="shared" si="722"/>
        <v>0</v>
      </c>
      <c r="BH305" s="2" t="s">
        <v>577</v>
      </c>
      <c r="BI305" s="2">
        <v>1200</v>
      </c>
      <c r="BJ305" s="2">
        <v>500</v>
      </c>
      <c r="BN305" s="2">
        <v>716</v>
      </c>
    </row>
    <row r="306" spans="2:66">
      <c r="B306" s="38" t="s">
        <v>583</v>
      </c>
      <c r="C306" s="39"/>
      <c r="D306" s="45">
        <f>D272</f>
        <v>0</v>
      </c>
      <c r="E306" s="45">
        <f t="shared" ref="E306:AH306" si="723">E272</f>
        <v>0</v>
      </c>
      <c r="F306" s="45">
        <f t="shared" si="723"/>
        <v>0</v>
      </c>
      <c r="G306" s="45">
        <f t="shared" si="723"/>
        <v>0</v>
      </c>
      <c r="H306" s="45">
        <f t="shared" si="723"/>
        <v>0</v>
      </c>
      <c r="I306" s="45">
        <f t="shared" si="723"/>
        <v>0</v>
      </c>
      <c r="J306" s="45">
        <f t="shared" si="723"/>
        <v>0</v>
      </c>
      <c r="K306" s="45">
        <f t="shared" si="723"/>
        <v>0</v>
      </c>
      <c r="L306" s="45">
        <f t="shared" si="723"/>
        <v>0</v>
      </c>
      <c r="M306" s="45">
        <f t="shared" si="723"/>
        <v>0</v>
      </c>
      <c r="N306" s="45">
        <f t="shared" si="723"/>
        <v>0</v>
      </c>
      <c r="O306" s="45">
        <f t="shared" si="723"/>
        <v>0</v>
      </c>
      <c r="P306" s="45">
        <f t="shared" si="723"/>
        <v>0</v>
      </c>
      <c r="Q306" s="45">
        <f t="shared" si="723"/>
        <v>0</v>
      </c>
      <c r="R306" s="45">
        <f t="shared" si="723"/>
        <v>0</v>
      </c>
      <c r="S306" s="45">
        <f t="shared" si="723"/>
        <v>0</v>
      </c>
      <c r="T306" s="45">
        <f t="shared" si="723"/>
        <v>0</v>
      </c>
      <c r="U306" s="45">
        <f t="shared" si="723"/>
        <v>0</v>
      </c>
      <c r="V306" s="45">
        <f t="shared" si="723"/>
        <v>0</v>
      </c>
      <c r="W306" s="45">
        <f t="shared" si="723"/>
        <v>0</v>
      </c>
      <c r="X306" s="45">
        <f t="shared" si="723"/>
        <v>0</v>
      </c>
      <c r="Y306" s="45">
        <f t="shared" si="723"/>
        <v>0</v>
      </c>
      <c r="Z306" s="45">
        <f t="shared" si="723"/>
        <v>0</v>
      </c>
      <c r="AA306" s="45">
        <f t="shared" si="723"/>
        <v>0</v>
      </c>
      <c r="AB306" s="45">
        <f t="shared" si="723"/>
        <v>0</v>
      </c>
      <c r="AC306" s="45">
        <f t="shared" si="723"/>
        <v>0</v>
      </c>
      <c r="AD306" s="45">
        <f t="shared" si="723"/>
        <v>0</v>
      </c>
      <c r="AE306" s="45">
        <f t="shared" si="723"/>
        <v>0</v>
      </c>
      <c r="AF306" s="45">
        <f t="shared" si="723"/>
        <v>0</v>
      </c>
      <c r="AG306" s="45">
        <f t="shared" si="723"/>
        <v>0</v>
      </c>
      <c r="AH306" s="45">
        <f t="shared" si="723"/>
        <v>0</v>
      </c>
      <c r="BH306" s="2" t="s">
        <v>577</v>
      </c>
      <c r="BI306" s="2">
        <v>1400</v>
      </c>
      <c r="BJ306" s="2">
        <v>500</v>
      </c>
      <c r="BN306" s="2">
        <v>835</v>
      </c>
    </row>
    <row r="307" spans="2:66">
      <c r="B307" s="38" t="s">
        <v>584</v>
      </c>
      <c r="C307" s="39"/>
      <c r="D307" s="45">
        <f>D289</f>
        <v>0</v>
      </c>
      <c r="E307" s="45">
        <f t="shared" ref="E307:AH307" si="724">E289</f>
        <v>0</v>
      </c>
      <c r="F307" s="45">
        <f t="shared" si="724"/>
        <v>0</v>
      </c>
      <c r="G307" s="45">
        <f t="shared" si="724"/>
        <v>0</v>
      </c>
      <c r="H307" s="45">
        <f t="shared" si="724"/>
        <v>0</v>
      </c>
      <c r="I307" s="45">
        <f t="shared" si="724"/>
        <v>0</v>
      </c>
      <c r="J307" s="45">
        <f t="shared" si="724"/>
        <v>0</v>
      </c>
      <c r="K307" s="45">
        <f t="shared" si="724"/>
        <v>0</v>
      </c>
      <c r="L307" s="45">
        <f t="shared" si="724"/>
        <v>0</v>
      </c>
      <c r="M307" s="45">
        <f t="shared" si="724"/>
        <v>0</v>
      </c>
      <c r="N307" s="45">
        <f t="shared" si="724"/>
        <v>0</v>
      </c>
      <c r="O307" s="45">
        <f t="shared" si="724"/>
        <v>0</v>
      </c>
      <c r="P307" s="45">
        <f t="shared" si="724"/>
        <v>0</v>
      </c>
      <c r="Q307" s="45">
        <f t="shared" si="724"/>
        <v>0</v>
      </c>
      <c r="R307" s="45">
        <f t="shared" si="724"/>
        <v>0</v>
      </c>
      <c r="S307" s="45">
        <f t="shared" si="724"/>
        <v>0</v>
      </c>
      <c r="T307" s="45">
        <f t="shared" si="724"/>
        <v>0</v>
      </c>
      <c r="U307" s="45">
        <f t="shared" si="724"/>
        <v>0</v>
      </c>
      <c r="V307" s="45">
        <f t="shared" si="724"/>
        <v>0</v>
      </c>
      <c r="W307" s="45">
        <f t="shared" si="724"/>
        <v>0</v>
      </c>
      <c r="X307" s="45">
        <f t="shared" si="724"/>
        <v>0</v>
      </c>
      <c r="Y307" s="45">
        <f t="shared" si="724"/>
        <v>0</v>
      </c>
      <c r="Z307" s="45">
        <f t="shared" si="724"/>
        <v>0</v>
      </c>
      <c r="AA307" s="45">
        <f t="shared" si="724"/>
        <v>0</v>
      </c>
      <c r="AB307" s="45">
        <f t="shared" si="724"/>
        <v>0</v>
      </c>
      <c r="AC307" s="45">
        <f t="shared" si="724"/>
        <v>0</v>
      </c>
      <c r="AD307" s="45">
        <f t="shared" si="724"/>
        <v>0</v>
      </c>
      <c r="AE307" s="45">
        <f t="shared" si="724"/>
        <v>0</v>
      </c>
      <c r="AF307" s="45">
        <f t="shared" si="724"/>
        <v>0</v>
      </c>
      <c r="AG307" s="45">
        <f t="shared" si="724"/>
        <v>0</v>
      </c>
      <c r="AH307" s="45">
        <f t="shared" si="724"/>
        <v>0</v>
      </c>
      <c r="BH307" s="2" t="s">
        <v>577</v>
      </c>
      <c r="BI307" s="2">
        <v>1600</v>
      </c>
      <c r="BJ307" s="2">
        <v>500</v>
      </c>
      <c r="BN307" s="2">
        <v>955</v>
      </c>
    </row>
    <row r="308" spans="2:66">
      <c r="B308" s="46"/>
      <c r="BH308" s="2" t="s">
        <v>577</v>
      </c>
      <c r="BI308" s="2">
        <v>1800</v>
      </c>
      <c r="BJ308" s="2">
        <v>500</v>
      </c>
      <c r="BN308" s="2">
        <v>1074</v>
      </c>
    </row>
    <row r="309" spans="2:66">
      <c r="B309" s="31" t="s">
        <v>549</v>
      </c>
      <c r="C309" s="32"/>
      <c r="D309" s="36">
        <f>D290+D273+D256</f>
        <v>0</v>
      </c>
      <c r="E309" s="36">
        <f t="shared" ref="E309:AH309" si="725">E290+E273+E256</f>
        <v>0</v>
      </c>
      <c r="F309" s="36">
        <f t="shared" si="725"/>
        <v>0</v>
      </c>
      <c r="G309" s="36">
        <f t="shared" si="725"/>
        <v>0</v>
      </c>
      <c r="H309" s="36">
        <f t="shared" si="725"/>
        <v>0</v>
      </c>
      <c r="I309" s="36">
        <f t="shared" si="725"/>
        <v>0</v>
      </c>
      <c r="J309" s="36">
        <f t="shared" si="725"/>
        <v>0</v>
      </c>
      <c r="K309" s="36">
        <f t="shared" si="725"/>
        <v>0</v>
      </c>
      <c r="L309" s="36">
        <f t="shared" si="725"/>
        <v>0</v>
      </c>
      <c r="M309" s="36">
        <f t="shared" si="725"/>
        <v>0</v>
      </c>
      <c r="N309" s="36">
        <f t="shared" si="725"/>
        <v>0</v>
      </c>
      <c r="O309" s="36">
        <f t="shared" si="725"/>
        <v>0</v>
      </c>
      <c r="P309" s="36">
        <f t="shared" si="725"/>
        <v>0</v>
      </c>
      <c r="Q309" s="36">
        <f t="shared" si="725"/>
        <v>0</v>
      </c>
      <c r="R309" s="36">
        <f t="shared" si="725"/>
        <v>0</v>
      </c>
      <c r="S309" s="36">
        <f t="shared" si="725"/>
        <v>0</v>
      </c>
      <c r="T309" s="36">
        <f t="shared" si="725"/>
        <v>0</v>
      </c>
      <c r="U309" s="36">
        <f t="shared" si="725"/>
        <v>0</v>
      </c>
      <c r="V309" s="36">
        <f t="shared" si="725"/>
        <v>0</v>
      </c>
      <c r="W309" s="36">
        <f t="shared" si="725"/>
        <v>0</v>
      </c>
      <c r="X309" s="36">
        <f t="shared" si="725"/>
        <v>0</v>
      </c>
      <c r="Y309" s="36">
        <f t="shared" si="725"/>
        <v>0</v>
      </c>
      <c r="Z309" s="36">
        <f t="shared" si="725"/>
        <v>0</v>
      </c>
      <c r="AA309" s="36">
        <f t="shared" si="725"/>
        <v>0</v>
      </c>
      <c r="AB309" s="36">
        <f t="shared" si="725"/>
        <v>0</v>
      </c>
      <c r="AC309" s="36">
        <f t="shared" si="725"/>
        <v>0</v>
      </c>
      <c r="AD309" s="36">
        <f t="shared" si="725"/>
        <v>0</v>
      </c>
      <c r="AE309" s="36">
        <f t="shared" si="725"/>
        <v>0</v>
      </c>
      <c r="AF309" s="36">
        <f t="shared" si="725"/>
        <v>0</v>
      </c>
      <c r="AG309" s="36">
        <f t="shared" si="725"/>
        <v>0</v>
      </c>
      <c r="AH309" s="36">
        <f t="shared" si="725"/>
        <v>0</v>
      </c>
      <c r="BH309" s="2" t="s">
        <v>577</v>
      </c>
      <c r="BI309" s="2">
        <v>2000</v>
      </c>
      <c r="BJ309" s="2">
        <v>500</v>
      </c>
      <c r="BN309" s="2">
        <v>1193</v>
      </c>
    </row>
    <row r="310" spans="2:66">
      <c r="B310" s="48" t="s">
        <v>585</v>
      </c>
      <c r="C310" s="49"/>
      <c r="D310" s="36">
        <f>D309</f>
        <v>0</v>
      </c>
      <c r="E310" s="36">
        <f>D310+E309</f>
        <v>0</v>
      </c>
      <c r="F310" s="36">
        <f>E310+F309</f>
        <v>0</v>
      </c>
      <c r="G310" s="36">
        <f>F310+G309</f>
        <v>0</v>
      </c>
      <c r="H310" s="36">
        <f>G310+H309</f>
        <v>0</v>
      </c>
      <c r="I310" s="36">
        <f t="shared" ref="I310" si="726">H310+I309</f>
        <v>0</v>
      </c>
      <c r="J310" s="36">
        <f>I310+J309</f>
        <v>0</v>
      </c>
      <c r="K310" s="36">
        <f t="shared" ref="K310" si="727">J310+K309</f>
        <v>0</v>
      </c>
      <c r="L310" s="36">
        <f t="shared" ref="L310" si="728">K310+L309</f>
        <v>0</v>
      </c>
      <c r="M310" s="36">
        <f t="shared" ref="M310" si="729">L310+M309</f>
        <v>0</v>
      </c>
      <c r="N310" s="36">
        <f t="shared" ref="N310" si="730">M310+N309</f>
        <v>0</v>
      </c>
      <c r="O310" s="36">
        <f t="shared" ref="O310" si="731">N310+O309</f>
        <v>0</v>
      </c>
      <c r="P310" s="36">
        <f t="shared" ref="P310" si="732">O310+P309</f>
        <v>0</v>
      </c>
      <c r="Q310" s="36">
        <f t="shared" ref="Q310" si="733">P310+Q309</f>
        <v>0</v>
      </c>
      <c r="R310" s="36">
        <f t="shared" ref="R310" si="734">Q310+R309</f>
        <v>0</v>
      </c>
      <c r="S310" s="36">
        <f t="shared" ref="S310" si="735">R310+S309</f>
        <v>0</v>
      </c>
      <c r="T310" s="36">
        <f t="shared" ref="T310" si="736">S310+T309</f>
        <v>0</v>
      </c>
      <c r="U310" s="36">
        <f t="shared" ref="U310" si="737">T310+U309</f>
        <v>0</v>
      </c>
      <c r="V310" s="36">
        <f t="shared" ref="V310" si="738">U310+V309</f>
        <v>0</v>
      </c>
      <c r="W310" s="36">
        <f t="shared" ref="W310" si="739">V310+W309</f>
        <v>0</v>
      </c>
      <c r="X310" s="36">
        <f t="shared" ref="X310" si="740">W310+X309</f>
        <v>0</v>
      </c>
      <c r="Y310" s="36">
        <f t="shared" ref="Y310" si="741">X310+Y309</f>
        <v>0</v>
      </c>
      <c r="Z310" s="36">
        <f t="shared" ref="Z310" si="742">Y310+Z309</f>
        <v>0</v>
      </c>
      <c r="AA310" s="36">
        <f t="shared" ref="AA310" si="743">Z310+AA309</f>
        <v>0</v>
      </c>
      <c r="AB310" s="36">
        <f t="shared" ref="AB310" si="744">AA310+AB309</f>
        <v>0</v>
      </c>
      <c r="AC310" s="36">
        <f t="shared" ref="AC310" si="745">AB310+AC309</f>
        <v>0</v>
      </c>
      <c r="AD310" s="36">
        <f t="shared" ref="AD310" si="746">AC310+AD309</f>
        <v>0</v>
      </c>
      <c r="AE310" s="36">
        <f t="shared" ref="AE310" si="747">AD310+AE309</f>
        <v>0</v>
      </c>
      <c r="AF310" s="36">
        <f>AE310+AF309</f>
        <v>0</v>
      </c>
      <c r="AG310" s="36">
        <f t="shared" ref="AG310" si="748">AF310+AG309</f>
        <v>0</v>
      </c>
      <c r="AH310" s="36">
        <f t="shared" ref="AH310" si="749">AG310+AH309</f>
        <v>0</v>
      </c>
      <c r="BH310" s="2" t="s">
        <v>577</v>
      </c>
      <c r="BI310" s="2">
        <v>2200</v>
      </c>
      <c r="BJ310" s="2">
        <v>500</v>
      </c>
      <c r="BN310" s="2">
        <v>1313</v>
      </c>
    </row>
    <row r="311" spans="2:66">
      <c r="B311" s="48" t="s">
        <v>586</v>
      </c>
      <c r="C311" s="49"/>
      <c r="D311" s="50">
        <f>IF(D304=0,0,D309/D304)</f>
        <v>0</v>
      </c>
      <c r="E311" s="50">
        <f t="shared" ref="E311:AH311" si="750">IF(E304=0,0,E309/E304)</f>
        <v>0</v>
      </c>
      <c r="F311" s="50">
        <f t="shared" si="750"/>
        <v>0</v>
      </c>
      <c r="G311" s="50">
        <f t="shared" si="750"/>
        <v>0</v>
      </c>
      <c r="H311" s="50">
        <f t="shared" si="750"/>
        <v>0</v>
      </c>
      <c r="I311" s="50">
        <f t="shared" si="750"/>
        <v>0</v>
      </c>
      <c r="J311" s="50">
        <f t="shared" si="750"/>
        <v>0</v>
      </c>
      <c r="K311" s="50">
        <f t="shared" si="750"/>
        <v>0</v>
      </c>
      <c r="L311" s="50">
        <f t="shared" si="750"/>
        <v>0</v>
      </c>
      <c r="M311" s="50">
        <f t="shared" si="750"/>
        <v>0</v>
      </c>
      <c r="N311" s="50">
        <f t="shared" si="750"/>
        <v>0</v>
      </c>
      <c r="O311" s="50">
        <f t="shared" si="750"/>
        <v>0</v>
      </c>
      <c r="P311" s="50">
        <f t="shared" si="750"/>
        <v>0</v>
      </c>
      <c r="Q311" s="50">
        <f t="shared" si="750"/>
        <v>0</v>
      </c>
      <c r="R311" s="50">
        <f t="shared" si="750"/>
        <v>0</v>
      </c>
      <c r="S311" s="50">
        <f t="shared" si="750"/>
        <v>0</v>
      </c>
      <c r="T311" s="50">
        <f t="shared" si="750"/>
        <v>0</v>
      </c>
      <c r="U311" s="50">
        <f t="shared" si="750"/>
        <v>0</v>
      </c>
      <c r="V311" s="50">
        <f t="shared" si="750"/>
        <v>0</v>
      </c>
      <c r="W311" s="50">
        <f t="shared" si="750"/>
        <v>0</v>
      </c>
      <c r="X311" s="50">
        <f t="shared" si="750"/>
        <v>0</v>
      </c>
      <c r="Y311" s="50">
        <f t="shared" si="750"/>
        <v>0</v>
      </c>
      <c r="Z311" s="50">
        <f t="shared" si="750"/>
        <v>0</v>
      </c>
      <c r="AA311" s="50">
        <f t="shared" si="750"/>
        <v>0</v>
      </c>
      <c r="AB311" s="50">
        <f t="shared" si="750"/>
        <v>0</v>
      </c>
      <c r="AC311" s="50">
        <f t="shared" si="750"/>
        <v>0</v>
      </c>
      <c r="AD311" s="50">
        <f t="shared" si="750"/>
        <v>0</v>
      </c>
      <c r="AE311" s="50">
        <f t="shared" si="750"/>
        <v>0</v>
      </c>
      <c r="AF311" s="50">
        <f t="shared" si="750"/>
        <v>0</v>
      </c>
      <c r="AG311" s="50">
        <f t="shared" si="750"/>
        <v>0</v>
      </c>
      <c r="AH311" s="50">
        <f t="shared" si="750"/>
        <v>0</v>
      </c>
      <c r="BH311" s="2" t="s">
        <v>577</v>
      </c>
      <c r="BI311" s="2">
        <v>2300</v>
      </c>
      <c r="BJ311" s="2">
        <v>500</v>
      </c>
      <c r="BN311" s="2">
        <v>1334</v>
      </c>
    </row>
    <row r="312" spans="2:66">
      <c r="B312" s="48"/>
      <c r="C312" s="49"/>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BH312" s="2" t="s">
        <v>577</v>
      </c>
      <c r="BI312" s="2">
        <v>2600</v>
      </c>
      <c r="BJ312" s="2">
        <v>500</v>
      </c>
      <c r="BN312" s="2">
        <v>1508</v>
      </c>
    </row>
    <row r="313" spans="2:66">
      <c r="B313" s="31" t="s">
        <v>587</v>
      </c>
      <c r="C313" s="32"/>
      <c r="D313" s="36">
        <f>D293+D276+D259</f>
        <v>0</v>
      </c>
      <c r="E313" s="36">
        <f t="shared" ref="E313:AH313" si="751">E293+E276+E259</f>
        <v>0</v>
      </c>
      <c r="F313" s="36">
        <f t="shared" si="751"/>
        <v>0</v>
      </c>
      <c r="G313" s="36">
        <f t="shared" si="751"/>
        <v>0</v>
      </c>
      <c r="H313" s="36">
        <f t="shared" si="751"/>
        <v>0</v>
      </c>
      <c r="I313" s="36">
        <f t="shared" si="751"/>
        <v>0</v>
      </c>
      <c r="J313" s="36">
        <f t="shared" si="751"/>
        <v>0</v>
      </c>
      <c r="K313" s="36">
        <f t="shared" si="751"/>
        <v>0</v>
      </c>
      <c r="L313" s="36">
        <f t="shared" si="751"/>
        <v>0</v>
      </c>
      <c r="M313" s="36">
        <f t="shared" si="751"/>
        <v>0</v>
      </c>
      <c r="N313" s="36">
        <f t="shared" si="751"/>
        <v>0</v>
      </c>
      <c r="O313" s="36">
        <f t="shared" si="751"/>
        <v>0</v>
      </c>
      <c r="P313" s="36">
        <f t="shared" si="751"/>
        <v>0</v>
      </c>
      <c r="Q313" s="36">
        <f t="shared" si="751"/>
        <v>0</v>
      </c>
      <c r="R313" s="36">
        <f t="shared" si="751"/>
        <v>0</v>
      </c>
      <c r="S313" s="36">
        <f t="shared" si="751"/>
        <v>0</v>
      </c>
      <c r="T313" s="36">
        <f t="shared" si="751"/>
        <v>0</v>
      </c>
      <c r="U313" s="36">
        <f t="shared" si="751"/>
        <v>0</v>
      </c>
      <c r="V313" s="36">
        <f t="shared" si="751"/>
        <v>0</v>
      </c>
      <c r="W313" s="36">
        <f t="shared" si="751"/>
        <v>0</v>
      </c>
      <c r="X313" s="36">
        <f t="shared" si="751"/>
        <v>0</v>
      </c>
      <c r="Y313" s="36">
        <f t="shared" si="751"/>
        <v>0</v>
      </c>
      <c r="Z313" s="36">
        <f t="shared" si="751"/>
        <v>0</v>
      </c>
      <c r="AA313" s="36">
        <f t="shared" si="751"/>
        <v>0</v>
      </c>
      <c r="AB313" s="36">
        <f t="shared" si="751"/>
        <v>0</v>
      </c>
      <c r="AC313" s="36">
        <f t="shared" si="751"/>
        <v>0</v>
      </c>
      <c r="AD313" s="36">
        <f t="shared" si="751"/>
        <v>0</v>
      </c>
      <c r="AE313" s="36">
        <f t="shared" si="751"/>
        <v>0</v>
      </c>
      <c r="AF313" s="36">
        <f t="shared" si="751"/>
        <v>0</v>
      </c>
      <c r="AG313" s="36">
        <f t="shared" si="751"/>
        <v>0</v>
      </c>
      <c r="AH313" s="36">
        <f t="shared" si="751"/>
        <v>0</v>
      </c>
      <c r="BH313" s="2" t="s">
        <v>577</v>
      </c>
      <c r="BI313" s="2">
        <v>3000</v>
      </c>
      <c r="BJ313" s="2">
        <v>500</v>
      </c>
      <c r="BN313" s="2">
        <v>1740</v>
      </c>
    </row>
    <row r="314" spans="2:66">
      <c r="B314" s="38" t="s">
        <v>554</v>
      </c>
      <c r="C314" s="39"/>
      <c r="D314" s="33">
        <f>IF(D304=0,0,D313/D304)</f>
        <v>0</v>
      </c>
      <c r="E314" s="33">
        <f t="shared" ref="E314:AH314" si="752">IF(E304=0,0,E313/E304)</f>
        <v>0</v>
      </c>
      <c r="F314" s="33">
        <f t="shared" si="752"/>
        <v>0</v>
      </c>
      <c r="G314" s="33">
        <f t="shared" si="752"/>
        <v>0</v>
      </c>
      <c r="H314" s="33">
        <f t="shared" si="752"/>
        <v>0</v>
      </c>
      <c r="I314" s="33">
        <f t="shared" si="752"/>
        <v>0</v>
      </c>
      <c r="J314" s="33">
        <f t="shared" si="752"/>
        <v>0</v>
      </c>
      <c r="K314" s="33">
        <f t="shared" si="752"/>
        <v>0</v>
      </c>
      <c r="L314" s="33">
        <f t="shared" si="752"/>
        <v>0</v>
      </c>
      <c r="M314" s="33">
        <f t="shared" si="752"/>
        <v>0</v>
      </c>
      <c r="N314" s="33">
        <f t="shared" si="752"/>
        <v>0</v>
      </c>
      <c r="O314" s="33">
        <f t="shared" si="752"/>
        <v>0</v>
      </c>
      <c r="P314" s="33">
        <f t="shared" si="752"/>
        <v>0</v>
      </c>
      <c r="Q314" s="33">
        <f t="shared" si="752"/>
        <v>0</v>
      </c>
      <c r="R314" s="33">
        <f t="shared" si="752"/>
        <v>0</v>
      </c>
      <c r="S314" s="33">
        <f t="shared" si="752"/>
        <v>0</v>
      </c>
      <c r="T314" s="33">
        <f t="shared" si="752"/>
        <v>0</v>
      </c>
      <c r="U314" s="33">
        <f t="shared" si="752"/>
        <v>0</v>
      </c>
      <c r="V314" s="33">
        <f t="shared" si="752"/>
        <v>0</v>
      </c>
      <c r="W314" s="33">
        <f t="shared" si="752"/>
        <v>0</v>
      </c>
      <c r="X314" s="33">
        <f t="shared" si="752"/>
        <v>0</v>
      </c>
      <c r="Y314" s="33">
        <f t="shared" si="752"/>
        <v>0</v>
      </c>
      <c r="Z314" s="33">
        <f t="shared" si="752"/>
        <v>0</v>
      </c>
      <c r="AA314" s="33">
        <f t="shared" si="752"/>
        <v>0</v>
      </c>
      <c r="AB314" s="33">
        <f t="shared" si="752"/>
        <v>0</v>
      </c>
      <c r="AC314" s="33">
        <f t="shared" si="752"/>
        <v>0</v>
      </c>
      <c r="AD314" s="33">
        <f t="shared" si="752"/>
        <v>0</v>
      </c>
      <c r="AE314" s="33">
        <f t="shared" si="752"/>
        <v>0</v>
      </c>
      <c r="AF314" s="33">
        <f t="shared" si="752"/>
        <v>0</v>
      </c>
      <c r="AG314" s="33">
        <f t="shared" si="752"/>
        <v>0</v>
      </c>
      <c r="AH314" s="33">
        <f t="shared" si="752"/>
        <v>0</v>
      </c>
      <c r="BH314" s="2" t="s">
        <v>577</v>
      </c>
      <c r="BI314" s="2">
        <v>400</v>
      </c>
      <c r="BJ314" s="2">
        <v>600</v>
      </c>
      <c r="BN314" s="2">
        <v>273</v>
      </c>
    </row>
    <row r="315" spans="2:66">
      <c r="B315" s="38"/>
      <c r="C315" s="39"/>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BH315" s="2" t="s">
        <v>577</v>
      </c>
      <c r="BI315" s="2">
        <v>500</v>
      </c>
      <c r="BJ315" s="2">
        <v>600</v>
      </c>
      <c r="BN315" s="2">
        <v>341</v>
      </c>
    </row>
    <row r="316" spans="2:66">
      <c r="B316" s="31" t="s">
        <v>555</v>
      </c>
      <c r="C316" s="32"/>
      <c r="D316" s="36">
        <f>D309+D313</f>
        <v>0</v>
      </c>
      <c r="E316" s="36">
        <f t="shared" ref="E316:AH316" si="753">E309+E313</f>
        <v>0</v>
      </c>
      <c r="F316" s="36">
        <f t="shared" si="753"/>
        <v>0</v>
      </c>
      <c r="G316" s="36">
        <f t="shared" si="753"/>
        <v>0</v>
      </c>
      <c r="H316" s="36">
        <f t="shared" si="753"/>
        <v>0</v>
      </c>
      <c r="I316" s="36">
        <f t="shared" si="753"/>
        <v>0</v>
      </c>
      <c r="J316" s="36">
        <f t="shared" si="753"/>
        <v>0</v>
      </c>
      <c r="K316" s="36">
        <f t="shared" si="753"/>
        <v>0</v>
      </c>
      <c r="L316" s="36">
        <f t="shared" si="753"/>
        <v>0</v>
      </c>
      <c r="M316" s="36">
        <f t="shared" si="753"/>
        <v>0</v>
      </c>
      <c r="N316" s="36">
        <f t="shared" si="753"/>
        <v>0</v>
      </c>
      <c r="O316" s="36">
        <f t="shared" si="753"/>
        <v>0</v>
      </c>
      <c r="P316" s="36">
        <f t="shared" si="753"/>
        <v>0</v>
      </c>
      <c r="Q316" s="36">
        <f t="shared" si="753"/>
        <v>0</v>
      </c>
      <c r="R316" s="36">
        <f t="shared" si="753"/>
        <v>0</v>
      </c>
      <c r="S316" s="36">
        <f t="shared" si="753"/>
        <v>0</v>
      </c>
      <c r="T316" s="36">
        <f t="shared" si="753"/>
        <v>0</v>
      </c>
      <c r="U316" s="36">
        <f t="shared" si="753"/>
        <v>0</v>
      </c>
      <c r="V316" s="36">
        <f t="shared" si="753"/>
        <v>0</v>
      </c>
      <c r="W316" s="36">
        <f t="shared" si="753"/>
        <v>0</v>
      </c>
      <c r="X316" s="36">
        <f t="shared" si="753"/>
        <v>0</v>
      </c>
      <c r="Y316" s="36">
        <f t="shared" si="753"/>
        <v>0</v>
      </c>
      <c r="Z316" s="36">
        <f t="shared" si="753"/>
        <v>0</v>
      </c>
      <c r="AA316" s="36">
        <f t="shared" si="753"/>
        <v>0</v>
      </c>
      <c r="AB316" s="36">
        <f t="shared" si="753"/>
        <v>0</v>
      </c>
      <c r="AC316" s="36">
        <f t="shared" si="753"/>
        <v>0</v>
      </c>
      <c r="AD316" s="36">
        <f t="shared" si="753"/>
        <v>0</v>
      </c>
      <c r="AE316" s="36">
        <f t="shared" si="753"/>
        <v>0</v>
      </c>
      <c r="AF316" s="36">
        <f t="shared" si="753"/>
        <v>0</v>
      </c>
      <c r="AG316" s="36">
        <f t="shared" si="753"/>
        <v>0</v>
      </c>
      <c r="AH316" s="36">
        <f t="shared" si="753"/>
        <v>0</v>
      </c>
      <c r="BH316" s="2" t="s">
        <v>577</v>
      </c>
      <c r="BI316" s="2">
        <v>600</v>
      </c>
      <c r="BJ316" s="2">
        <v>600</v>
      </c>
      <c r="BN316" s="2">
        <v>409</v>
      </c>
    </row>
    <row r="317" spans="2:66">
      <c r="B317" s="31" t="s">
        <v>557</v>
      </c>
      <c r="C317" s="32"/>
      <c r="D317" s="36">
        <f>D304-D313</f>
        <v>0</v>
      </c>
      <c r="E317" s="36">
        <f t="shared" ref="E317:AH317" si="754">E304-E313</f>
        <v>0</v>
      </c>
      <c r="F317" s="36">
        <f t="shared" si="754"/>
        <v>0</v>
      </c>
      <c r="G317" s="36">
        <f t="shared" si="754"/>
        <v>0</v>
      </c>
      <c r="H317" s="36">
        <f t="shared" si="754"/>
        <v>0</v>
      </c>
      <c r="I317" s="36">
        <f t="shared" si="754"/>
        <v>0</v>
      </c>
      <c r="J317" s="36">
        <f t="shared" si="754"/>
        <v>0</v>
      </c>
      <c r="K317" s="36">
        <f t="shared" si="754"/>
        <v>0</v>
      </c>
      <c r="L317" s="36">
        <f t="shared" si="754"/>
        <v>0</v>
      </c>
      <c r="M317" s="36">
        <f t="shared" si="754"/>
        <v>0</v>
      </c>
      <c r="N317" s="36">
        <f t="shared" si="754"/>
        <v>0</v>
      </c>
      <c r="O317" s="36">
        <f t="shared" si="754"/>
        <v>0</v>
      </c>
      <c r="P317" s="36">
        <f t="shared" si="754"/>
        <v>0</v>
      </c>
      <c r="Q317" s="36">
        <f t="shared" si="754"/>
        <v>0</v>
      </c>
      <c r="R317" s="36">
        <f t="shared" si="754"/>
        <v>0</v>
      </c>
      <c r="S317" s="36">
        <f t="shared" si="754"/>
        <v>0</v>
      </c>
      <c r="T317" s="36">
        <f t="shared" si="754"/>
        <v>0</v>
      </c>
      <c r="U317" s="36">
        <f t="shared" si="754"/>
        <v>0</v>
      </c>
      <c r="V317" s="36">
        <f t="shared" si="754"/>
        <v>0</v>
      </c>
      <c r="W317" s="36">
        <f t="shared" si="754"/>
        <v>0</v>
      </c>
      <c r="X317" s="36">
        <f t="shared" si="754"/>
        <v>0</v>
      </c>
      <c r="Y317" s="36">
        <f t="shared" si="754"/>
        <v>0</v>
      </c>
      <c r="Z317" s="36">
        <f t="shared" si="754"/>
        <v>0</v>
      </c>
      <c r="AA317" s="36">
        <f t="shared" si="754"/>
        <v>0</v>
      </c>
      <c r="AB317" s="36">
        <f t="shared" si="754"/>
        <v>0</v>
      </c>
      <c r="AC317" s="36">
        <f t="shared" si="754"/>
        <v>0</v>
      </c>
      <c r="AD317" s="36">
        <f t="shared" si="754"/>
        <v>0</v>
      </c>
      <c r="AE317" s="36">
        <f t="shared" si="754"/>
        <v>0</v>
      </c>
      <c r="AF317" s="36">
        <f t="shared" si="754"/>
        <v>0</v>
      </c>
      <c r="AG317" s="36">
        <f t="shared" si="754"/>
        <v>0</v>
      </c>
      <c r="AH317" s="36">
        <f t="shared" si="754"/>
        <v>0</v>
      </c>
      <c r="BH317" s="2" t="s">
        <v>577</v>
      </c>
      <c r="BI317" s="2">
        <v>700</v>
      </c>
      <c r="BJ317" s="2">
        <v>600</v>
      </c>
      <c r="BN317" s="2">
        <v>478</v>
      </c>
    </row>
    <row r="318" spans="2:66" ht="17.399999999999999" thickBot="1">
      <c r="B318" s="40" t="s">
        <v>558</v>
      </c>
      <c r="C318" s="41"/>
      <c r="D318" s="42">
        <f>D316/12</f>
        <v>0</v>
      </c>
      <c r="E318" s="42">
        <f t="shared" ref="E318:AH318" si="755">E316/12</f>
        <v>0</v>
      </c>
      <c r="F318" s="42">
        <f t="shared" si="755"/>
        <v>0</v>
      </c>
      <c r="G318" s="42">
        <f t="shared" si="755"/>
        <v>0</v>
      </c>
      <c r="H318" s="42">
        <f t="shared" si="755"/>
        <v>0</v>
      </c>
      <c r="I318" s="42">
        <f t="shared" si="755"/>
        <v>0</v>
      </c>
      <c r="J318" s="42">
        <f t="shared" si="755"/>
        <v>0</v>
      </c>
      <c r="K318" s="42">
        <f t="shared" si="755"/>
        <v>0</v>
      </c>
      <c r="L318" s="42">
        <f t="shared" si="755"/>
        <v>0</v>
      </c>
      <c r="M318" s="42">
        <f t="shared" si="755"/>
        <v>0</v>
      </c>
      <c r="N318" s="42">
        <f t="shared" si="755"/>
        <v>0</v>
      </c>
      <c r="O318" s="42">
        <f t="shared" si="755"/>
        <v>0</v>
      </c>
      <c r="P318" s="42">
        <f t="shared" si="755"/>
        <v>0</v>
      </c>
      <c r="Q318" s="42">
        <f t="shared" si="755"/>
        <v>0</v>
      </c>
      <c r="R318" s="42">
        <f t="shared" si="755"/>
        <v>0</v>
      </c>
      <c r="S318" s="42">
        <f t="shared" si="755"/>
        <v>0</v>
      </c>
      <c r="T318" s="42">
        <f t="shared" si="755"/>
        <v>0</v>
      </c>
      <c r="U318" s="42">
        <f t="shared" si="755"/>
        <v>0</v>
      </c>
      <c r="V318" s="42">
        <f t="shared" si="755"/>
        <v>0</v>
      </c>
      <c r="W318" s="42">
        <f t="shared" si="755"/>
        <v>0</v>
      </c>
      <c r="X318" s="42">
        <f t="shared" si="755"/>
        <v>0</v>
      </c>
      <c r="Y318" s="42">
        <f t="shared" si="755"/>
        <v>0</v>
      </c>
      <c r="Z318" s="42">
        <f t="shared" si="755"/>
        <v>0</v>
      </c>
      <c r="AA318" s="42">
        <f t="shared" si="755"/>
        <v>0</v>
      </c>
      <c r="AB318" s="42">
        <f t="shared" si="755"/>
        <v>0</v>
      </c>
      <c r="AC318" s="42">
        <f t="shared" si="755"/>
        <v>0</v>
      </c>
      <c r="AD318" s="42">
        <f t="shared" si="755"/>
        <v>0</v>
      </c>
      <c r="AE318" s="42">
        <f t="shared" si="755"/>
        <v>0</v>
      </c>
      <c r="AF318" s="42">
        <f t="shared" si="755"/>
        <v>0</v>
      </c>
      <c r="AG318" s="42">
        <f t="shared" si="755"/>
        <v>0</v>
      </c>
      <c r="AH318" s="42">
        <f t="shared" si="755"/>
        <v>0</v>
      </c>
      <c r="BH318" s="2" t="s">
        <v>577</v>
      </c>
      <c r="BI318" s="2">
        <v>800</v>
      </c>
      <c r="BJ318" s="2">
        <v>600</v>
      </c>
      <c r="BN318" s="2">
        <v>546</v>
      </c>
    </row>
    <row r="319" spans="2:66">
      <c r="BH319" s="2" t="s">
        <v>577</v>
      </c>
      <c r="BI319" s="2">
        <v>900</v>
      </c>
      <c r="BJ319" s="2">
        <v>600</v>
      </c>
      <c r="BN319" s="2">
        <v>614</v>
      </c>
    </row>
    <row r="320" spans="2:66" ht="29.4">
      <c r="B320" s="534" t="s">
        <v>588</v>
      </c>
      <c r="BH320" s="2" t="s">
        <v>577</v>
      </c>
      <c r="BI320" s="2">
        <v>1000</v>
      </c>
      <c r="BJ320" s="2">
        <v>600</v>
      </c>
      <c r="BN320" s="2">
        <v>682</v>
      </c>
    </row>
    <row r="321" spans="2:66">
      <c r="B321" s="23" t="s">
        <v>589</v>
      </c>
      <c r="C321" s="23">
        <f>Allgemein!$C$142</f>
        <v>0.04</v>
      </c>
      <c r="E321" s="2" t="s">
        <v>590</v>
      </c>
      <c r="G321" s="2">
        <f>Allgemein!E86*Allgemein!$C$40</f>
        <v>0</v>
      </c>
      <c r="I321" s="2" t="s">
        <v>591</v>
      </c>
      <c r="J321" s="2">
        <f>_xlfn.XLOOKUP(Allgemein!C82,Heizungspositionen[Position Heizung],Heizungspositionen[Wärmepumpe:],,0,1)</f>
        <v>0</v>
      </c>
      <c r="M321" s="2" t="s">
        <v>592</v>
      </c>
      <c r="N321" s="1121">
        <f>0.65</f>
        <v>0.65</v>
      </c>
      <c r="O321" s="2" t="s">
        <v>593</v>
      </c>
      <c r="P321" s="185">
        <f>Allgemein!O38+IF(J321="Ja",Datenbank!G322,0)</f>
        <v>0</v>
      </c>
      <c r="Q321" s="2" t="s">
        <v>594</v>
      </c>
      <c r="S321" s="185" t="e" cm="1">
        <f t="array" ref="S321">P322-_xlfn.ANCHORARRAY(U321)</f>
        <v>#N/A</v>
      </c>
      <c r="T321" s="2" t="s">
        <v>235</v>
      </c>
      <c r="U321" s="2">
        <f>P321*N321</f>
        <v>0</v>
      </c>
      <c r="BH321" s="2" t="s">
        <v>577</v>
      </c>
      <c r="BI321" s="2">
        <v>1100</v>
      </c>
      <c r="BJ321" s="2">
        <v>600</v>
      </c>
      <c r="BN321" s="2">
        <v>750</v>
      </c>
    </row>
    <row r="322" spans="2:66">
      <c r="B322" s="51" t="s">
        <v>595</v>
      </c>
      <c r="C322" s="23">
        <f>Allgemein!$C$140</f>
        <v>0.02</v>
      </c>
      <c r="E322" s="2" t="s">
        <v>596</v>
      </c>
      <c r="G322" s="1120">
        <f>(G321*1.2+500*Allgemein!C16)/3.5</f>
        <v>0</v>
      </c>
      <c r="I322" s="2" t="s">
        <v>597</v>
      </c>
      <c r="J322" s="2" t="str">
        <f>IF(Allgemein!C83="-","Nein","Ja")</f>
        <v>Nein</v>
      </c>
      <c r="K322" s="186" t="str">
        <f>Allgemein!C83</f>
        <v>-</v>
      </c>
      <c r="M322" s="2" t="s">
        <v>598</v>
      </c>
      <c r="N322" s="23" t="e">
        <f>U321/P322</f>
        <v>#N/A</v>
      </c>
      <c r="O322" s="2" t="s">
        <v>599</v>
      </c>
      <c r="P322" s="2" t="e">
        <f>_xlfn.TEXTBEFORE(K322," ")*900</f>
        <v>#N/A</v>
      </c>
      <c r="Q322" s="2" t="s">
        <v>600</v>
      </c>
      <c r="S322" s="185">
        <f>P321-U321</f>
        <v>0</v>
      </c>
      <c r="BH322" s="2" t="s">
        <v>577</v>
      </c>
      <c r="BI322" s="2">
        <v>1200</v>
      </c>
      <c r="BJ322" s="2">
        <v>600</v>
      </c>
      <c r="BN322" s="2">
        <v>819</v>
      </c>
    </row>
    <row r="323" spans="2:66">
      <c r="B323" s="51"/>
      <c r="C323" s="51"/>
      <c r="D323" s="548"/>
      <c r="E323" s="548"/>
      <c r="F323" s="548"/>
      <c r="G323" s="548"/>
      <c r="H323" s="548"/>
      <c r="I323" s="548"/>
      <c r="J323" s="548"/>
      <c r="K323" s="548"/>
      <c r="L323" s="548"/>
      <c r="M323" s="548"/>
      <c r="N323" s="548"/>
      <c r="O323" s="548"/>
      <c r="P323" s="548"/>
      <c r="Q323" s="548"/>
      <c r="R323" s="548"/>
      <c r="S323" s="548"/>
      <c r="T323" s="548"/>
      <c r="U323" s="548"/>
      <c r="V323" s="548"/>
      <c r="W323" s="548"/>
      <c r="X323" s="548"/>
      <c r="Y323" s="548"/>
      <c r="Z323" s="548"/>
      <c r="AA323" s="548"/>
      <c r="AB323" s="548"/>
      <c r="AC323" s="548"/>
      <c r="AD323" s="548"/>
      <c r="AE323" s="548"/>
      <c r="AF323" s="548"/>
      <c r="AG323" s="548"/>
      <c r="AH323" s="548"/>
      <c r="BH323" s="2" t="s">
        <v>577</v>
      </c>
      <c r="BI323" s="2">
        <v>1400</v>
      </c>
      <c r="BJ323" s="2">
        <v>600</v>
      </c>
      <c r="BN323" s="2">
        <v>955</v>
      </c>
    </row>
    <row r="324" spans="2:66" ht="17.399999999999999" thickBot="1">
      <c r="B324" s="51"/>
      <c r="C324" s="23"/>
      <c r="BH324" s="2" t="s">
        <v>577</v>
      </c>
      <c r="BI324" s="2">
        <v>1600</v>
      </c>
      <c r="BJ324" s="2">
        <v>600</v>
      </c>
      <c r="BN324" s="2">
        <v>1091</v>
      </c>
    </row>
    <row r="325" spans="2:66" ht="19.2" thickBot="1">
      <c r="B325" s="94" t="s">
        <v>326</v>
      </c>
      <c r="C325" s="29"/>
      <c r="D325" s="52"/>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BH325" s="2" t="s">
        <v>577</v>
      </c>
      <c r="BI325" s="2">
        <v>1800</v>
      </c>
      <c r="BJ325" s="2">
        <v>600</v>
      </c>
      <c r="BN325" s="2">
        <v>1228</v>
      </c>
    </row>
    <row r="326" spans="2:66" ht="17.399999999999999" thickBot="1">
      <c r="B326" s="56"/>
      <c r="C326" s="57"/>
      <c r="D326" s="58">
        <v>1</v>
      </c>
      <c r="E326" s="59">
        <v>2</v>
      </c>
      <c r="F326" s="58">
        <v>3</v>
      </c>
      <c r="G326" s="58">
        <v>4</v>
      </c>
      <c r="H326" s="59">
        <v>5</v>
      </c>
      <c r="I326" s="58">
        <v>6</v>
      </c>
      <c r="J326" s="58">
        <v>7</v>
      </c>
      <c r="K326" s="59">
        <v>8</v>
      </c>
      <c r="L326" s="58">
        <v>9</v>
      </c>
      <c r="M326" s="58">
        <v>10</v>
      </c>
      <c r="N326" s="59">
        <v>11</v>
      </c>
      <c r="O326" s="58">
        <v>12</v>
      </c>
      <c r="P326" s="58">
        <v>13</v>
      </c>
      <c r="Q326" s="59">
        <v>14</v>
      </c>
      <c r="R326" s="58">
        <v>15</v>
      </c>
      <c r="S326" s="58">
        <v>16</v>
      </c>
      <c r="T326" s="59">
        <v>17</v>
      </c>
      <c r="U326" s="58">
        <v>18</v>
      </c>
      <c r="V326" s="58">
        <v>19</v>
      </c>
      <c r="W326" s="59">
        <v>20</v>
      </c>
      <c r="X326" s="58">
        <v>21</v>
      </c>
      <c r="Y326" s="58">
        <v>22</v>
      </c>
      <c r="Z326" s="59">
        <v>23</v>
      </c>
      <c r="AA326" s="58">
        <v>24</v>
      </c>
      <c r="AB326" s="58">
        <v>25</v>
      </c>
      <c r="AC326" s="59">
        <v>26</v>
      </c>
      <c r="AD326" s="58">
        <v>27</v>
      </c>
      <c r="AE326" s="58">
        <v>28</v>
      </c>
      <c r="AF326" s="59">
        <v>29</v>
      </c>
      <c r="AG326" s="60">
        <v>30</v>
      </c>
      <c r="AH326" s="95"/>
      <c r="AI326" s="95"/>
      <c r="AJ326" s="95"/>
      <c r="AK326" s="53"/>
      <c r="BH326" s="2" t="s">
        <v>577</v>
      </c>
      <c r="BI326" s="2">
        <v>2000</v>
      </c>
      <c r="BJ326" s="2">
        <v>600</v>
      </c>
      <c r="BN326" s="2">
        <v>1364</v>
      </c>
    </row>
    <row r="327" spans="2:66">
      <c r="B327" s="63" t="s">
        <v>601</v>
      </c>
      <c r="C327" s="53"/>
      <c r="D327" s="64" t="e">
        <f>Allgemein!K39</f>
        <v>#DIV/0!</v>
      </c>
      <c r="E327" s="64" t="e">
        <f t="shared" ref="E327:AG327" si="756">D327*(1+$C$95)</f>
        <v>#DIV/0!</v>
      </c>
      <c r="F327" s="64" t="e">
        <f t="shared" si="756"/>
        <v>#DIV/0!</v>
      </c>
      <c r="G327" s="64" t="e">
        <f t="shared" si="756"/>
        <v>#DIV/0!</v>
      </c>
      <c r="H327" s="64" t="e">
        <f t="shared" si="756"/>
        <v>#DIV/0!</v>
      </c>
      <c r="I327" s="64" t="e">
        <f t="shared" si="756"/>
        <v>#DIV/0!</v>
      </c>
      <c r="J327" s="64" t="e">
        <f t="shared" si="756"/>
        <v>#DIV/0!</v>
      </c>
      <c r="K327" s="64" t="e">
        <f t="shared" si="756"/>
        <v>#DIV/0!</v>
      </c>
      <c r="L327" s="64" t="e">
        <f t="shared" si="756"/>
        <v>#DIV/0!</v>
      </c>
      <c r="M327" s="64" t="e">
        <f t="shared" si="756"/>
        <v>#DIV/0!</v>
      </c>
      <c r="N327" s="64" t="e">
        <f t="shared" si="756"/>
        <v>#DIV/0!</v>
      </c>
      <c r="O327" s="64" t="e">
        <f t="shared" si="756"/>
        <v>#DIV/0!</v>
      </c>
      <c r="P327" s="64" t="e">
        <f t="shared" si="756"/>
        <v>#DIV/0!</v>
      </c>
      <c r="Q327" s="64" t="e">
        <f t="shared" si="756"/>
        <v>#DIV/0!</v>
      </c>
      <c r="R327" s="64" t="e">
        <f t="shared" si="756"/>
        <v>#DIV/0!</v>
      </c>
      <c r="S327" s="64" t="e">
        <f t="shared" si="756"/>
        <v>#DIV/0!</v>
      </c>
      <c r="T327" s="64" t="e">
        <f t="shared" si="756"/>
        <v>#DIV/0!</v>
      </c>
      <c r="U327" s="64" t="e">
        <f t="shared" si="756"/>
        <v>#DIV/0!</v>
      </c>
      <c r="V327" s="64" t="e">
        <f t="shared" si="756"/>
        <v>#DIV/0!</v>
      </c>
      <c r="W327" s="64" t="e">
        <f t="shared" si="756"/>
        <v>#DIV/0!</v>
      </c>
      <c r="X327" s="64" t="e">
        <f t="shared" si="756"/>
        <v>#DIV/0!</v>
      </c>
      <c r="Y327" s="64" t="e">
        <f t="shared" si="756"/>
        <v>#DIV/0!</v>
      </c>
      <c r="Z327" s="64" t="e">
        <f t="shared" si="756"/>
        <v>#DIV/0!</v>
      </c>
      <c r="AA327" s="64" t="e">
        <f t="shared" si="756"/>
        <v>#DIV/0!</v>
      </c>
      <c r="AB327" s="64" t="e">
        <f t="shared" si="756"/>
        <v>#DIV/0!</v>
      </c>
      <c r="AC327" s="64" t="e">
        <f t="shared" si="756"/>
        <v>#DIV/0!</v>
      </c>
      <c r="AD327" s="64" t="e">
        <f t="shared" si="756"/>
        <v>#DIV/0!</v>
      </c>
      <c r="AE327" s="64" t="e">
        <f t="shared" si="756"/>
        <v>#DIV/0!</v>
      </c>
      <c r="AF327" s="64" t="e">
        <f t="shared" si="756"/>
        <v>#DIV/0!</v>
      </c>
      <c r="AG327" s="65" t="e">
        <f t="shared" si="756"/>
        <v>#DIV/0!</v>
      </c>
      <c r="AK327" s="47"/>
      <c r="BH327" s="2" t="s">
        <v>577</v>
      </c>
      <c r="BI327" s="2">
        <v>2200</v>
      </c>
      <c r="BJ327" s="2">
        <v>600</v>
      </c>
      <c r="BN327" s="2">
        <v>1501</v>
      </c>
    </row>
    <row r="328" spans="2:66" ht="18.600000000000001">
      <c r="B328" s="46" t="s">
        <v>602</v>
      </c>
      <c r="C328" s="47"/>
      <c r="D328" s="75">
        <f>Allgemein!O14</f>
        <v>0</v>
      </c>
      <c r="E328" s="75">
        <f>D328*(1+$C$205)</f>
        <v>0</v>
      </c>
      <c r="F328" s="75">
        <f t="shared" ref="F328:AG328" si="757">E328*(1+$C$205)</f>
        <v>0</v>
      </c>
      <c r="G328" s="75">
        <f t="shared" si="757"/>
        <v>0</v>
      </c>
      <c r="H328" s="75">
        <f t="shared" si="757"/>
        <v>0</v>
      </c>
      <c r="I328" s="75">
        <f t="shared" si="757"/>
        <v>0</v>
      </c>
      <c r="J328" s="75">
        <f t="shared" si="757"/>
        <v>0</v>
      </c>
      <c r="K328" s="75">
        <f t="shared" si="757"/>
        <v>0</v>
      </c>
      <c r="L328" s="75">
        <f t="shared" si="757"/>
        <v>0</v>
      </c>
      <c r="M328" s="75">
        <f t="shared" si="757"/>
        <v>0</v>
      </c>
      <c r="N328" s="75">
        <f t="shared" si="757"/>
        <v>0</v>
      </c>
      <c r="O328" s="75">
        <f t="shared" si="757"/>
        <v>0</v>
      </c>
      <c r="P328" s="75">
        <f t="shared" si="757"/>
        <v>0</v>
      </c>
      <c r="Q328" s="75">
        <f t="shared" si="757"/>
        <v>0</v>
      </c>
      <c r="R328" s="75">
        <f t="shared" si="757"/>
        <v>0</v>
      </c>
      <c r="S328" s="75">
        <f t="shared" si="757"/>
        <v>0</v>
      </c>
      <c r="T328" s="75">
        <f t="shared" si="757"/>
        <v>0</v>
      </c>
      <c r="U328" s="75">
        <f t="shared" si="757"/>
        <v>0</v>
      </c>
      <c r="V328" s="75">
        <f t="shared" si="757"/>
        <v>0</v>
      </c>
      <c r="W328" s="75">
        <f t="shared" si="757"/>
        <v>0</v>
      </c>
      <c r="X328" s="75">
        <f t="shared" si="757"/>
        <v>0</v>
      </c>
      <c r="Y328" s="75">
        <f t="shared" si="757"/>
        <v>0</v>
      </c>
      <c r="Z328" s="75">
        <f t="shared" si="757"/>
        <v>0</v>
      </c>
      <c r="AA328" s="75">
        <f t="shared" si="757"/>
        <v>0</v>
      </c>
      <c r="AB328" s="75">
        <f t="shared" si="757"/>
        <v>0</v>
      </c>
      <c r="AC328" s="75">
        <f t="shared" si="757"/>
        <v>0</v>
      </c>
      <c r="AD328" s="75">
        <f t="shared" si="757"/>
        <v>0</v>
      </c>
      <c r="AE328" s="75">
        <f t="shared" si="757"/>
        <v>0</v>
      </c>
      <c r="AF328" s="75">
        <f t="shared" si="757"/>
        <v>0</v>
      </c>
      <c r="AG328" s="75">
        <f t="shared" si="757"/>
        <v>0</v>
      </c>
      <c r="AH328" s="895"/>
      <c r="AI328" s="62" t="s">
        <v>79</v>
      </c>
      <c r="AJ328" s="62" t="s">
        <v>603</v>
      </c>
      <c r="AK328" s="47"/>
      <c r="AN328" s="2" t="s">
        <v>328</v>
      </c>
      <c r="AO328" s="2" t="s">
        <v>329</v>
      </c>
      <c r="BH328" s="2" t="s">
        <v>577</v>
      </c>
      <c r="BI328" s="2">
        <v>2300</v>
      </c>
      <c r="BJ328" s="2">
        <v>600</v>
      </c>
      <c r="BN328" s="2">
        <v>1532</v>
      </c>
    </row>
    <row r="329" spans="2:66" ht="18.600000000000001">
      <c r="B329" s="96" t="s">
        <v>366</v>
      </c>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79" t="s">
        <v>366</v>
      </c>
      <c r="AJ329" s="11"/>
      <c r="AK329" s="100"/>
      <c r="AM329" s="2" t="s">
        <v>150</v>
      </c>
      <c r="AO329" s="24">
        <f>Allgemein!$G$85</f>
        <v>0</v>
      </c>
      <c r="BH329" s="2" t="s">
        <v>577</v>
      </c>
      <c r="BI329" s="2">
        <v>2600</v>
      </c>
      <c r="BJ329" s="2">
        <v>600</v>
      </c>
      <c r="BN329" s="2">
        <v>1732</v>
      </c>
    </row>
    <row r="330" spans="2:66">
      <c r="B330" s="46" t="s">
        <v>604</v>
      </c>
      <c r="D330" s="54">
        <f>Allgemein!$L$14*D328</f>
        <v>0</v>
      </c>
      <c r="E330" s="54">
        <f>Allgemein!$L$14*E328</f>
        <v>0</v>
      </c>
      <c r="F330" s="54">
        <f>Allgemein!$L$14*F328</f>
        <v>0</v>
      </c>
      <c r="G330" s="54">
        <f>Allgemein!$L$14*G328</f>
        <v>0</v>
      </c>
      <c r="H330" s="54">
        <f>Allgemein!$L$14*H328</f>
        <v>0</v>
      </c>
      <c r="I330" s="54">
        <f>Allgemein!$L$14*I328</f>
        <v>0</v>
      </c>
      <c r="J330" s="54">
        <f>Allgemein!$L$14*J328</f>
        <v>0</v>
      </c>
      <c r="K330" s="54">
        <f>Allgemein!$L$14*K328</f>
        <v>0</v>
      </c>
      <c r="L330" s="54">
        <f>Allgemein!$L$14*L328</f>
        <v>0</v>
      </c>
      <c r="M330" s="54">
        <f>Allgemein!$L$14*M328</f>
        <v>0</v>
      </c>
      <c r="N330" s="54">
        <f>Allgemein!$L$14*N328</f>
        <v>0</v>
      </c>
      <c r="O330" s="54">
        <f>Allgemein!$L$14*O328</f>
        <v>0</v>
      </c>
      <c r="P330" s="54">
        <f>Allgemein!$L$14*P328</f>
        <v>0</v>
      </c>
      <c r="Q330" s="54">
        <f>Allgemein!$L$14*Q328</f>
        <v>0</v>
      </c>
      <c r="R330" s="54">
        <f>Allgemein!$L$14*R328</f>
        <v>0</v>
      </c>
      <c r="S330" s="54">
        <f>Allgemein!$L$14*S328</f>
        <v>0</v>
      </c>
      <c r="T330" s="54">
        <f>Allgemein!$L$14*T328</f>
        <v>0</v>
      </c>
      <c r="U330" s="54">
        <f>Allgemein!$L$14*U328</f>
        <v>0</v>
      </c>
      <c r="V330" s="54">
        <f>Allgemein!$L$14*V328</f>
        <v>0</v>
      </c>
      <c r="W330" s="54">
        <f>Allgemein!$L$14*W328</f>
        <v>0</v>
      </c>
      <c r="X330" s="54">
        <f>Allgemein!$L$14*X328</f>
        <v>0</v>
      </c>
      <c r="Y330" s="54">
        <f>Allgemein!$L$14*Y328</f>
        <v>0</v>
      </c>
      <c r="Z330" s="54">
        <f>Allgemein!$L$14*Z328</f>
        <v>0</v>
      </c>
      <c r="AA330" s="54">
        <f>Allgemein!$L$14*AA328</f>
        <v>0</v>
      </c>
      <c r="AB330" s="54">
        <f>Allgemein!$L$14*AB328</f>
        <v>0</v>
      </c>
      <c r="AC330" s="54">
        <f>Allgemein!$L$14*AC328</f>
        <v>0</v>
      </c>
      <c r="AD330" s="54">
        <f>Allgemein!$L$14*AD328</f>
        <v>0</v>
      </c>
      <c r="AE330" s="54">
        <f>Allgemein!$L$14*AE328</f>
        <v>0</v>
      </c>
      <c r="AF330" s="54">
        <f>Allgemein!$L$14*AF328</f>
        <v>0</v>
      </c>
      <c r="AG330" s="54">
        <f>Allgemein!$L$14*AG328</f>
        <v>0</v>
      </c>
      <c r="AH330" s="84"/>
      <c r="AI330" s="85">
        <f>SUM(D330:AG330)</f>
        <v>0</v>
      </c>
      <c r="AJ330" s="84"/>
      <c r="AK330" s="103"/>
      <c r="AM330" s="2" t="str">
        <f>IF(AO330=0,"","Kreditkosten")</f>
        <v/>
      </c>
      <c r="AO330" s="24">
        <v>0</v>
      </c>
      <c r="AP330" s="184">
        <f>AH311</f>
        <v>0</v>
      </c>
      <c r="BH330" s="2" t="s">
        <v>577</v>
      </c>
      <c r="BI330" s="2">
        <v>3000</v>
      </c>
      <c r="BJ330" s="2">
        <v>600</v>
      </c>
      <c r="BN330" s="2">
        <v>1999</v>
      </c>
    </row>
    <row r="331" spans="2:66">
      <c r="B331" s="46" t="s">
        <v>605</v>
      </c>
      <c r="D331" s="54" t="e">
        <f>Allgemein!$K$40</f>
        <v>#DIV/0!</v>
      </c>
      <c r="E331" s="54" t="e">
        <f>D331*(1+$C$321)</f>
        <v>#DIV/0!</v>
      </c>
      <c r="F331" s="54" t="e">
        <f t="shared" ref="F331:AG331" si="758">E331*(1+$C$321)</f>
        <v>#DIV/0!</v>
      </c>
      <c r="G331" s="54" t="e">
        <f t="shared" si="758"/>
        <v>#DIV/0!</v>
      </c>
      <c r="H331" s="54" t="e">
        <f t="shared" si="758"/>
        <v>#DIV/0!</v>
      </c>
      <c r="I331" s="54" t="e">
        <f t="shared" si="758"/>
        <v>#DIV/0!</v>
      </c>
      <c r="J331" s="54" t="e">
        <f t="shared" si="758"/>
        <v>#DIV/0!</v>
      </c>
      <c r="K331" s="54" t="e">
        <f t="shared" si="758"/>
        <v>#DIV/0!</v>
      </c>
      <c r="L331" s="54" t="e">
        <f t="shared" si="758"/>
        <v>#DIV/0!</v>
      </c>
      <c r="M331" s="54" t="e">
        <f t="shared" si="758"/>
        <v>#DIV/0!</v>
      </c>
      <c r="N331" s="54" t="e">
        <f t="shared" si="758"/>
        <v>#DIV/0!</v>
      </c>
      <c r="O331" s="54" t="e">
        <f t="shared" si="758"/>
        <v>#DIV/0!</v>
      </c>
      <c r="P331" s="54" t="e">
        <f t="shared" si="758"/>
        <v>#DIV/0!</v>
      </c>
      <c r="Q331" s="54" t="e">
        <f t="shared" si="758"/>
        <v>#DIV/0!</v>
      </c>
      <c r="R331" s="54" t="e">
        <f t="shared" si="758"/>
        <v>#DIV/0!</v>
      </c>
      <c r="S331" s="54" t="e">
        <f t="shared" si="758"/>
        <v>#DIV/0!</v>
      </c>
      <c r="T331" s="54" t="e">
        <f t="shared" si="758"/>
        <v>#DIV/0!</v>
      </c>
      <c r="U331" s="54" t="e">
        <f t="shared" si="758"/>
        <v>#DIV/0!</v>
      </c>
      <c r="V331" s="54" t="e">
        <f t="shared" si="758"/>
        <v>#DIV/0!</v>
      </c>
      <c r="W331" s="54" t="e">
        <f t="shared" si="758"/>
        <v>#DIV/0!</v>
      </c>
      <c r="X331" s="54" t="e">
        <f t="shared" si="758"/>
        <v>#DIV/0!</v>
      </c>
      <c r="Y331" s="54" t="e">
        <f t="shared" si="758"/>
        <v>#DIV/0!</v>
      </c>
      <c r="Z331" s="54" t="e">
        <f t="shared" si="758"/>
        <v>#DIV/0!</v>
      </c>
      <c r="AA331" s="54" t="e">
        <f t="shared" si="758"/>
        <v>#DIV/0!</v>
      </c>
      <c r="AB331" s="54" t="e">
        <f t="shared" si="758"/>
        <v>#DIV/0!</v>
      </c>
      <c r="AC331" s="54" t="e">
        <f t="shared" si="758"/>
        <v>#DIV/0!</v>
      </c>
      <c r="AD331" s="54" t="e">
        <f t="shared" si="758"/>
        <v>#DIV/0!</v>
      </c>
      <c r="AE331" s="54" t="e">
        <f t="shared" si="758"/>
        <v>#DIV/0!</v>
      </c>
      <c r="AF331" s="54" t="e">
        <f t="shared" si="758"/>
        <v>#DIV/0!</v>
      </c>
      <c r="AG331" s="54" t="e">
        <f t="shared" si="758"/>
        <v>#DIV/0!</v>
      </c>
      <c r="AH331" s="86" t="s">
        <v>369</v>
      </c>
      <c r="AI331" s="87" t="e">
        <f>SUM(D331:AG331)</f>
        <v>#DIV/0!</v>
      </c>
      <c r="AJ331" s="90"/>
      <c r="AK331" s="47"/>
      <c r="AM331" s="2" t="s">
        <v>149</v>
      </c>
      <c r="AN331" s="24" t="e">
        <f>AJ345</f>
        <v>#DIV/0!</v>
      </c>
      <c r="BH331" s="2" t="s">
        <v>577</v>
      </c>
      <c r="BI331" s="2">
        <v>400</v>
      </c>
      <c r="BJ331" s="2">
        <v>900</v>
      </c>
      <c r="BN331" s="2">
        <v>361</v>
      </c>
    </row>
    <row r="332" spans="2:66">
      <c r="B332" s="46" t="s">
        <v>606</v>
      </c>
      <c r="D332" s="54" t="e">
        <f t="shared" ref="D332:AG332" si="759">D331+D330</f>
        <v>#DIV/0!</v>
      </c>
      <c r="E332" s="54" t="e">
        <f t="shared" si="759"/>
        <v>#DIV/0!</v>
      </c>
      <c r="F332" s="54" t="e">
        <f t="shared" si="759"/>
        <v>#DIV/0!</v>
      </c>
      <c r="G332" s="54" t="e">
        <f t="shared" si="759"/>
        <v>#DIV/0!</v>
      </c>
      <c r="H332" s="54" t="e">
        <f t="shared" si="759"/>
        <v>#DIV/0!</v>
      </c>
      <c r="I332" s="54" t="e">
        <f t="shared" si="759"/>
        <v>#DIV/0!</v>
      </c>
      <c r="J332" s="54" t="e">
        <f t="shared" si="759"/>
        <v>#DIV/0!</v>
      </c>
      <c r="K332" s="54" t="e">
        <f t="shared" si="759"/>
        <v>#DIV/0!</v>
      </c>
      <c r="L332" s="54" t="e">
        <f t="shared" si="759"/>
        <v>#DIV/0!</v>
      </c>
      <c r="M332" s="54" t="e">
        <f t="shared" si="759"/>
        <v>#DIV/0!</v>
      </c>
      <c r="N332" s="54" t="e">
        <f t="shared" si="759"/>
        <v>#DIV/0!</v>
      </c>
      <c r="O332" s="54" t="e">
        <f t="shared" si="759"/>
        <v>#DIV/0!</v>
      </c>
      <c r="P332" s="54" t="e">
        <f t="shared" si="759"/>
        <v>#DIV/0!</v>
      </c>
      <c r="Q332" s="54" t="e">
        <f t="shared" si="759"/>
        <v>#DIV/0!</v>
      </c>
      <c r="R332" s="54" t="e">
        <f t="shared" si="759"/>
        <v>#DIV/0!</v>
      </c>
      <c r="S332" s="54" t="e">
        <f t="shared" si="759"/>
        <v>#DIV/0!</v>
      </c>
      <c r="T332" s="54" t="e">
        <f t="shared" si="759"/>
        <v>#DIV/0!</v>
      </c>
      <c r="U332" s="54" t="e">
        <f t="shared" si="759"/>
        <v>#DIV/0!</v>
      </c>
      <c r="V332" s="54" t="e">
        <f t="shared" si="759"/>
        <v>#DIV/0!</v>
      </c>
      <c r="W332" s="54" t="e">
        <f t="shared" si="759"/>
        <v>#DIV/0!</v>
      </c>
      <c r="X332" s="54" t="e">
        <f t="shared" si="759"/>
        <v>#DIV/0!</v>
      </c>
      <c r="Y332" s="54" t="e">
        <f t="shared" si="759"/>
        <v>#DIV/0!</v>
      </c>
      <c r="Z332" s="54" t="e">
        <f t="shared" si="759"/>
        <v>#DIV/0!</v>
      </c>
      <c r="AA332" s="54" t="e">
        <f t="shared" si="759"/>
        <v>#DIV/0!</v>
      </c>
      <c r="AB332" s="54" t="e">
        <f t="shared" si="759"/>
        <v>#DIV/0!</v>
      </c>
      <c r="AC332" s="54" t="e">
        <f t="shared" si="759"/>
        <v>#DIV/0!</v>
      </c>
      <c r="AD332" s="54" t="e">
        <f t="shared" si="759"/>
        <v>#DIV/0!</v>
      </c>
      <c r="AE332" s="54" t="e">
        <f t="shared" si="759"/>
        <v>#DIV/0!</v>
      </c>
      <c r="AF332" s="54" t="e">
        <f t="shared" si="759"/>
        <v>#DIV/0!</v>
      </c>
      <c r="AG332" s="54" t="e">
        <f t="shared" si="759"/>
        <v>#DIV/0!</v>
      </c>
      <c r="AH332" s="88"/>
      <c r="AI332" s="89" t="e">
        <f>SUM(D332:AG332)</f>
        <v>#DIV/0!</v>
      </c>
      <c r="AJ332" s="90"/>
      <c r="AK332" s="47"/>
      <c r="AN332" s="24"/>
    </row>
    <row r="333" spans="2:66">
      <c r="B333" s="895" t="s">
        <v>607</v>
      </c>
      <c r="D333" s="54" t="e">
        <f>D332/12</f>
        <v>#DIV/0!</v>
      </c>
      <c r="E333" s="54" t="e">
        <f>E332/12</f>
        <v>#DIV/0!</v>
      </c>
      <c r="F333" s="54" t="e">
        <f>F332/12</f>
        <v>#DIV/0!</v>
      </c>
      <c r="G333" s="54" t="e">
        <f t="shared" ref="G333" si="760">G332/12</f>
        <v>#DIV/0!</v>
      </c>
      <c r="H333" s="54" t="e">
        <f t="shared" ref="H333" si="761">H332/12</f>
        <v>#DIV/0!</v>
      </c>
      <c r="I333" s="54" t="e">
        <f t="shared" ref="I333" si="762">I332/12</f>
        <v>#DIV/0!</v>
      </c>
      <c r="J333" s="54" t="e">
        <f t="shared" ref="J333" si="763">J332/12</f>
        <v>#DIV/0!</v>
      </c>
      <c r="K333" s="54" t="e">
        <f t="shared" ref="K333" si="764">K332/12</f>
        <v>#DIV/0!</v>
      </c>
      <c r="L333" s="54" t="e">
        <f t="shared" ref="L333" si="765">L332/12</f>
        <v>#DIV/0!</v>
      </c>
      <c r="M333" s="54" t="e">
        <f t="shared" ref="M333" si="766">M332/12</f>
        <v>#DIV/0!</v>
      </c>
      <c r="N333" s="54" t="e">
        <f t="shared" ref="N333" si="767">N332/12</f>
        <v>#DIV/0!</v>
      </c>
      <c r="O333" s="54" t="e">
        <f t="shared" ref="O333" si="768">O332/12</f>
        <v>#DIV/0!</v>
      </c>
      <c r="P333" s="54" t="e">
        <f t="shared" ref="P333" si="769">P332/12</f>
        <v>#DIV/0!</v>
      </c>
      <c r="Q333" s="54" t="e">
        <f t="shared" ref="Q333" si="770">Q332/12</f>
        <v>#DIV/0!</v>
      </c>
      <c r="R333" s="54" t="e">
        <f t="shared" ref="R333" si="771">R332/12</f>
        <v>#DIV/0!</v>
      </c>
      <c r="S333" s="54" t="e">
        <f t="shared" ref="S333" si="772">S332/12</f>
        <v>#DIV/0!</v>
      </c>
      <c r="T333" s="54" t="e">
        <f t="shared" ref="T333" si="773">T332/12</f>
        <v>#DIV/0!</v>
      </c>
      <c r="U333" s="54" t="e">
        <f t="shared" ref="U333" si="774">U332/12</f>
        <v>#DIV/0!</v>
      </c>
      <c r="V333" s="54" t="e">
        <f t="shared" ref="V333" si="775">V332/12</f>
        <v>#DIV/0!</v>
      </c>
      <c r="W333" s="54" t="e">
        <f t="shared" ref="W333" si="776">W332/12</f>
        <v>#DIV/0!</v>
      </c>
      <c r="X333" s="54" t="e">
        <f t="shared" ref="X333" si="777">X332/12</f>
        <v>#DIV/0!</v>
      </c>
      <c r="Y333" s="54" t="e">
        <f t="shared" ref="Y333" si="778">Y332/12</f>
        <v>#DIV/0!</v>
      </c>
      <c r="Z333" s="54" t="e">
        <f t="shared" ref="Z333" si="779">Z332/12</f>
        <v>#DIV/0!</v>
      </c>
      <c r="AA333" s="54" t="e">
        <f t="shared" ref="AA333" si="780">AA332/12</f>
        <v>#DIV/0!</v>
      </c>
      <c r="AB333" s="54" t="e">
        <f t="shared" ref="AB333" si="781">AB332/12</f>
        <v>#DIV/0!</v>
      </c>
      <c r="AC333" s="54" t="e">
        <f t="shared" ref="AC333" si="782">AC332/12</f>
        <v>#DIV/0!</v>
      </c>
      <c r="AD333" s="54" t="e">
        <f t="shared" ref="AD333" si="783">AD332/12</f>
        <v>#DIV/0!</v>
      </c>
      <c r="AE333" s="54" t="e">
        <f t="shared" ref="AE333" si="784">AE332/12</f>
        <v>#DIV/0!</v>
      </c>
      <c r="AF333" s="54" t="e">
        <f t="shared" ref="AF333" si="785">AF332/12</f>
        <v>#DIV/0!</v>
      </c>
      <c r="AG333" s="54" t="e">
        <f t="shared" ref="AG333" si="786">AG332/12</f>
        <v>#DIV/0!</v>
      </c>
      <c r="AJ333" s="88"/>
      <c r="AK333" s="98"/>
      <c r="AM333" s="2" t="s">
        <v>189</v>
      </c>
      <c r="AN333" s="24">
        <f>Allgemein!$O$86</f>
        <v>0</v>
      </c>
      <c r="BH333" s="2" t="s">
        <v>577</v>
      </c>
      <c r="BI333" s="2">
        <v>500</v>
      </c>
      <c r="BJ333" s="2">
        <v>900</v>
      </c>
      <c r="BN333" s="2">
        <v>451</v>
      </c>
    </row>
    <row r="334" spans="2:66" ht="18.600000000000001">
      <c r="B334" s="96" t="s">
        <v>398</v>
      </c>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80" t="s">
        <v>398</v>
      </c>
      <c r="AJ334" s="11"/>
      <c r="AK334" s="100"/>
      <c r="AM334" s="2" t="s">
        <v>63</v>
      </c>
      <c r="AN334" s="109">
        <f>Allgemein!P122</f>
        <v>0</v>
      </c>
      <c r="BH334" s="2" t="s">
        <v>577</v>
      </c>
      <c r="BI334" s="2">
        <v>600</v>
      </c>
      <c r="BJ334" s="2">
        <v>900</v>
      </c>
      <c r="BN334" s="2">
        <v>541</v>
      </c>
    </row>
    <row r="335" spans="2:66">
      <c r="B335" s="46" t="s">
        <v>608</v>
      </c>
      <c r="D335" s="66">
        <f>$G322*Datenbank!D328</f>
        <v>0</v>
      </c>
      <c r="E335" s="66">
        <f>$G322*Datenbank!E328</f>
        <v>0</v>
      </c>
      <c r="F335" s="66">
        <f>$G322*Datenbank!F328</f>
        <v>0</v>
      </c>
      <c r="G335" s="66">
        <f>$G322*Datenbank!G328</f>
        <v>0</v>
      </c>
      <c r="H335" s="66">
        <f>$G322*Datenbank!H328</f>
        <v>0</v>
      </c>
      <c r="I335" s="66">
        <f>$G322*Datenbank!I328</f>
        <v>0</v>
      </c>
      <c r="J335" s="66">
        <f>$G322*Datenbank!J328</f>
        <v>0</v>
      </c>
      <c r="K335" s="66">
        <f>$G322*Datenbank!K328</f>
        <v>0</v>
      </c>
      <c r="L335" s="66">
        <f>$G322*Datenbank!L328</f>
        <v>0</v>
      </c>
      <c r="M335" s="66">
        <f>$G322*Datenbank!M328</f>
        <v>0</v>
      </c>
      <c r="N335" s="66">
        <f>$G322*Datenbank!N328</f>
        <v>0</v>
      </c>
      <c r="O335" s="66">
        <f>$G322*Datenbank!O328</f>
        <v>0</v>
      </c>
      <c r="P335" s="66">
        <f>$G322*Datenbank!P328</f>
        <v>0</v>
      </c>
      <c r="Q335" s="66">
        <f>$G322*Datenbank!Q328</f>
        <v>0</v>
      </c>
      <c r="R335" s="66">
        <f>$G322*Datenbank!R328</f>
        <v>0</v>
      </c>
      <c r="S335" s="66">
        <f>$G322*Datenbank!S328</f>
        <v>0</v>
      </c>
      <c r="T335" s="66">
        <f>$G322*Datenbank!T328</f>
        <v>0</v>
      </c>
      <c r="U335" s="66">
        <f>$G322*Datenbank!U328</f>
        <v>0</v>
      </c>
      <c r="V335" s="66">
        <f>$G322*Datenbank!V328</f>
        <v>0</v>
      </c>
      <c r="W335" s="66">
        <f>$G322*Datenbank!W328</f>
        <v>0</v>
      </c>
      <c r="X335" s="66">
        <f>$G322*Datenbank!X328</f>
        <v>0</v>
      </c>
      <c r="Y335" s="66">
        <f>$G322*Datenbank!Y328</f>
        <v>0</v>
      </c>
      <c r="Z335" s="66">
        <f>$G322*Datenbank!Z328</f>
        <v>0</v>
      </c>
      <c r="AA335" s="66">
        <f>$G322*Datenbank!AA328</f>
        <v>0</v>
      </c>
      <c r="AB335" s="66">
        <f>$G322*Datenbank!AB328</f>
        <v>0</v>
      </c>
      <c r="AC335" s="66">
        <f>$G322*Datenbank!AC328</f>
        <v>0</v>
      </c>
      <c r="AD335" s="66">
        <f>$G322*Datenbank!AD328</f>
        <v>0</v>
      </c>
      <c r="AE335" s="66">
        <f>$G322*Datenbank!AE328</f>
        <v>0</v>
      </c>
      <c r="AF335" s="66">
        <f>$G322*Datenbank!AF328</f>
        <v>0</v>
      </c>
      <c r="AG335" s="66">
        <f>$G322*Datenbank!AG328</f>
        <v>0</v>
      </c>
      <c r="AH335" s="84"/>
      <c r="AI335" s="85">
        <f>SUM(D335:AG335)</f>
        <v>0</v>
      </c>
      <c r="AJ335" s="84"/>
      <c r="AK335" s="103"/>
      <c r="AM335" s="12" t="s">
        <v>185</v>
      </c>
      <c r="AN335" s="117" t="e">
        <f>Allgemein!F85</f>
        <v>#DIV/0!</v>
      </c>
      <c r="AO335" s="12"/>
      <c r="BH335" s="2" t="s">
        <v>577</v>
      </c>
      <c r="BI335" s="2">
        <v>700</v>
      </c>
      <c r="BJ335" s="2">
        <v>900</v>
      </c>
      <c r="BN335" s="2">
        <v>631</v>
      </c>
    </row>
    <row r="336" spans="2:66">
      <c r="B336" s="46" t="s">
        <v>609</v>
      </c>
      <c r="D336" s="55" t="e">
        <f>$G321*Datenbank!D327</f>
        <v>#DIV/0!</v>
      </c>
      <c r="E336" s="55" t="e">
        <f>$G321*Datenbank!E327</f>
        <v>#DIV/0!</v>
      </c>
      <c r="F336" s="55" t="e">
        <f>$G321*Datenbank!F327</f>
        <v>#DIV/0!</v>
      </c>
      <c r="G336" s="55" t="e">
        <f>$G321*Datenbank!G327</f>
        <v>#DIV/0!</v>
      </c>
      <c r="H336" s="55" t="e">
        <f>$G321*Datenbank!H327</f>
        <v>#DIV/0!</v>
      </c>
      <c r="I336" s="55" t="e">
        <f>$G321*Datenbank!I327</f>
        <v>#DIV/0!</v>
      </c>
      <c r="J336" s="55" t="e">
        <f>$G321*Datenbank!J327</f>
        <v>#DIV/0!</v>
      </c>
      <c r="K336" s="55" t="e">
        <f>$G321*Datenbank!K327</f>
        <v>#DIV/0!</v>
      </c>
      <c r="L336" s="55" t="e">
        <f>$G321*Datenbank!L327</f>
        <v>#DIV/0!</v>
      </c>
      <c r="M336" s="55" t="e">
        <f>$G321*Datenbank!M327</f>
        <v>#DIV/0!</v>
      </c>
      <c r="N336" s="55" t="e">
        <f>$G321*Datenbank!N327</f>
        <v>#DIV/0!</v>
      </c>
      <c r="O336" s="55" t="e">
        <f>$G321*Datenbank!O327</f>
        <v>#DIV/0!</v>
      </c>
      <c r="P336" s="55" t="e">
        <f>$G321*Datenbank!P327</f>
        <v>#DIV/0!</v>
      </c>
      <c r="Q336" s="55" t="e">
        <f>$G321*Datenbank!Q327</f>
        <v>#DIV/0!</v>
      </c>
      <c r="R336" s="55" t="e">
        <f>$G321*Datenbank!R327</f>
        <v>#DIV/0!</v>
      </c>
      <c r="S336" s="55" t="e">
        <f>$G321*Datenbank!S327</f>
        <v>#DIV/0!</v>
      </c>
      <c r="T336" s="55" t="e">
        <f>$G321*Datenbank!T327</f>
        <v>#DIV/0!</v>
      </c>
      <c r="U336" s="55" t="e">
        <f>$G321*Datenbank!U327</f>
        <v>#DIV/0!</v>
      </c>
      <c r="V336" s="55" t="e">
        <f>$G321*Datenbank!V327</f>
        <v>#DIV/0!</v>
      </c>
      <c r="W336" s="55" t="e">
        <f>$G321*Datenbank!W327</f>
        <v>#DIV/0!</v>
      </c>
      <c r="X336" s="55" t="e">
        <f>$G321*Datenbank!X327</f>
        <v>#DIV/0!</v>
      </c>
      <c r="Y336" s="55" t="e">
        <f>$G321*Datenbank!Y327</f>
        <v>#DIV/0!</v>
      </c>
      <c r="Z336" s="55" t="e">
        <f>$G321*Datenbank!Z327</f>
        <v>#DIV/0!</v>
      </c>
      <c r="AA336" s="55" t="e">
        <f>$G321*Datenbank!AA327</f>
        <v>#DIV/0!</v>
      </c>
      <c r="AB336" s="55" t="e">
        <f>$G321*Datenbank!AB327</f>
        <v>#DIV/0!</v>
      </c>
      <c r="AC336" s="55" t="e">
        <f>$G321*Datenbank!AC327</f>
        <v>#DIV/0!</v>
      </c>
      <c r="AD336" s="55" t="e">
        <f>$G321*Datenbank!AD327</f>
        <v>#DIV/0!</v>
      </c>
      <c r="AE336" s="55" t="e">
        <f>$G321*Datenbank!AE327</f>
        <v>#DIV/0!</v>
      </c>
      <c r="AF336" s="55" t="e">
        <f>$G321*Datenbank!AF327</f>
        <v>#DIV/0!</v>
      </c>
      <c r="AG336" s="55" t="e">
        <f>$G321*Datenbank!AG327</f>
        <v>#DIV/0!</v>
      </c>
      <c r="AH336" s="90"/>
      <c r="AI336" s="87" t="e">
        <f t="shared" ref="AI336" si="787">SUM(D336:AG336)</f>
        <v>#DIV/0!</v>
      </c>
      <c r="AJ336" s="90"/>
      <c r="AK336" s="47"/>
      <c r="AM336" s="2" t="s">
        <v>79</v>
      </c>
      <c r="AN336" s="24" t="e">
        <f>SUM(AN331:AN335)</f>
        <v>#DIV/0!</v>
      </c>
      <c r="AO336" s="24">
        <f>SUM(AO329:AO335)</f>
        <v>0</v>
      </c>
      <c r="BH336" s="2" t="s">
        <v>577</v>
      </c>
      <c r="BI336" s="2">
        <v>800</v>
      </c>
      <c r="BJ336" s="2">
        <v>900</v>
      </c>
      <c r="BN336" s="2">
        <v>722</v>
      </c>
    </row>
    <row r="337" spans="2:66">
      <c r="B337" s="46" t="s">
        <v>610</v>
      </c>
      <c r="C337" s="2" t="str">
        <f>IF(J321="Ja","mit WP","ohne WP")</f>
        <v>ohne WP</v>
      </c>
      <c r="D337" s="54" t="e">
        <f>IF($J321="Ja",D335,D336)</f>
        <v>#DIV/0!</v>
      </c>
      <c r="E337" s="54" t="e">
        <f>IF($J321="Ja",E335,E336)</f>
        <v>#DIV/0!</v>
      </c>
      <c r="F337" s="54" t="e">
        <f>IF($J321="Ja",F335,F336)</f>
        <v>#DIV/0!</v>
      </c>
      <c r="G337" s="54" t="e">
        <f>IF($J321="Ja",G335,G336)</f>
        <v>#DIV/0!</v>
      </c>
      <c r="H337" s="54" t="e">
        <f t="shared" ref="H337:AG337" si="788">IF($J321="Ja",H335,H336)</f>
        <v>#DIV/0!</v>
      </c>
      <c r="I337" s="54" t="e">
        <f t="shared" si="788"/>
        <v>#DIV/0!</v>
      </c>
      <c r="J337" s="54" t="e">
        <f t="shared" si="788"/>
        <v>#DIV/0!</v>
      </c>
      <c r="K337" s="54" t="e">
        <f t="shared" si="788"/>
        <v>#DIV/0!</v>
      </c>
      <c r="L337" s="54" t="e">
        <f t="shared" si="788"/>
        <v>#DIV/0!</v>
      </c>
      <c r="M337" s="54" t="e">
        <f t="shared" si="788"/>
        <v>#DIV/0!</v>
      </c>
      <c r="N337" s="54" t="e">
        <f t="shared" si="788"/>
        <v>#DIV/0!</v>
      </c>
      <c r="O337" s="54" t="e">
        <f t="shared" si="788"/>
        <v>#DIV/0!</v>
      </c>
      <c r="P337" s="54" t="e">
        <f t="shared" si="788"/>
        <v>#DIV/0!</v>
      </c>
      <c r="Q337" s="54" t="e">
        <f t="shared" si="788"/>
        <v>#DIV/0!</v>
      </c>
      <c r="R337" s="54" t="e">
        <f t="shared" si="788"/>
        <v>#DIV/0!</v>
      </c>
      <c r="S337" s="54" t="e">
        <f t="shared" si="788"/>
        <v>#DIV/0!</v>
      </c>
      <c r="T337" s="54" t="e">
        <f t="shared" si="788"/>
        <v>#DIV/0!</v>
      </c>
      <c r="U337" s="54" t="e">
        <f t="shared" si="788"/>
        <v>#DIV/0!</v>
      </c>
      <c r="V337" s="54" t="e">
        <f t="shared" si="788"/>
        <v>#DIV/0!</v>
      </c>
      <c r="W337" s="54" t="e">
        <f t="shared" si="788"/>
        <v>#DIV/0!</v>
      </c>
      <c r="X337" s="54" t="e">
        <f t="shared" si="788"/>
        <v>#DIV/0!</v>
      </c>
      <c r="Y337" s="54" t="e">
        <f t="shared" si="788"/>
        <v>#DIV/0!</v>
      </c>
      <c r="Z337" s="54" t="e">
        <f t="shared" si="788"/>
        <v>#DIV/0!</v>
      </c>
      <c r="AA337" s="54" t="e">
        <f t="shared" si="788"/>
        <v>#DIV/0!</v>
      </c>
      <c r="AB337" s="54" t="e">
        <f t="shared" si="788"/>
        <v>#DIV/0!</v>
      </c>
      <c r="AC337" s="54" t="e">
        <f t="shared" si="788"/>
        <v>#DIV/0!</v>
      </c>
      <c r="AD337" s="54" t="e">
        <f t="shared" si="788"/>
        <v>#DIV/0!</v>
      </c>
      <c r="AE337" s="54" t="e">
        <f t="shared" si="788"/>
        <v>#DIV/0!</v>
      </c>
      <c r="AF337" s="54" t="e">
        <f t="shared" si="788"/>
        <v>#DIV/0!</v>
      </c>
      <c r="AG337" s="54" t="e">
        <f t="shared" si="788"/>
        <v>#DIV/0!</v>
      </c>
      <c r="AH337" s="90"/>
      <c r="AI337" s="87" t="e">
        <f>SUM(D337:AG337)</f>
        <v>#DIV/0!</v>
      </c>
      <c r="AJ337" s="90"/>
      <c r="AK337" s="101"/>
      <c r="BH337" s="2" t="s">
        <v>577</v>
      </c>
      <c r="BI337" s="2">
        <v>900</v>
      </c>
      <c r="BJ337" s="2">
        <v>900</v>
      </c>
      <c r="BN337" s="2">
        <v>812</v>
      </c>
    </row>
    <row r="338" spans="2:66">
      <c r="B338" s="46" t="s">
        <v>611</v>
      </c>
      <c r="D338" s="54" t="e">
        <f>D330+D337</f>
        <v>#DIV/0!</v>
      </c>
      <c r="E338" s="54" t="e">
        <f t="shared" ref="E338:AG338" si="789">E330+E337</f>
        <v>#DIV/0!</v>
      </c>
      <c r="F338" s="54" t="e">
        <f t="shared" si="789"/>
        <v>#DIV/0!</v>
      </c>
      <c r="G338" s="54" t="e">
        <f t="shared" si="789"/>
        <v>#DIV/0!</v>
      </c>
      <c r="H338" s="54" t="e">
        <f t="shared" si="789"/>
        <v>#DIV/0!</v>
      </c>
      <c r="I338" s="54" t="e">
        <f t="shared" si="789"/>
        <v>#DIV/0!</v>
      </c>
      <c r="J338" s="54" t="e">
        <f t="shared" si="789"/>
        <v>#DIV/0!</v>
      </c>
      <c r="K338" s="54" t="e">
        <f t="shared" si="789"/>
        <v>#DIV/0!</v>
      </c>
      <c r="L338" s="54" t="e">
        <f t="shared" si="789"/>
        <v>#DIV/0!</v>
      </c>
      <c r="M338" s="54" t="e">
        <f t="shared" si="789"/>
        <v>#DIV/0!</v>
      </c>
      <c r="N338" s="54" t="e">
        <f t="shared" si="789"/>
        <v>#DIV/0!</v>
      </c>
      <c r="O338" s="54" t="e">
        <f t="shared" si="789"/>
        <v>#DIV/0!</v>
      </c>
      <c r="P338" s="54" t="e">
        <f t="shared" si="789"/>
        <v>#DIV/0!</v>
      </c>
      <c r="Q338" s="54" t="e">
        <f t="shared" si="789"/>
        <v>#DIV/0!</v>
      </c>
      <c r="R338" s="54" t="e">
        <f t="shared" si="789"/>
        <v>#DIV/0!</v>
      </c>
      <c r="S338" s="54" t="e">
        <f t="shared" si="789"/>
        <v>#DIV/0!</v>
      </c>
      <c r="T338" s="54" t="e">
        <f t="shared" si="789"/>
        <v>#DIV/0!</v>
      </c>
      <c r="U338" s="54" t="e">
        <f t="shared" si="789"/>
        <v>#DIV/0!</v>
      </c>
      <c r="V338" s="54" t="e">
        <f t="shared" si="789"/>
        <v>#DIV/0!</v>
      </c>
      <c r="W338" s="54" t="e">
        <f t="shared" si="789"/>
        <v>#DIV/0!</v>
      </c>
      <c r="X338" s="54" t="e">
        <f t="shared" si="789"/>
        <v>#DIV/0!</v>
      </c>
      <c r="Y338" s="54" t="e">
        <f t="shared" si="789"/>
        <v>#DIV/0!</v>
      </c>
      <c r="Z338" s="54" t="e">
        <f t="shared" si="789"/>
        <v>#DIV/0!</v>
      </c>
      <c r="AA338" s="54" t="e">
        <f t="shared" si="789"/>
        <v>#DIV/0!</v>
      </c>
      <c r="AB338" s="54" t="e">
        <f t="shared" si="789"/>
        <v>#DIV/0!</v>
      </c>
      <c r="AC338" s="54" t="e">
        <f t="shared" si="789"/>
        <v>#DIV/0!</v>
      </c>
      <c r="AD338" s="54" t="e">
        <f t="shared" si="789"/>
        <v>#DIV/0!</v>
      </c>
      <c r="AE338" s="54" t="e">
        <f t="shared" si="789"/>
        <v>#DIV/0!</v>
      </c>
      <c r="AF338" s="54" t="e">
        <f t="shared" si="789"/>
        <v>#DIV/0!</v>
      </c>
      <c r="AG338" s="54" t="e">
        <f t="shared" si="789"/>
        <v>#DIV/0!</v>
      </c>
      <c r="AH338" s="90"/>
      <c r="AI338" s="87" t="e">
        <f>SUM(D338:AG338)</f>
        <v>#DIV/0!</v>
      </c>
      <c r="AJ338" s="91" t="e">
        <f>AI332-AI338</f>
        <v>#DIV/0!</v>
      </c>
      <c r="AK338" s="47"/>
      <c r="AM338" s="2" t="s">
        <v>612</v>
      </c>
      <c r="AN338" s="24" t="e">
        <f>AN336-AO336</f>
        <v>#DIV/0!</v>
      </c>
      <c r="BH338" s="2" t="s">
        <v>577</v>
      </c>
      <c r="BI338" s="2">
        <v>1000</v>
      </c>
      <c r="BJ338" s="2">
        <v>900</v>
      </c>
      <c r="BN338" s="2">
        <v>902</v>
      </c>
    </row>
    <row r="339" spans="2:66">
      <c r="B339" s="46" t="s">
        <v>613</v>
      </c>
      <c r="D339" s="55" t="e">
        <f>$S321*Allgemein!$H$140</f>
        <v>#N/A</v>
      </c>
      <c r="E339" s="55" t="e">
        <f>$S321*Allgemein!$H$140</f>
        <v>#N/A</v>
      </c>
      <c r="F339" s="55" t="e">
        <f>$S321*Allgemein!$H$140</f>
        <v>#N/A</v>
      </c>
      <c r="G339" s="55" t="e">
        <f>$S321*Allgemein!$H$140</f>
        <v>#N/A</v>
      </c>
      <c r="H339" s="55" t="e">
        <f>$S321*Allgemein!$H$140</f>
        <v>#N/A</v>
      </c>
      <c r="I339" s="55" t="e">
        <f>$S321*Allgemein!$H$140</f>
        <v>#N/A</v>
      </c>
      <c r="J339" s="55" t="e">
        <f>$S321*Allgemein!$H$140</f>
        <v>#N/A</v>
      </c>
      <c r="K339" s="55" t="e">
        <f>$S321*Allgemein!$H$140</f>
        <v>#N/A</v>
      </c>
      <c r="L339" s="55" t="e">
        <f>$S321*Allgemein!$H$140</f>
        <v>#N/A</v>
      </c>
      <c r="M339" s="55" t="e">
        <f>$S321*Allgemein!$H$140</f>
        <v>#N/A</v>
      </c>
      <c r="N339" s="55" t="e">
        <f>$S321*Allgemein!$H$140</f>
        <v>#N/A</v>
      </c>
      <c r="O339" s="55" t="e">
        <f>$S321*Allgemein!$H$140</f>
        <v>#N/A</v>
      </c>
      <c r="P339" s="55" t="e">
        <f>$S321*Allgemein!$H$140</f>
        <v>#N/A</v>
      </c>
      <c r="Q339" s="55" t="e">
        <f>$S321*Allgemein!$H$140</f>
        <v>#N/A</v>
      </c>
      <c r="R339" s="55" t="e">
        <f>$S321*Allgemein!$H$140</f>
        <v>#N/A</v>
      </c>
      <c r="S339" s="55" t="e">
        <f>$S321*Allgemein!$H$140</f>
        <v>#N/A</v>
      </c>
      <c r="T339" s="55" t="e">
        <f>$S321*Allgemein!$H$140</f>
        <v>#N/A</v>
      </c>
      <c r="U339" s="55" t="e">
        <f>$S321*Allgemein!$H$140</f>
        <v>#N/A</v>
      </c>
      <c r="V339" s="55" t="e">
        <f>$S321*Allgemein!$H$140</f>
        <v>#N/A</v>
      </c>
      <c r="W339" s="55" t="e">
        <f>$S321*Allgemein!$H$140</f>
        <v>#N/A</v>
      </c>
      <c r="X339" s="55" t="e">
        <f>$S321*Allgemein!$H$141</f>
        <v>#N/A</v>
      </c>
      <c r="Y339" s="55" t="e">
        <f>$S321*Allgemein!$H$141</f>
        <v>#N/A</v>
      </c>
      <c r="Z339" s="55" t="e">
        <f>$S321*Allgemein!$H$141</f>
        <v>#N/A</v>
      </c>
      <c r="AA339" s="55" t="e">
        <f>$S321*Allgemein!$H$141</f>
        <v>#N/A</v>
      </c>
      <c r="AB339" s="55" t="e">
        <f>$S321*Allgemein!$H$141</f>
        <v>#N/A</v>
      </c>
      <c r="AC339" s="55" t="e">
        <f>$S321*Allgemein!$H$141</f>
        <v>#N/A</v>
      </c>
      <c r="AD339" s="55" t="e">
        <f>$S321*Allgemein!$H$141</f>
        <v>#N/A</v>
      </c>
      <c r="AE339" s="55" t="e">
        <f>$S321*Allgemein!$H$141</f>
        <v>#N/A</v>
      </c>
      <c r="AF339" s="55" t="e">
        <f>$S321*Allgemein!$H$141</f>
        <v>#N/A</v>
      </c>
      <c r="AG339" s="55" t="e">
        <f>$S321*Allgemein!$H$141</f>
        <v>#N/A</v>
      </c>
      <c r="AH339" s="90"/>
      <c r="AI339" s="87" t="e">
        <f>SUM(D339:AG339)</f>
        <v>#N/A</v>
      </c>
      <c r="AJ339" s="90"/>
      <c r="AK339" s="47"/>
      <c r="BH339" s="2" t="s">
        <v>577</v>
      </c>
      <c r="BI339" s="2">
        <v>1100</v>
      </c>
      <c r="BJ339" s="2">
        <v>900</v>
      </c>
      <c r="BN339" s="2">
        <v>992</v>
      </c>
    </row>
    <row r="340" spans="2:66">
      <c r="B340" s="46" t="s">
        <v>614</v>
      </c>
      <c r="D340" s="54">
        <f>$S322*Datenbank!D328+IF($J321="Nein",Datenbank!D337,0)</f>
        <v>0</v>
      </c>
      <c r="E340" s="54">
        <f>$S322*Datenbank!E328+IF($J321="Nein",Datenbank!E337,0)</f>
        <v>0</v>
      </c>
      <c r="F340" s="54">
        <f>$S322*Datenbank!F328+IF($J321="Nein",Datenbank!F337,0)</f>
        <v>0</v>
      </c>
      <c r="G340" s="54">
        <f>$S322*Datenbank!G328+IF($J321="Nein",Datenbank!G337,0)</f>
        <v>0</v>
      </c>
      <c r="H340" s="54">
        <f>$S322*Datenbank!H328+IF($J321="Nein",Datenbank!H337,0)</f>
        <v>0</v>
      </c>
      <c r="I340" s="54">
        <f>$S322*Datenbank!I328+IF($J321="Nein",Datenbank!I337,0)</f>
        <v>0</v>
      </c>
      <c r="J340" s="54">
        <f>$S322*Datenbank!J328+IF($J321="Nein",Datenbank!J337,0)</f>
        <v>0</v>
      </c>
      <c r="K340" s="54">
        <f>$S322*Datenbank!K328+IF($J321="Nein",Datenbank!K337,0)</f>
        <v>0</v>
      </c>
      <c r="L340" s="54">
        <f>$S322*Datenbank!L328+IF($J321="Nein",Datenbank!L337,0)</f>
        <v>0</v>
      </c>
      <c r="M340" s="54">
        <f>$S322*Datenbank!M328+IF($J321="Nein",Datenbank!M337,0)</f>
        <v>0</v>
      </c>
      <c r="N340" s="54">
        <f>$S322*Datenbank!N328+IF($J321="Nein",Datenbank!N337,0)</f>
        <v>0</v>
      </c>
      <c r="O340" s="54">
        <f>$S322*Datenbank!O328+IF($J321="Nein",Datenbank!O337,0)</f>
        <v>0</v>
      </c>
      <c r="P340" s="54">
        <f>$S322*Datenbank!P328+IF($J321="Nein",Datenbank!P337,0)</f>
        <v>0</v>
      </c>
      <c r="Q340" s="54">
        <f>$S322*Datenbank!Q328+IF($J321="Nein",Datenbank!Q337,0)</f>
        <v>0</v>
      </c>
      <c r="R340" s="54">
        <f>$S322*Datenbank!R328+IF($J321="Nein",Datenbank!R337,0)</f>
        <v>0</v>
      </c>
      <c r="S340" s="54">
        <f>$S322*Datenbank!S328+IF($J321="Nein",Datenbank!S337,0)</f>
        <v>0</v>
      </c>
      <c r="T340" s="54">
        <f>$S322*Datenbank!T328+IF($J321="Nein",Datenbank!T337,0)</f>
        <v>0</v>
      </c>
      <c r="U340" s="54">
        <f>$S322*Datenbank!U328+IF($J321="Nein",Datenbank!U337,0)</f>
        <v>0</v>
      </c>
      <c r="V340" s="54">
        <f>$S322*Datenbank!V328+IF($J321="Nein",Datenbank!V337,0)</f>
        <v>0</v>
      </c>
      <c r="W340" s="54">
        <f>$S322*Datenbank!W328+IF($J321="Nein",Datenbank!W337,0)</f>
        <v>0</v>
      </c>
      <c r="X340" s="54">
        <f>$S322*Datenbank!X328+IF($J321="Nein",Datenbank!X337,0)</f>
        <v>0</v>
      </c>
      <c r="Y340" s="54">
        <f>$S322*Datenbank!Y328+IF($J321="Nein",Datenbank!Y337,0)</f>
        <v>0</v>
      </c>
      <c r="Z340" s="54">
        <f>$S322*Datenbank!Z328+IF($J321="Nein",Datenbank!Z337,0)</f>
        <v>0</v>
      </c>
      <c r="AA340" s="54">
        <f>$S322*Datenbank!AA328+IF($J321="Nein",Datenbank!AA337,0)</f>
        <v>0</v>
      </c>
      <c r="AB340" s="54">
        <f>$S322*Datenbank!AB328+IF($J321="Nein",Datenbank!AB337,0)</f>
        <v>0</v>
      </c>
      <c r="AC340" s="54">
        <f>$S322*Datenbank!AC328+IF($J321="Nein",Datenbank!AC337,0)</f>
        <v>0</v>
      </c>
      <c r="AD340" s="54">
        <f>$S322*Datenbank!AD328+IF($J321="Nein",Datenbank!AD337,0)</f>
        <v>0</v>
      </c>
      <c r="AE340" s="54">
        <f>$S322*Datenbank!AE328+IF($J321="Nein",Datenbank!AE337,0)</f>
        <v>0</v>
      </c>
      <c r="AF340" s="54">
        <f>$S322*Datenbank!AF328+IF($J321="Nein",Datenbank!AF337,0)</f>
        <v>0</v>
      </c>
      <c r="AG340" s="54">
        <f>$S322*Datenbank!AG328+IF($J321="Nein",Datenbank!AG337,0)</f>
        <v>0</v>
      </c>
      <c r="AH340" s="90"/>
      <c r="AI340" s="87">
        <f>SUM(D340:AG340)</f>
        <v>0</v>
      </c>
      <c r="AJ340" s="91" t="e">
        <f>AI332-AI340</f>
        <v>#DIV/0!</v>
      </c>
      <c r="AK340" s="47"/>
      <c r="BH340" s="2" t="s">
        <v>577</v>
      </c>
      <c r="BI340" s="2">
        <v>1200</v>
      </c>
      <c r="BJ340" s="2">
        <v>900</v>
      </c>
      <c r="BN340" s="2">
        <v>1082</v>
      </c>
    </row>
    <row r="341" spans="2:66">
      <c r="B341" s="46" t="s">
        <v>615</v>
      </c>
      <c r="D341" s="25" t="e">
        <f t="shared" ref="D341:I341" si="790">D340-D339</f>
        <v>#N/A</v>
      </c>
      <c r="E341" s="25" t="e">
        <f t="shared" si="790"/>
        <v>#N/A</v>
      </c>
      <c r="F341" s="25" t="e">
        <f t="shared" si="790"/>
        <v>#N/A</v>
      </c>
      <c r="G341" s="25" t="e">
        <f t="shared" si="790"/>
        <v>#N/A</v>
      </c>
      <c r="H341" s="25" t="e">
        <f t="shared" si="790"/>
        <v>#N/A</v>
      </c>
      <c r="I341" s="25" t="e">
        <f t="shared" si="790"/>
        <v>#N/A</v>
      </c>
      <c r="J341" s="25" t="e">
        <f t="shared" ref="J341:AG341" si="791">J340-J339</f>
        <v>#N/A</v>
      </c>
      <c r="K341" s="25" t="e">
        <f t="shared" si="791"/>
        <v>#N/A</v>
      </c>
      <c r="L341" s="25" t="e">
        <f t="shared" si="791"/>
        <v>#N/A</v>
      </c>
      <c r="M341" s="25" t="e">
        <f t="shared" si="791"/>
        <v>#N/A</v>
      </c>
      <c r="N341" s="25" t="e">
        <f t="shared" si="791"/>
        <v>#N/A</v>
      </c>
      <c r="O341" s="25" t="e">
        <f t="shared" si="791"/>
        <v>#N/A</v>
      </c>
      <c r="P341" s="25" t="e">
        <f t="shared" si="791"/>
        <v>#N/A</v>
      </c>
      <c r="Q341" s="25" t="e">
        <f t="shared" si="791"/>
        <v>#N/A</v>
      </c>
      <c r="R341" s="25" t="e">
        <f t="shared" si="791"/>
        <v>#N/A</v>
      </c>
      <c r="S341" s="25" t="e">
        <f t="shared" si="791"/>
        <v>#N/A</v>
      </c>
      <c r="T341" s="25" t="e">
        <f t="shared" si="791"/>
        <v>#N/A</v>
      </c>
      <c r="U341" s="25" t="e">
        <f t="shared" si="791"/>
        <v>#N/A</v>
      </c>
      <c r="V341" s="25" t="e">
        <f t="shared" si="791"/>
        <v>#N/A</v>
      </c>
      <c r="W341" s="25" t="e">
        <f t="shared" si="791"/>
        <v>#N/A</v>
      </c>
      <c r="X341" s="25" t="e">
        <f t="shared" si="791"/>
        <v>#N/A</v>
      </c>
      <c r="Y341" s="25" t="e">
        <f t="shared" si="791"/>
        <v>#N/A</v>
      </c>
      <c r="Z341" s="25" t="e">
        <f t="shared" si="791"/>
        <v>#N/A</v>
      </c>
      <c r="AA341" s="25" t="e">
        <f t="shared" si="791"/>
        <v>#N/A</v>
      </c>
      <c r="AB341" s="25" t="e">
        <f t="shared" si="791"/>
        <v>#N/A</v>
      </c>
      <c r="AC341" s="25" t="e">
        <f t="shared" si="791"/>
        <v>#N/A</v>
      </c>
      <c r="AD341" s="25" t="e">
        <f t="shared" si="791"/>
        <v>#N/A</v>
      </c>
      <c r="AE341" s="25" t="e">
        <f t="shared" si="791"/>
        <v>#N/A</v>
      </c>
      <c r="AF341" s="25" t="e">
        <f t="shared" si="791"/>
        <v>#N/A</v>
      </c>
      <c r="AG341" s="25" t="e">
        <f t="shared" si="791"/>
        <v>#N/A</v>
      </c>
      <c r="AH341" s="106"/>
      <c r="AI341" s="93" t="e">
        <f>AI340-AI339</f>
        <v>#N/A</v>
      </c>
      <c r="AJ341" s="106" t="e">
        <f>AI332-AI341</f>
        <v>#DIV/0!</v>
      </c>
      <c r="AK341" s="98"/>
      <c r="BH341" s="2" t="s">
        <v>577</v>
      </c>
      <c r="BI341" s="2">
        <v>1400</v>
      </c>
      <c r="BJ341" s="2">
        <v>900</v>
      </c>
      <c r="BN341" s="2">
        <v>1263</v>
      </c>
    </row>
    <row r="342" spans="2:66">
      <c r="B342" s="46" t="s">
        <v>616</v>
      </c>
      <c r="D342" s="25" t="e">
        <f>IF($J322="Ja",D341,D337+D330)</f>
        <v>#DIV/0!</v>
      </c>
      <c r="E342" s="25" t="e">
        <f t="shared" ref="E342" si="792">IF($J322="Ja",E341,E337+E330)</f>
        <v>#DIV/0!</v>
      </c>
      <c r="F342" s="25" t="e">
        <f t="shared" ref="F342" si="793">IF($J322="Ja",F341,F337+F330)</f>
        <v>#DIV/0!</v>
      </c>
      <c r="G342" s="25" t="e">
        <f t="shared" ref="G342" si="794">IF($J322="Ja",G341,G337+G330)</f>
        <v>#DIV/0!</v>
      </c>
      <c r="H342" s="25" t="e">
        <f t="shared" ref="H342" si="795">IF($J322="Ja",H341,H337+H330)</f>
        <v>#DIV/0!</v>
      </c>
      <c r="I342" s="25" t="e">
        <f t="shared" ref="I342" si="796">IF($J322="Ja",I341,I337+I330)</f>
        <v>#DIV/0!</v>
      </c>
      <c r="J342" s="25" t="e">
        <f t="shared" ref="J342" si="797">IF($J322="Ja",J341,J337+J330)</f>
        <v>#DIV/0!</v>
      </c>
      <c r="K342" s="25" t="e">
        <f t="shared" ref="K342" si="798">IF($J322="Ja",K341,K337+K330)</f>
        <v>#DIV/0!</v>
      </c>
      <c r="L342" s="25" t="e">
        <f t="shared" ref="L342" si="799">IF($J322="Ja",L341,L337+L330)</f>
        <v>#DIV/0!</v>
      </c>
      <c r="M342" s="25" t="e">
        <f t="shared" ref="M342" si="800">IF($J322="Ja",M341,M337+M330)</f>
        <v>#DIV/0!</v>
      </c>
      <c r="N342" s="25" t="e">
        <f t="shared" ref="N342" si="801">IF($J322="Ja",N341,N337+N330)</f>
        <v>#DIV/0!</v>
      </c>
      <c r="O342" s="25" t="e">
        <f t="shared" ref="O342" si="802">IF($J322="Ja",O341,O337+O330)</f>
        <v>#DIV/0!</v>
      </c>
      <c r="P342" s="25" t="e">
        <f t="shared" ref="P342" si="803">IF($J322="Ja",P341,P337+P330)</f>
        <v>#DIV/0!</v>
      </c>
      <c r="Q342" s="25" t="e">
        <f t="shared" ref="Q342" si="804">IF($J322="Ja",Q341,Q337+Q330)</f>
        <v>#DIV/0!</v>
      </c>
      <c r="R342" s="25" t="e">
        <f t="shared" ref="R342" si="805">IF($J322="Ja",R341,R337+R330)</f>
        <v>#DIV/0!</v>
      </c>
      <c r="S342" s="25" t="e">
        <f t="shared" ref="S342" si="806">IF($J322="Ja",S341,S337+S330)</f>
        <v>#DIV/0!</v>
      </c>
      <c r="T342" s="25" t="e">
        <f t="shared" ref="T342" si="807">IF($J322="Ja",T341,T337+T330)</f>
        <v>#DIV/0!</v>
      </c>
      <c r="U342" s="25" t="e">
        <f t="shared" ref="U342" si="808">IF($J322="Ja",U341,U337+U330)</f>
        <v>#DIV/0!</v>
      </c>
      <c r="V342" s="25" t="e">
        <f t="shared" ref="V342" si="809">IF($J322="Ja",V341,V337+V330)</f>
        <v>#DIV/0!</v>
      </c>
      <c r="W342" s="25" t="e">
        <f t="shared" ref="W342" si="810">IF($J322="Ja",W341,W337+W330)</f>
        <v>#DIV/0!</v>
      </c>
      <c r="X342" s="25" t="e">
        <f t="shared" ref="X342" si="811">IF($J322="Ja",X341,X337+X330)</f>
        <v>#DIV/0!</v>
      </c>
      <c r="Y342" s="25" t="e">
        <f t="shared" ref="Y342" si="812">IF($J322="Ja",Y341,Y337+Y330)</f>
        <v>#DIV/0!</v>
      </c>
      <c r="Z342" s="25" t="e">
        <f t="shared" ref="Z342" si="813">IF($J322="Ja",Z341,Z337+Z330)</f>
        <v>#DIV/0!</v>
      </c>
      <c r="AA342" s="25" t="e">
        <f t="shared" ref="AA342" si="814">IF($J322="Ja",AA341,AA337+AA330)</f>
        <v>#DIV/0!</v>
      </c>
      <c r="AB342" s="25" t="e">
        <f t="shared" ref="AB342" si="815">IF($J322="Ja",AB341,AB337+AB330)</f>
        <v>#DIV/0!</v>
      </c>
      <c r="AC342" s="25" t="e">
        <f t="shared" ref="AC342" si="816">IF($J322="Ja",AC341,AC337+AC330)</f>
        <v>#DIV/0!</v>
      </c>
      <c r="AD342" s="25" t="e">
        <f t="shared" ref="AD342" si="817">IF($J322="Ja",AD341,AD337+AD330)</f>
        <v>#DIV/0!</v>
      </c>
      <c r="AE342" s="25" t="e">
        <f t="shared" ref="AE342" si="818">IF($J322="Ja",AE341,AE337+AE330)</f>
        <v>#DIV/0!</v>
      </c>
      <c r="AF342" s="25" t="e">
        <f t="shared" ref="AF342" si="819">IF($J322="Ja",AF341,AF337+AF330)</f>
        <v>#DIV/0!</v>
      </c>
      <c r="AG342" s="25" t="e">
        <f t="shared" ref="AG342" si="820">IF($J322="Ja",AG341,AG337+AG330)</f>
        <v>#DIV/0!</v>
      </c>
      <c r="AH342" s="91"/>
      <c r="AI342" s="493"/>
      <c r="AJ342" s="91"/>
      <c r="AK342" s="47"/>
      <c r="BH342" s="2" t="s">
        <v>577</v>
      </c>
      <c r="BI342" s="2">
        <v>1600</v>
      </c>
      <c r="BJ342" s="2">
        <v>900</v>
      </c>
      <c r="BN342" s="2">
        <v>1443</v>
      </c>
    </row>
    <row r="343" spans="2:66">
      <c r="B343" s="46" t="s">
        <v>617</v>
      </c>
      <c r="D343" s="25" t="e">
        <f>D342/12</f>
        <v>#DIV/0!</v>
      </c>
      <c r="E343" s="25" t="e">
        <f>E342/12</f>
        <v>#DIV/0!</v>
      </c>
      <c r="F343" s="25" t="e">
        <f t="shared" ref="F343:AG343" si="821">F342/12</f>
        <v>#DIV/0!</v>
      </c>
      <c r="G343" s="25" t="e">
        <f t="shared" si="821"/>
        <v>#DIV/0!</v>
      </c>
      <c r="H343" s="25" t="e">
        <f t="shared" si="821"/>
        <v>#DIV/0!</v>
      </c>
      <c r="I343" s="25" t="e">
        <f t="shared" si="821"/>
        <v>#DIV/0!</v>
      </c>
      <c r="J343" s="25" t="e">
        <f t="shared" si="821"/>
        <v>#DIV/0!</v>
      </c>
      <c r="K343" s="25" t="e">
        <f t="shared" si="821"/>
        <v>#DIV/0!</v>
      </c>
      <c r="L343" s="25" t="e">
        <f t="shared" si="821"/>
        <v>#DIV/0!</v>
      </c>
      <c r="M343" s="25" t="e">
        <f t="shared" si="821"/>
        <v>#DIV/0!</v>
      </c>
      <c r="N343" s="25" t="e">
        <f t="shared" si="821"/>
        <v>#DIV/0!</v>
      </c>
      <c r="O343" s="25" t="e">
        <f t="shared" si="821"/>
        <v>#DIV/0!</v>
      </c>
      <c r="P343" s="25" t="e">
        <f t="shared" si="821"/>
        <v>#DIV/0!</v>
      </c>
      <c r="Q343" s="25" t="e">
        <f t="shared" si="821"/>
        <v>#DIV/0!</v>
      </c>
      <c r="R343" s="25" t="e">
        <f t="shared" si="821"/>
        <v>#DIV/0!</v>
      </c>
      <c r="S343" s="25" t="e">
        <f t="shared" si="821"/>
        <v>#DIV/0!</v>
      </c>
      <c r="T343" s="25" t="e">
        <f t="shared" si="821"/>
        <v>#DIV/0!</v>
      </c>
      <c r="U343" s="25" t="e">
        <f t="shared" si="821"/>
        <v>#DIV/0!</v>
      </c>
      <c r="V343" s="25" t="e">
        <f t="shared" si="821"/>
        <v>#DIV/0!</v>
      </c>
      <c r="W343" s="25" t="e">
        <f t="shared" si="821"/>
        <v>#DIV/0!</v>
      </c>
      <c r="X343" s="25" t="e">
        <f t="shared" si="821"/>
        <v>#DIV/0!</v>
      </c>
      <c r="Y343" s="25" t="e">
        <f t="shared" si="821"/>
        <v>#DIV/0!</v>
      </c>
      <c r="Z343" s="25" t="e">
        <f t="shared" si="821"/>
        <v>#DIV/0!</v>
      </c>
      <c r="AA343" s="25" t="e">
        <f t="shared" si="821"/>
        <v>#DIV/0!</v>
      </c>
      <c r="AB343" s="25" t="e">
        <f t="shared" si="821"/>
        <v>#DIV/0!</v>
      </c>
      <c r="AC343" s="25" t="e">
        <f t="shared" si="821"/>
        <v>#DIV/0!</v>
      </c>
      <c r="AD343" s="25" t="e">
        <f t="shared" si="821"/>
        <v>#DIV/0!</v>
      </c>
      <c r="AE343" s="25" t="e">
        <f t="shared" si="821"/>
        <v>#DIV/0!</v>
      </c>
      <c r="AF343" s="25" t="e">
        <f t="shared" si="821"/>
        <v>#DIV/0!</v>
      </c>
      <c r="AG343" s="25" t="e">
        <f t="shared" si="821"/>
        <v>#DIV/0!</v>
      </c>
      <c r="AH343" s="91"/>
      <c r="AI343" s="24"/>
      <c r="AJ343" s="91"/>
      <c r="AK343" s="47"/>
    </row>
    <row r="344" spans="2:66" ht="18.600000000000001">
      <c r="B344" s="46" t="s">
        <v>618</v>
      </c>
      <c r="D344" s="54" t="e">
        <f t="shared" ref="D344:AG344" si="822">IF($J322="Ja",D332-D340+D339,D331-D337)</f>
        <v>#DIV/0!</v>
      </c>
      <c r="E344" s="54" t="e">
        <f t="shared" si="822"/>
        <v>#DIV/0!</v>
      </c>
      <c r="F344" s="54" t="e">
        <f t="shared" si="822"/>
        <v>#DIV/0!</v>
      </c>
      <c r="G344" s="54" t="e">
        <f t="shared" si="822"/>
        <v>#DIV/0!</v>
      </c>
      <c r="H344" s="54" t="e">
        <f t="shared" si="822"/>
        <v>#DIV/0!</v>
      </c>
      <c r="I344" s="54" t="e">
        <f t="shared" si="822"/>
        <v>#DIV/0!</v>
      </c>
      <c r="J344" s="54" t="e">
        <f t="shared" si="822"/>
        <v>#DIV/0!</v>
      </c>
      <c r="K344" s="54" t="e">
        <f t="shared" si="822"/>
        <v>#DIV/0!</v>
      </c>
      <c r="L344" s="54" t="e">
        <f t="shared" si="822"/>
        <v>#DIV/0!</v>
      </c>
      <c r="M344" s="54" t="e">
        <f t="shared" si="822"/>
        <v>#DIV/0!</v>
      </c>
      <c r="N344" s="54" t="e">
        <f t="shared" si="822"/>
        <v>#DIV/0!</v>
      </c>
      <c r="O344" s="54" t="e">
        <f t="shared" si="822"/>
        <v>#DIV/0!</v>
      </c>
      <c r="P344" s="54" t="e">
        <f t="shared" si="822"/>
        <v>#DIV/0!</v>
      </c>
      <c r="Q344" s="54" t="e">
        <f t="shared" si="822"/>
        <v>#DIV/0!</v>
      </c>
      <c r="R344" s="54" t="e">
        <f t="shared" si="822"/>
        <v>#DIV/0!</v>
      </c>
      <c r="S344" s="54" t="e">
        <f t="shared" si="822"/>
        <v>#DIV/0!</v>
      </c>
      <c r="T344" s="54" t="e">
        <f t="shared" si="822"/>
        <v>#DIV/0!</v>
      </c>
      <c r="U344" s="54" t="e">
        <f t="shared" si="822"/>
        <v>#DIV/0!</v>
      </c>
      <c r="V344" s="54" t="e">
        <f t="shared" si="822"/>
        <v>#DIV/0!</v>
      </c>
      <c r="W344" s="54" t="e">
        <f t="shared" si="822"/>
        <v>#DIV/0!</v>
      </c>
      <c r="X344" s="54" t="e">
        <f t="shared" si="822"/>
        <v>#DIV/0!</v>
      </c>
      <c r="Y344" s="54" t="e">
        <f t="shared" si="822"/>
        <v>#DIV/0!</v>
      </c>
      <c r="Z344" s="54" t="e">
        <f t="shared" si="822"/>
        <v>#DIV/0!</v>
      </c>
      <c r="AA344" s="54" t="e">
        <f t="shared" si="822"/>
        <v>#DIV/0!</v>
      </c>
      <c r="AB344" s="54" t="e">
        <f t="shared" si="822"/>
        <v>#DIV/0!</v>
      </c>
      <c r="AC344" s="54" t="e">
        <f t="shared" si="822"/>
        <v>#DIV/0!</v>
      </c>
      <c r="AD344" s="54" t="e">
        <f t="shared" si="822"/>
        <v>#DIV/0!</v>
      </c>
      <c r="AE344" s="54" t="e">
        <f t="shared" si="822"/>
        <v>#DIV/0!</v>
      </c>
      <c r="AF344" s="54" t="e">
        <f t="shared" si="822"/>
        <v>#DIV/0!</v>
      </c>
      <c r="AG344" s="54" t="e">
        <f t="shared" si="822"/>
        <v>#DIV/0!</v>
      </c>
      <c r="AH344" s="92" t="s">
        <v>619</v>
      </c>
      <c r="AI344" s="3" t="s">
        <v>348</v>
      </c>
      <c r="AJ344" s="107" t="s">
        <v>620</v>
      </c>
      <c r="AK344" s="97" t="str">
        <f>IF(Allgemein!J343="Ja","mit PV","ohne PV")</f>
        <v>ohne PV</v>
      </c>
      <c r="BH344" s="2" t="s">
        <v>577</v>
      </c>
      <c r="BI344" s="2">
        <v>1800</v>
      </c>
      <c r="BJ344" s="2">
        <v>900</v>
      </c>
      <c r="BN344" s="2">
        <v>1624</v>
      </c>
    </row>
    <row r="345" spans="2:66">
      <c r="B345" s="46" t="s">
        <v>621</v>
      </c>
      <c r="D345" s="54" t="e">
        <f>D344/12</f>
        <v>#DIV/0!</v>
      </c>
      <c r="E345" s="54" t="e">
        <f>E344/12</f>
        <v>#DIV/0!</v>
      </c>
      <c r="F345" s="54" t="e">
        <f>F344/12</f>
        <v>#DIV/0!</v>
      </c>
      <c r="G345" s="54" t="e">
        <f t="shared" ref="G345:AG345" si="823">G344/12</f>
        <v>#DIV/0!</v>
      </c>
      <c r="H345" s="54" t="e">
        <f t="shared" si="823"/>
        <v>#DIV/0!</v>
      </c>
      <c r="I345" s="54" t="e">
        <f t="shared" si="823"/>
        <v>#DIV/0!</v>
      </c>
      <c r="J345" s="54" t="e">
        <f t="shared" si="823"/>
        <v>#DIV/0!</v>
      </c>
      <c r="K345" s="54" t="e">
        <f t="shared" si="823"/>
        <v>#DIV/0!</v>
      </c>
      <c r="L345" s="54" t="e">
        <f t="shared" si="823"/>
        <v>#DIV/0!</v>
      </c>
      <c r="M345" s="54" t="e">
        <f t="shared" si="823"/>
        <v>#DIV/0!</v>
      </c>
      <c r="N345" s="54" t="e">
        <f t="shared" si="823"/>
        <v>#DIV/0!</v>
      </c>
      <c r="O345" s="54" t="e">
        <f t="shared" si="823"/>
        <v>#DIV/0!</v>
      </c>
      <c r="P345" s="54" t="e">
        <f t="shared" si="823"/>
        <v>#DIV/0!</v>
      </c>
      <c r="Q345" s="54" t="e">
        <f t="shared" si="823"/>
        <v>#DIV/0!</v>
      </c>
      <c r="R345" s="54" t="e">
        <f t="shared" si="823"/>
        <v>#DIV/0!</v>
      </c>
      <c r="S345" s="54" t="e">
        <f t="shared" si="823"/>
        <v>#DIV/0!</v>
      </c>
      <c r="T345" s="54" t="e">
        <f t="shared" si="823"/>
        <v>#DIV/0!</v>
      </c>
      <c r="U345" s="54" t="e">
        <f t="shared" si="823"/>
        <v>#DIV/0!</v>
      </c>
      <c r="V345" s="54" t="e">
        <f t="shared" si="823"/>
        <v>#DIV/0!</v>
      </c>
      <c r="W345" s="54" t="e">
        <f t="shared" si="823"/>
        <v>#DIV/0!</v>
      </c>
      <c r="X345" s="54" t="e">
        <f t="shared" si="823"/>
        <v>#DIV/0!</v>
      </c>
      <c r="Y345" s="54" t="e">
        <f t="shared" si="823"/>
        <v>#DIV/0!</v>
      </c>
      <c r="Z345" s="54" t="e">
        <f t="shared" si="823"/>
        <v>#DIV/0!</v>
      </c>
      <c r="AA345" s="54" t="e">
        <f t="shared" si="823"/>
        <v>#DIV/0!</v>
      </c>
      <c r="AB345" s="54" t="e">
        <f t="shared" si="823"/>
        <v>#DIV/0!</v>
      </c>
      <c r="AC345" s="54" t="e">
        <f t="shared" si="823"/>
        <v>#DIV/0!</v>
      </c>
      <c r="AD345" s="54" t="e">
        <f t="shared" si="823"/>
        <v>#DIV/0!</v>
      </c>
      <c r="AE345" s="54" t="e">
        <f t="shared" si="823"/>
        <v>#DIV/0!</v>
      </c>
      <c r="AF345" s="54" t="e">
        <f t="shared" si="823"/>
        <v>#DIV/0!</v>
      </c>
      <c r="AG345" s="108" t="e">
        <f t="shared" si="823"/>
        <v>#DIV/0!</v>
      </c>
      <c r="AI345" s="89" t="e">
        <f>IF($J322="Ja",Datenbank!AI341,AI338)</f>
        <v>#DIV/0!</v>
      </c>
      <c r="AJ345" s="105" t="e">
        <f>SUM(D344:AG344)</f>
        <v>#DIV/0!</v>
      </c>
      <c r="AK345" s="104" t="str">
        <f>IF(Allgemein!F346="Ja","mit WP","ohne WP")</f>
        <v>ohne WP</v>
      </c>
      <c r="BH345" s="2" t="s">
        <v>577</v>
      </c>
      <c r="BI345" s="2">
        <v>2000</v>
      </c>
      <c r="BJ345" s="2">
        <v>900</v>
      </c>
      <c r="BN345" s="2">
        <v>1804</v>
      </c>
    </row>
    <row r="346" spans="2:66" ht="18.600000000000001">
      <c r="B346" s="99" t="s">
        <v>622</v>
      </c>
      <c r="C346" s="81"/>
      <c r="D346" s="82"/>
      <c r="E346" s="83"/>
      <c r="F346" s="83"/>
      <c r="G346" s="83"/>
      <c r="H346" s="83"/>
      <c r="I346" s="83"/>
      <c r="J346" s="83"/>
      <c r="K346" s="83"/>
      <c r="L346" s="83"/>
      <c r="M346" s="83"/>
      <c r="N346" s="83"/>
      <c r="O346" s="83"/>
      <c r="P346" s="83"/>
      <c r="Q346" s="83"/>
      <c r="R346" s="83"/>
      <c r="S346" s="83"/>
      <c r="T346" s="83"/>
      <c r="U346" s="83"/>
      <c r="V346" s="83"/>
      <c r="W346" s="83"/>
      <c r="X346" s="83"/>
      <c r="Y346" s="83"/>
      <c r="Z346" s="83"/>
      <c r="AA346" s="83"/>
      <c r="AB346" s="83"/>
      <c r="AC346" s="83"/>
      <c r="AD346" s="83"/>
      <c r="AE346" s="83"/>
      <c r="AF346" s="83"/>
      <c r="AG346" s="83"/>
      <c r="AH346" s="11"/>
      <c r="AI346" s="80" t="s">
        <v>622</v>
      </c>
      <c r="AJ346" s="11"/>
      <c r="AK346" s="100"/>
      <c r="BH346" s="2" t="s">
        <v>577</v>
      </c>
      <c r="BI346" s="2">
        <v>2200</v>
      </c>
      <c r="BJ346" s="2">
        <v>900</v>
      </c>
      <c r="BN346" s="2">
        <v>1984</v>
      </c>
    </row>
    <row r="347" spans="2:66">
      <c r="B347" s="46" t="s">
        <v>623</v>
      </c>
      <c r="D347" s="77">
        <f t="shared" ref="D347:AG347" si="824">D316</f>
        <v>0</v>
      </c>
      <c r="E347" s="77">
        <f t="shared" si="824"/>
        <v>0</v>
      </c>
      <c r="F347" s="77">
        <f t="shared" si="824"/>
        <v>0</v>
      </c>
      <c r="G347" s="77">
        <f t="shared" si="824"/>
        <v>0</v>
      </c>
      <c r="H347" s="77">
        <f t="shared" si="824"/>
        <v>0</v>
      </c>
      <c r="I347" s="77">
        <f t="shared" si="824"/>
        <v>0</v>
      </c>
      <c r="J347" s="77">
        <f t="shared" si="824"/>
        <v>0</v>
      </c>
      <c r="K347" s="77">
        <f t="shared" si="824"/>
        <v>0</v>
      </c>
      <c r="L347" s="77">
        <f t="shared" si="824"/>
        <v>0</v>
      </c>
      <c r="M347" s="77">
        <f t="shared" si="824"/>
        <v>0</v>
      </c>
      <c r="N347" s="77">
        <f t="shared" si="824"/>
        <v>0</v>
      </c>
      <c r="O347" s="77">
        <f t="shared" si="824"/>
        <v>0</v>
      </c>
      <c r="P347" s="77">
        <f t="shared" si="824"/>
        <v>0</v>
      </c>
      <c r="Q347" s="77">
        <f t="shared" si="824"/>
        <v>0</v>
      </c>
      <c r="R347" s="77">
        <f t="shared" si="824"/>
        <v>0</v>
      </c>
      <c r="S347" s="77">
        <f t="shared" si="824"/>
        <v>0</v>
      </c>
      <c r="T347" s="77">
        <f t="shared" si="824"/>
        <v>0</v>
      </c>
      <c r="U347" s="77">
        <f t="shared" si="824"/>
        <v>0</v>
      </c>
      <c r="V347" s="77">
        <f t="shared" si="824"/>
        <v>0</v>
      </c>
      <c r="W347" s="77">
        <f t="shared" si="824"/>
        <v>0</v>
      </c>
      <c r="X347" s="77">
        <f t="shared" si="824"/>
        <v>0</v>
      </c>
      <c r="Y347" s="77">
        <f t="shared" si="824"/>
        <v>0</v>
      </c>
      <c r="Z347" s="77">
        <f t="shared" si="824"/>
        <v>0</v>
      </c>
      <c r="AA347" s="77">
        <f t="shared" si="824"/>
        <v>0</v>
      </c>
      <c r="AB347" s="77">
        <f t="shared" si="824"/>
        <v>0</v>
      </c>
      <c r="AC347" s="77">
        <f t="shared" si="824"/>
        <v>0</v>
      </c>
      <c r="AD347" s="77">
        <f t="shared" si="824"/>
        <v>0</v>
      </c>
      <c r="AE347" s="77">
        <f t="shared" si="824"/>
        <v>0</v>
      </c>
      <c r="AF347" s="77">
        <f t="shared" si="824"/>
        <v>0</v>
      </c>
      <c r="AG347" s="77">
        <f t="shared" si="824"/>
        <v>0</v>
      </c>
      <c r="AH347" s="84"/>
      <c r="AI347" s="85">
        <f>SUM(D347:AG347)</f>
        <v>0</v>
      </c>
      <c r="AJ347" s="84"/>
      <c r="AK347" s="116"/>
      <c r="BH347" s="2" t="s">
        <v>577</v>
      </c>
      <c r="BI347" s="2">
        <v>2300</v>
      </c>
      <c r="BJ347" s="2">
        <v>900</v>
      </c>
      <c r="BN347" s="2">
        <v>2111</v>
      </c>
    </row>
    <row r="348" spans="2:66">
      <c r="B348" s="46" t="s">
        <v>628</v>
      </c>
      <c r="D348" s="77">
        <f>D347/12</f>
        <v>0</v>
      </c>
      <c r="E348" s="77">
        <f>E347/12</f>
        <v>0</v>
      </c>
      <c r="F348" s="77">
        <f t="shared" ref="F348:AG348" si="825">F347/12</f>
        <v>0</v>
      </c>
      <c r="G348" s="77">
        <f t="shared" si="825"/>
        <v>0</v>
      </c>
      <c r="H348" s="77">
        <f t="shared" si="825"/>
        <v>0</v>
      </c>
      <c r="I348" s="77">
        <f t="shared" si="825"/>
        <v>0</v>
      </c>
      <c r="J348" s="77">
        <f t="shared" si="825"/>
        <v>0</v>
      </c>
      <c r="K348" s="77">
        <f t="shared" si="825"/>
        <v>0</v>
      </c>
      <c r="L348" s="77">
        <f t="shared" si="825"/>
        <v>0</v>
      </c>
      <c r="M348" s="77">
        <f t="shared" si="825"/>
        <v>0</v>
      </c>
      <c r="N348" s="77">
        <f t="shared" si="825"/>
        <v>0</v>
      </c>
      <c r="O348" s="77">
        <f t="shared" si="825"/>
        <v>0</v>
      </c>
      <c r="P348" s="77">
        <f t="shared" si="825"/>
        <v>0</v>
      </c>
      <c r="Q348" s="77">
        <f t="shared" si="825"/>
        <v>0</v>
      </c>
      <c r="R348" s="77">
        <f t="shared" si="825"/>
        <v>0</v>
      </c>
      <c r="S348" s="77">
        <f t="shared" si="825"/>
        <v>0</v>
      </c>
      <c r="T348" s="77">
        <f t="shared" si="825"/>
        <v>0</v>
      </c>
      <c r="U348" s="77">
        <f t="shared" si="825"/>
        <v>0</v>
      </c>
      <c r="V348" s="77">
        <f t="shared" si="825"/>
        <v>0</v>
      </c>
      <c r="W348" s="77">
        <f t="shared" si="825"/>
        <v>0</v>
      </c>
      <c r="X348" s="77">
        <f t="shared" si="825"/>
        <v>0</v>
      </c>
      <c r="Y348" s="77">
        <f t="shared" si="825"/>
        <v>0</v>
      </c>
      <c r="Z348" s="77">
        <f t="shared" si="825"/>
        <v>0</v>
      </c>
      <c r="AA348" s="77">
        <f t="shared" si="825"/>
        <v>0</v>
      </c>
      <c r="AB348" s="77">
        <f t="shared" si="825"/>
        <v>0</v>
      </c>
      <c r="AC348" s="77">
        <f t="shared" si="825"/>
        <v>0</v>
      </c>
      <c r="AD348" s="77">
        <f t="shared" si="825"/>
        <v>0</v>
      </c>
      <c r="AE348" s="77">
        <f t="shared" si="825"/>
        <v>0</v>
      </c>
      <c r="AF348" s="77">
        <f t="shared" si="825"/>
        <v>0</v>
      </c>
      <c r="AG348" s="77">
        <f t="shared" si="825"/>
        <v>0</v>
      </c>
      <c r="AH348" s="90"/>
      <c r="AI348" s="87"/>
      <c r="AJ348" s="90"/>
      <c r="AK348" s="116"/>
    </row>
    <row r="349" spans="2:66">
      <c r="B349" s="67" t="s">
        <v>603</v>
      </c>
      <c r="D349" s="78" t="e">
        <f t="shared" ref="D349:AG349" si="826">D344</f>
        <v>#DIV/0!</v>
      </c>
      <c r="E349" s="78" t="e">
        <f t="shared" si="826"/>
        <v>#DIV/0!</v>
      </c>
      <c r="F349" s="78" t="e">
        <f t="shared" si="826"/>
        <v>#DIV/0!</v>
      </c>
      <c r="G349" s="78" t="e">
        <f t="shared" si="826"/>
        <v>#DIV/0!</v>
      </c>
      <c r="H349" s="78" t="e">
        <f t="shared" si="826"/>
        <v>#DIV/0!</v>
      </c>
      <c r="I349" s="78" t="e">
        <f t="shared" si="826"/>
        <v>#DIV/0!</v>
      </c>
      <c r="J349" s="78" t="e">
        <f t="shared" si="826"/>
        <v>#DIV/0!</v>
      </c>
      <c r="K349" s="78" t="e">
        <f t="shared" si="826"/>
        <v>#DIV/0!</v>
      </c>
      <c r="L349" s="78" t="e">
        <f t="shared" si="826"/>
        <v>#DIV/0!</v>
      </c>
      <c r="M349" s="78" t="e">
        <f t="shared" si="826"/>
        <v>#DIV/0!</v>
      </c>
      <c r="N349" s="78" t="e">
        <f t="shared" si="826"/>
        <v>#DIV/0!</v>
      </c>
      <c r="O349" s="78" t="e">
        <f t="shared" si="826"/>
        <v>#DIV/0!</v>
      </c>
      <c r="P349" s="78" t="e">
        <f t="shared" si="826"/>
        <v>#DIV/0!</v>
      </c>
      <c r="Q349" s="78" t="e">
        <f t="shared" si="826"/>
        <v>#DIV/0!</v>
      </c>
      <c r="R349" s="78" t="e">
        <f t="shared" si="826"/>
        <v>#DIV/0!</v>
      </c>
      <c r="S349" s="78" t="e">
        <f t="shared" si="826"/>
        <v>#DIV/0!</v>
      </c>
      <c r="T349" s="78" t="e">
        <f t="shared" si="826"/>
        <v>#DIV/0!</v>
      </c>
      <c r="U349" s="78" t="e">
        <f t="shared" si="826"/>
        <v>#DIV/0!</v>
      </c>
      <c r="V349" s="78" t="e">
        <f t="shared" si="826"/>
        <v>#DIV/0!</v>
      </c>
      <c r="W349" s="78" t="e">
        <f t="shared" si="826"/>
        <v>#DIV/0!</v>
      </c>
      <c r="X349" s="78" t="e">
        <f t="shared" si="826"/>
        <v>#DIV/0!</v>
      </c>
      <c r="Y349" s="78" t="e">
        <f t="shared" si="826"/>
        <v>#DIV/0!</v>
      </c>
      <c r="Z349" s="78" t="e">
        <f t="shared" si="826"/>
        <v>#DIV/0!</v>
      </c>
      <c r="AA349" s="78" t="e">
        <f t="shared" si="826"/>
        <v>#DIV/0!</v>
      </c>
      <c r="AB349" s="78" t="e">
        <f t="shared" si="826"/>
        <v>#DIV/0!</v>
      </c>
      <c r="AC349" s="78" t="e">
        <f t="shared" si="826"/>
        <v>#DIV/0!</v>
      </c>
      <c r="AD349" s="78" t="e">
        <f t="shared" si="826"/>
        <v>#DIV/0!</v>
      </c>
      <c r="AE349" s="78" t="e">
        <f t="shared" si="826"/>
        <v>#DIV/0!</v>
      </c>
      <c r="AF349" s="78" t="e">
        <f t="shared" si="826"/>
        <v>#DIV/0!</v>
      </c>
      <c r="AG349" s="78" t="e">
        <f t="shared" si="826"/>
        <v>#DIV/0!</v>
      </c>
      <c r="AH349" s="90"/>
      <c r="AI349" s="87" t="e">
        <f>SUM(D349:AG349)</f>
        <v>#DIV/0!</v>
      </c>
      <c r="AJ349" s="90"/>
      <c r="AK349" s="102"/>
      <c r="BH349" s="2" t="s">
        <v>577</v>
      </c>
      <c r="BI349" s="2">
        <v>2600</v>
      </c>
      <c r="BJ349" s="2">
        <v>900</v>
      </c>
      <c r="BN349" s="2">
        <v>2386</v>
      </c>
    </row>
    <row r="350" spans="2:66">
      <c r="B350" s="46" t="s">
        <v>625</v>
      </c>
      <c r="D350" s="24" t="e">
        <f>D349-D347</f>
        <v>#DIV/0!</v>
      </c>
      <c r="E350" s="24" t="e">
        <f>E349-E347</f>
        <v>#DIV/0!</v>
      </c>
      <c r="F350" s="24" t="e">
        <f t="shared" ref="F350" si="827">F349-F347</f>
        <v>#DIV/0!</v>
      </c>
      <c r="G350" s="24" t="e">
        <f>G349-G347</f>
        <v>#DIV/0!</v>
      </c>
      <c r="H350" s="24" t="e">
        <f t="shared" ref="H350:AG350" si="828">H349-H347</f>
        <v>#DIV/0!</v>
      </c>
      <c r="I350" s="24" t="e">
        <f t="shared" si="828"/>
        <v>#DIV/0!</v>
      </c>
      <c r="J350" s="24" t="e">
        <f t="shared" si="828"/>
        <v>#DIV/0!</v>
      </c>
      <c r="K350" s="24" t="e">
        <f t="shared" si="828"/>
        <v>#DIV/0!</v>
      </c>
      <c r="L350" s="24" t="e">
        <f t="shared" si="828"/>
        <v>#DIV/0!</v>
      </c>
      <c r="M350" s="24" t="e">
        <f t="shared" si="828"/>
        <v>#DIV/0!</v>
      </c>
      <c r="N350" s="24" t="e">
        <f t="shared" si="828"/>
        <v>#DIV/0!</v>
      </c>
      <c r="O350" s="24" t="e">
        <f t="shared" si="828"/>
        <v>#DIV/0!</v>
      </c>
      <c r="P350" s="24" t="e">
        <f t="shared" si="828"/>
        <v>#DIV/0!</v>
      </c>
      <c r="Q350" s="24" t="e">
        <f t="shared" si="828"/>
        <v>#DIV/0!</v>
      </c>
      <c r="R350" s="24" t="e">
        <f t="shared" si="828"/>
        <v>#DIV/0!</v>
      </c>
      <c r="S350" s="24" t="e">
        <f t="shared" si="828"/>
        <v>#DIV/0!</v>
      </c>
      <c r="T350" s="24" t="e">
        <f t="shared" si="828"/>
        <v>#DIV/0!</v>
      </c>
      <c r="U350" s="24" t="e">
        <f t="shared" si="828"/>
        <v>#DIV/0!</v>
      </c>
      <c r="V350" s="24" t="e">
        <f t="shared" si="828"/>
        <v>#DIV/0!</v>
      </c>
      <c r="W350" s="24" t="e">
        <f t="shared" si="828"/>
        <v>#DIV/0!</v>
      </c>
      <c r="X350" s="24" t="e">
        <f t="shared" si="828"/>
        <v>#DIV/0!</v>
      </c>
      <c r="Y350" s="24" t="e">
        <f t="shared" si="828"/>
        <v>#DIV/0!</v>
      </c>
      <c r="Z350" s="24" t="e">
        <f t="shared" si="828"/>
        <v>#DIV/0!</v>
      </c>
      <c r="AA350" s="24" t="e">
        <f t="shared" si="828"/>
        <v>#DIV/0!</v>
      </c>
      <c r="AB350" s="24" t="e">
        <f t="shared" si="828"/>
        <v>#DIV/0!</v>
      </c>
      <c r="AC350" s="24" t="e">
        <f t="shared" si="828"/>
        <v>#DIV/0!</v>
      </c>
      <c r="AD350" s="24" t="e">
        <f t="shared" si="828"/>
        <v>#DIV/0!</v>
      </c>
      <c r="AE350" s="24" t="e">
        <f t="shared" si="828"/>
        <v>#DIV/0!</v>
      </c>
      <c r="AF350" s="24" t="e">
        <f t="shared" si="828"/>
        <v>#DIV/0!</v>
      </c>
      <c r="AG350" s="24" t="e">
        <f t="shared" si="828"/>
        <v>#DIV/0!</v>
      </c>
      <c r="AH350" s="90"/>
      <c r="AI350" s="87" t="e">
        <f>SUM(D350:AG350)</f>
        <v>#DIV/0!</v>
      </c>
      <c r="AJ350" s="90"/>
      <c r="AK350" s="47"/>
      <c r="BH350" s="2" t="s">
        <v>577</v>
      </c>
      <c r="BI350" s="2">
        <v>3000</v>
      </c>
      <c r="BJ350" s="2">
        <v>900</v>
      </c>
      <c r="BN350" s="2">
        <v>2753</v>
      </c>
    </row>
    <row r="351" spans="2:66" ht="17.399999999999999" thickBot="1">
      <c r="B351" s="906" t="s">
        <v>626</v>
      </c>
      <c r="C351" s="907"/>
      <c r="D351" s="908" t="e">
        <f>D350/12</f>
        <v>#DIV/0!</v>
      </c>
      <c r="E351" s="908" t="e">
        <f t="shared" ref="E351:AG351" si="829">E350/12</f>
        <v>#DIV/0!</v>
      </c>
      <c r="F351" s="908" t="e">
        <f t="shared" si="829"/>
        <v>#DIV/0!</v>
      </c>
      <c r="G351" s="908" t="e">
        <f t="shared" si="829"/>
        <v>#DIV/0!</v>
      </c>
      <c r="H351" s="908" t="e">
        <f t="shared" si="829"/>
        <v>#DIV/0!</v>
      </c>
      <c r="I351" s="908" t="e">
        <f t="shared" si="829"/>
        <v>#DIV/0!</v>
      </c>
      <c r="J351" s="908" t="e">
        <f t="shared" si="829"/>
        <v>#DIV/0!</v>
      </c>
      <c r="K351" s="908" t="e">
        <f t="shared" si="829"/>
        <v>#DIV/0!</v>
      </c>
      <c r="L351" s="908" t="e">
        <f t="shared" si="829"/>
        <v>#DIV/0!</v>
      </c>
      <c r="M351" s="908" t="e">
        <f t="shared" si="829"/>
        <v>#DIV/0!</v>
      </c>
      <c r="N351" s="908" t="e">
        <f t="shared" si="829"/>
        <v>#DIV/0!</v>
      </c>
      <c r="O351" s="908" t="e">
        <f t="shared" si="829"/>
        <v>#DIV/0!</v>
      </c>
      <c r="P351" s="908" t="e">
        <f t="shared" si="829"/>
        <v>#DIV/0!</v>
      </c>
      <c r="Q351" s="908" t="e">
        <f t="shared" si="829"/>
        <v>#DIV/0!</v>
      </c>
      <c r="R351" s="908" t="e">
        <f t="shared" si="829"/>
        <v>#DIV/0!</v>
      </c>
      <c r="S351" s="908" t="e">
        <f t="shared" si="829"/>
        <v>#DIV/0!</v>
      </c>
      <c r="T351" s="908" t="e">
        <f t="shared" si="829"/>
        <v>#DIV/0!</v>
      </c>
      <c r="U351" s="908" t="e">
        <f t="shared" si="829"/>
        <v>#DIV/0!</v>
      </c>
      <c r="V351" s="908" t="e">
        <f t="shared" si="829"/>
        <v>#DIV/0!</v>
      </c>
      <c r="W351" s="908" t="e">
        <f t="shared" si="829"/>
        <v>#DIV/0!</v>
      </c>
      <c r="X351" s="908" t="e">
        <f t="shared" si="829"/>
        <v>#DIV/0!</v>
      </c>
      <c r="Y351" s="908" t="e">
        <f t="shared" si="829"/>
        <v>#DIV/0!</v>
      </c>
      <c r="Z351" s="908" t="e">
        <f t="shared" si="829"/>
        <v>#DIV/0!</v>
      </c>
      <c r="AA351" s="908" t="e">
        <f t="shared" si="829"/>
        <v>#DIV/0!</v>
      </c>
      <c r="AB351" s="908" t="e">
        <f t="shared" si="829"/>
        <v>#DIV/0!</v>
      </c>
      <c r="AC351" s="908" t="e">
        <f t="shared" si="829"/>
        <v>#DIV/0!</v>
      </c>
      <c r="AD351" s="908" t="e">
        <f t="shared" si="829"/>
        <v>#DIV/0!</v>
      </c>
      <c r="AE351" s="908" t="e">
        <f t="shared" si="829"/>
        <v>#DIV/0!</v>
      </c>
      <c r="AF351" s="908" t="e">
        <f t="shared" si="829"/>
        <v>#DIV/0!</v>
      </c>
      <c r="AG351" s="908" t="e">
        <f t="shared" si="829"/>
        <v>#DIV/0!</v>
      </c>
      <c r="AH351" s="909"/>
      <c r="AI351" s="910"/>
      <c r="AJ351" s="909"/>
      <c r="AK351" s="911"/>
      <c r="BH351" s="2" t="s">
        <v>576</v>
      </c>
      <c r="BI351" s="2">
        <v>400</v>
      </c>
      <c r="BJ351" s="2">
        <v>500</v>
      </c>
      <c r="BN351" s="2">
        <v>180</v>
      </c>
    </row>
    <row r="352" spans="2:66">
      <c r="BH352" s="2" t="s">
        <v>576</v>
      </c>
      <c r="BI352" s="2">
        <v>500</v>
      </c>
      <c r="BJ352" s="2">
        <v>500</v>
      </c>
      <c r="BN352" s="2">
        <v>225</v>
      </c>
    </row>
    <row r="353" spans="2:66">
      <c r="BH353" s="2" t="s">
        <v>576</v>
      </c>
      <c r="BI353" s="2">
        <v>600</v>
      </c>
      <c r="BJ353" s="2">
        <v>500</v>
      </c>
      <c r="BN353" s="2">
        <v>269</v>
      </c>
    </row>
    <row r="354" spans="2:66">
      <c r="B354" s="4" t="s">
        <v>627</v>
      </c>
      <c r="C354" s="4"/>
      <c r="D354" s="4">
        <v>2025</v>
      </c>
      <c r="E354" s="4">
        <v>2026</v>
      </c>
      <c r="F354" s="4">
        <v>2027</v>
      </c>
      <c r="G354" s="4">
        <v>2028</v>
      </c>
      <c r="H354" s="4">
        <v>2029</v>
      </c>
      <c r="I354" s="4">
        <v>2030</v>
      </c>
      <c r="J354" s="4">
        <v>2031</v>
      </c>
      <c r="K354" s="4">
        <v>2032</v>
      </c>
      <c r="L354" s="4">
        <v>2033</v>
      </c>
      <c r="M354" s="4">
        <v>2034</v>
      </c>
      <c r="N354" s="4">
        <v>2035</v>
      </c>
      <c r="O354" s="4">
        <v>2036</v>
      </c>
      <c r="P354" s="4">
        <v>2037</v>
      </c>
      <c r="Q354" s="4">
        <v>2038</v>
      </c>
      <c r="R354" s="4">
        <v>2039</v>
      </c>
      <c r="S354" s="4">
        <v>2040</v>
      </c>
      <c r="T354" s="4">
        <v>2041</v>
      </c>
      <c r="U354" s="4">
        <v>2042</v>
      </c>
      <c r="V354" s="4">
        <v>2043</v>
      </c>
      <c r="W354" s="4">
        <v>2044</v>
      </c>
      <c r="X354" s="4">
        <v>2045</v>
      </c>
      <c r="Y354" s="4">
        <v>2046</v>
      </c>
      <c r="Z354" s="4">
        <v>2047</v>
      </c>
      <c r="AA354" s="4">
        <v>2048</v>
      </c>
      <c r="AB354" s="4">
        <v>2049</v>
      </c>
      <c r="AC354" s="4">
        <v>2050</v>
      </c>
      <c r="AD354" s="4">
        <v>2051</v>
      </c>
      <c r="AE354" s="4">
        <v>2052</v>
      </c>
      <c r="AF354" s="4">
        <v>2053</v>
      </c>
      <c r="AG354" s="4">
        <v>2054</v>
      </c>
      <c r="AH354" s="4"/>
      <c r="AI354" s="4"/>
      <c r="AJ354" s="4"/>
      <c r="AK354" s="4"/>
      <c r="AL354" s="4"/>
      <c r="AM354" s="4"/>
      <c r="AN354" s="4"/>
      <c r="AO354" s="4"/>
      <c r="AP354" s="4"/>
      <c r="AQ354" s="4"/>
      <c r="AR354" s="4"/>
      <c r="AS354" s="4"/>
      <c r="AT354" s="4"/>
      <c r="AU354" s="4"/>
      <c r="AV354" s="4"/>
      <c r="AW354" s="4"/>
      <c r="AX354" s="4"/>
      <c r="AY354" s="4"/>
      <c r="AZ354" s="4"/>
      <c r="BA354" s="4"/>
      <c r="BH354" s="2" t="s">
        <v>576</v>
      </c>
      <c r="BI354" s="2">
        <v>700</v>
      </c>
      <c r="BJ354" s="2">
        <v>500</v>
      </c>
      <c r="BN354" s="2">
        <v>314</v>
      </c>
    </row>
    <row r="355" spans="2:66">
      <c r="BH355" s="2" t="s">
        <v>576</v>
      </c>
      <c r="BI355" s="2">
        <v>800</v>
      </c>
      <c r="BJ355" s="2">
        <v>500</v>
      </c>
      <c r="BN355" s="2">
        <v>359</v>
      </c>
    </row>
    <row r="356" spans="2:66">
      <c r="BH356" s="2" t="s">
        <v>576</v>
      </c>
      <c r="BI356" s="2">
        <v>900</v>
      </c>
      <c r="BJ356" s="2">
        <v>500</v>
      </c>
      <c r="BN356" s="2">
        <v>404</v>
      </c>
    </row>
    <row r="357" spans="2:66">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c r="AI357" s="550"/>
      <c r="AN357" s="24"/>
      <c r="BH357" s="2" t="s">
        <v>576</v>
      </c>
      <c r="BI357" s="2">
        <v>1000</v>
      </c>
      <c r="BJ357" s="2">
        <v>500</v>
      </c>
      <c r="BN357" s="2">
        <v>449</v>
      </c>
    </row>
    <row r="358" spans="2:66" ht="70.2">
      <c r="B358" s="515"/>
      <c r="BH358" s="2" t="s">
        <v>576</v>
      </c>
      <c r="BI358" s="2">
        <v>1200</v>
      </c>
      <c r="BJ358" s="2">
        <v>500</v>
      </c>
      <c r="BN358" s="2">
        <v>539</v>
      </c>
    </row>
    <row r="359" spans="2:66" ht="18.600000000000001">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c r="AG359" s="54"/>
      <c r="AH359" s="62"/>
      <c r="AI359" s="3"/>
      <c r="AJ359" s="3"/>
      <c r="AK359" s="3"/>
      <c r="BH359" s="2" t="s">
        <v>576</v>
      </c>
      <c r="BI359" s="2">
        <v>1400</v>
      </c>
      <c r="BJ359" s="2">
        <v>500</v>
      </c>
      <c r="BN359" s="2">
        <v>629</v>
      </c>
    </row>
    <row r="360" spans="2:66">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c r="AG360" s="54"/>
      <c r="AH360" s="549"/>
      <c r="AI360" s="24"/>
      <c r="AN360" s="24"/>
      <c r="BH360" s="2" t="s">
        <v>576</v>
      </c>
      <c r="BI360" s="2">
        <v>1600</v>
      </c>
      <c r="BJ360" s="2">
        <v>500</v>
      </c>
      <c r="BN360" s="2">
        <v>442</v>
      </c>
    </row>
    <row r="361" spans="2:66">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I361" s="550"/>
      <c r="AN361" s="24"/>
      <c r="BH361" s="2" t="s">
        <v>576</v>
      </c>
      <c r="BI361" s="2">
        <v>1800</v>
      </c>
      <c r="BJ361" s="2">
        <v>500</v>
      </c>
      <c r="BN361" s="2">
        <v>497</v>
      </c>
    </row>
    <row r="362" spans="2:66" ht="18.600000000000001">
      <c r="B362" s="62"/>
      <c r="AI362" s="541"/>
      <c r="AN362" s="109"/>
      <c r="BH362" s="2" t="s">
        <v>576</v>
      </c>
      <c r="BI362" s="2">
        <v>2000</v>
      </c>
      <c r="BJ362" s="2">
        <v>500</v>
      </c>
      <c r="BN362" s="2">
        <v>552</v>
      </c>
    </row>
    <row r="363" spans="2:66">
      <c r="D363" s="540"/>
      <c r="E363" s="540"/>
      <c r="F363" s="540"/>
      <c r="G363" s="540"/>
      <c r="H363" s="540"/>
      <c r="I363" s="540"/>
      <c r="J363" s="540"/>
      <c r="K363" s="540"/>
      <c r="L363" s="540"/>
      <c r="M363" s="540"/>
      <c r="N363" s="540"/>
      <c r="O363" s="540"/>
      <c r="P363" s="540"/>
      <c r="Q363" s="540"/>
      <c r="R363" s="540"/>
      <c r="S363" s="540"/>
      <c r="T363" s="540"/>
      <c r="U363" s="540"/>
      <c r="V363" s="540"/>
      <c r="W363" s="540"/>
      <c r="X363" s="540"/>
      <c r="Y363" s="540"/>
      <c r="Z363" s="540"/>
      <c r="AA363" s="540"/>
      <c r="AB363" s="540"/>
      <c r="AC363" s="540"/>
      <c r="AD363" s="540"/>
      <c r="AE363" s="540"/>
      <c r="AF363" s="540"/>
      <c r="AG363" s="540"/>
      <c r="AI363" s="24"/>
      <c r="AN363" s="24"/>
      <c r="BH363" s="2" t="s">
        <v>576</v>
      </c>
      <c r="BI363" s="2">
        <v>400</v>
      </c>
      <c r="BJ363" s="2">
        <v>600</v>
      </c>
      <c r="BN363" s="2">
        <v>210</v>
      </c>
    </row>
    <row r="364" spans="2:66" ht="70.8" thickBot="1">
      <c r="B364" s="515" t="s">
        <v>629</v>
      </c>
      <c r="BH364" s="2" t="s">
        <v>576</v>
      </c>
      <c r="BI364" s="2">
        <v>500</v>
      </c>
      <c r="BJ364" s="2">
        <v>600</v>
      </c>
      <c r="BN364" s="2">
        <v>263</v>
      </c>
    </row>
    <row r="365" spans="2:66" ht="19.2" thickBot="1">
      <c r="B365" s="61" t="str">
        <f>Allgemein!L75</f>
        <v>BEG WG</v>
      </c>
      <c r="C365" s="29"/>
      <c r="D365" s="30"/>
      <c r="E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BH365" s="2" t="s">
        <v>576</v>
      </c>
      <c r="BI365" s="2">
        <v>600</v>
      </c>
      <c r="BJ365" s="2">
        <v>600</v>
      </c>
      <c r="BN365" s="2">
        <v>315</v>
      </c>
    </row>
    <row r="366" spans="2:66" ht="17.399999999999999" thickBot="1">
      <c r="B366" s="56" t="s">
        <v>339</v>
      </c>
      <c r="C366" s="57"/>
      <c r="D366" s="58">
        <v>1</v>
      </c>
      <c r="E366" s="59">
        <v>2</v>
      </c>
      <c r="F366" s="58">
        <v>3</v>
      </c>
      <c r="G366" s="59">
        <v>4</v>
      </c>
      <c r="H366" s="58">
        <v>5</v>
      </c>
      <c r="I366" s="59">
        <v>6</v>
      </c>
      <c r="J366" s="59">
        <v>7</v>
      </c>
      <c r="K366" s="58">
        <v>8</v>
      </c>
      <c r="L366" s="58">
        <v>9</v>
      </c>
      <c r="M366" s="59">
        <v>10</v>
      </c>
      <c r="N366" s="59">
        <v>11</v>
      </c>
      <c r="O366" s="58">
        <v>12</v>
      </c>
      <c r="P366" s="58">
        <v>13</v>
      </c>
      <c r="Q366" s="59">
        <v>14</v>
      </c>
      <c r="R366" s="59">
        <v>15</v>
      </c>
      <c r="S366" s="58">
        <v>16</v>
      </c>
      <c r="T366" s="58">
        <v>17</v>
      </c>
      <c r="U366" s="59">
        <v>18</v>
      </c>
      <c r="V366" s="59">
        <v>19</v>
      </c>
      <c r="W366" s="58">
        <v>20</v>
      </c>
      <c r="X366" s="58">
        <v>21</v>
      </c>
      <c r="Y366" s="59">
        <v>22</v>
      </c>
      <c r="Z366" s="59">
        <v>23</v>
      </c>
      <c r="AA366" s="58">
        <v>24</v>
      </c>
      <c r="AB366" s="58">
        <v>25</v>
      </c>
      <c r="AC366" s="59">
        <v>26</v>
      </c>
      <c r="AD366" s="59">
        <v>27</v>
      </c>
      <c r="AE366" s="58">
        <v>28</v>
      </c>
      <c r="AF366" s="58">
        <v>29</v>
      </c>
      <c r="AG366" s="59">
        <v>30</v>
      </c>
      <c r="AH366" s="74">
        <v>31</v>
      </c>
      <c r="BH366" s="2" t="s">
        <v>576</v>
      </c>
      <c r="BI366" s="2">
        <v>700</v>
      </c>
      <c r="BJ366" s="2">
        <v>600</v>
      </c>
      <c r="BN366" s="2">
        <v>368</v>
      </c>
    </row>
    <row r="367" spans="2:66">
      <c r="B367" s="1778" t="s">
        <v>545</v>
      </c>
      <c r="C367" s="1779"/>
      <c r="D367" s="71"/>
      <c r="E367" s="72"/>
      <c r="J367" s="73"/>
      <c r="K367" s="73"/>
      <c r="L367" s="73"/>
      <c r="M367" s="73"/>
      <c r="N367" s="73"/>
      <c r="O367" s="73"/>
      <c r="P367" s="73"/>
      <c r="Q367" s="73"/>
      <c r="R367" s="73"/>
      <c r="S367" s="73"/>
      <c r="T367" s="73"/>
      <c r="U367" s="73"/>
      <c r="V367" s="73"/>
      <c r="W367" s="73"/>
      <c r="X367" s="73"/>
      <c r="Y367" s="73"/>
      <c r="Z367" s="73"/>
      <c r="AA367" s="73"/>
      <c r="AB367" s="73"/>
      <c r="AC367" s="73"/>
      <c r="AD367" s="73"/>
      <c r="AE367" s="73"/>
      <c r="AF367" s="73"/>
      <c r="AG367" s="73"/>
      <c r="AH367" s="73"/>
      <c r="BH367" s="2" t="s">
        <v>576</v>
      </c>
      <c r="BI367" s="2">
        <v>800</v>
      </c>
      <c r="BJ367" s="2">
        <v>600</v>
      </c>
      <c r="BN367" s="2">
        <v>420</v>
      </c>
    </row>
    <row r="368" spans="2:66">
      <c r="B368" s="1774" t="s">
        <v>546</v>
      </c>
      <c r="C368" s="1775"/>
      <c r="D368" s="595">
        <f>Allgemein!K112</f>
        <v>0</v>
      </c>
      <c r="E368" s="595">
        <f>IF(E367=0,D368,E367)</f>
        <v>0</v>
      </c>
      <c r="F368" s="595">
        <f t="shared" ref="F368:M368" si="830">IF(F367=0,E368,F367)</f>
        <v>0</v>
      </c>
      <c r="G368" s="595">
        <f t="shared" si="830"/>
        <v>0</v>
      </c>
      <c r="H368" s="595">
        <f t="shared" si="830"/>
        <v>0</v>
      </c>
      <c r="I368" s="595">
        <f t="shared" si="830"/>
        <v>0</v>
      </c>
      <c r="J368" s="595">
        <f t="shared" si="830"/>
        <v>0</v>
      </c>
      <c r="K368" s="595">
        <f t="shared" si="830"/>
        <v>0</v>
      </c>
      <c r="L368" s="595">
        <f t="shared" si="830"/>
        <v>0</v>
      </c>
      <c r="M368" s="595">
        <f t="shared" si="830"/>
        <v>0</v>
      </c>
      <c r="N368" s="595">
        <f t="shared" ref="N368" si="831">IF(N367=0,M368,N367)</f>
        <v>0</v>
      </c>
      <c r="O368" s="595">
        <f t="shared" ref="O368" si="832">IF(O367=0,N368,O367)</f>
        <v>0</v>
      </c>
      <c r="P368" s="595">
        <f t="shared" ref="P368" si="833">IF(P367=0,O368,P367)</f>
        <v>0</v>
      </c>
      <c r="Q368" s="595">
        <f t="shared" ref="Q368" si="834">IF(Q367=0,P368,Q367)</f>
        <v>0</v>
      </c>
      <c r="R368" s="595">
        <f t="shared" ref="R368" si="835">IF(R367=0,Q368,R367)</f>
        <v>0</v>
      </c>
      <c r="S368" s="595">
        <f t="shared" ref="S368" si="836">IF(S367=0,R368,S367)</f>
        <v>0</v>
      </c>
      <c r="T368" s="595">
        <f t="shared" ref="T368" si="837">IF(T367=0,S368,T367)</f>
        <v>0</v>
      </c>
      <c r="U368" s="595">
        <f t="shared" ref="U368" si="838">IF(U367=0,T368,U367)</f>
        <v>0</v>
      </c>
      <c r="V368" s="595">
        <f t="shared" ref="V368" si="839">IF(V367=0,U368,V367)</f>
        <v>0</v>
      </c>
      <c r="W368" s="595">
        <f t="shared" ref="W368" si="840">IF(W367=0,V368,W367)</f>
        <v>0</v>
      </c>
      <c r="X368" s="595">
        <f t="shared" ref="X368" si="841">IF(X367=0,W368,X367)</f>
        <v>0</v>
      </c>
      <c r="Y368" s="595">
        <f t="shared" ref="Y368" si="842">IF(Y367=0,X368,Y367)</f>
        <v>0</v>
      </c>
      <c r="Z368" s="595">
        <f t="shared" ref="Z368" si="843">IF(Z367=0,Y368,Z367)</f>
        <v>0</v>
      </c>
      <c r="AA368" s="595">
        <f t="shared" ref="AA368" si="844">IF(AA367=0,Z368,AA367)</f>
        <v>0</v>
      </c>
      <c r="AB368" s="595">
        <f t="shared" ref="AB368" si="845">IF(AB367=0,AA368,AB367)</f>
        <v>0</v>
      </c>
      <c r="AC368" s="595">
        <f t="shared" ref="AC368" si="846">IF(AC367=0,AB368,AC367)</f>
        <v>0</v>
      </c>
      <c r="AD368" s="595">
        <f t="shared" ref="AD368" si="847">IF(AD367=0,AC368,AD367)</f>
        <v>0</v>
      </c>
      <c r="AE368" s="595">
        <f t="shared" ref="AE368" si="848">IF(AE367=0,AD368,AE367)</f>
        <v>0</v>
      </c>
      <c r="AF368" s="595">
        <f t="shared" ref="AF368" si="849">IF(AF367=0,AE368,AF367)</f>
        <v>0</v>
      </c>
      <c r="AG368" s="595">
        <f t="shared" ref="AG368" si="850">IF(AG367=0,AF368,AG367)</f>
        <v>0</v>
      </c>
      <c r="AH368" s="595">
        <f t="shared" ref="AH368" si="851">IF(AH367=0,AG368,AH367)</f>
        <v>0</v>
      </c>
      <c r="BH368" s="2" t="s">
        <v>576</v>
      </c>
      <c r="BI368" s="2">
        <v>900</v>
      </c>
      <c r="BJ368" s="2">
        <v>600</v>
      </c>
      <c r="BN368" s="2">
        <v>473</v>
      </c>
    </row>
    <row r="369" spans="2:66">
      <c r="B369" s="1780"/>
      <c r="C369" s="1781"/>
      <c r="BH369" s="2" t="s">
        <v>576</v>
      </c>
      <c r="BI369" s="2">
        <v>1000</v>
      </c>
      <c r="BJ369" s="2">
        <v>600</v>
      </c>
      <c r="BN369" s="2">
        <v>525</v>
      </c>
    </row>
    <row r="370" spans="2:66">
      <c r="B370" s="1774" t="s">
        <v>548</v>
      </c>
      <c r="C370" s="1775"/>
      <c r="D370" s="596">
        <f>Allgemein!K110</f>
        <v>0</v>
      </c>
      <c r="E370" s="36">
        <f>IF(E366=Allgemein!$K$114+2,(Allgemein!$K$110-Allgemein!$K$118)-D374,D379)</f>
        <v>0</v>
      </c>
      <c r="F370" s="36">
        <f>IF(F366=Allgemein!$K$114+2,(Allgemein!$K$110-Allgemein!$K$118)-E374,E379)</f>
        <v>0</v>
      </c>
      <c r="G370" s="36">
        <f>IF(G366=Allgemein!$K$114+2,(Allgemein!$K$110-Allgemein!$K$118)-F374,F379)</f>
        <v>0</v>
      </c>
      <c r="H370" s="36">
        <f>IF(H366=Allgemein!$K$114+2,(Allgemein!$K$110-Allgemein!$K$118)-G374,G379)</f>
        <v>0</v>
      </c>
      <c r="I370" s="36">
        <f>IF(I366=Allgemein!$K$114+2,(Allgemein!$K$110-Allgemein!$K$118)-H374,H379)</f>
        <v>0</v>
      </c>
      <c r="J370" s="36">
        <f>IF(J366=Allgemein!$K$114+2,(Allgemein!$K$110-Allgemein!$K$118)-I374,I379)</f>
        <v>0</v>
      </c>
      <c r="K370" s="36">
        <f>IF(K366=Allgemein!$K$114+2,(Allgemein!$K$110-Allgemein!$K$118)-J374,J379)</f>
        <v>0</v>
      </c>
      <c r="L370" s="36">
        <f>IF(L366=Allgemein!$K$114+2,(Allgemein!$K$110-Allgemein!$K$118)-K374,K379)</f>
        <v>0</v>
      </c>
      <c r="M370" s="36">
        <f>IF(M366=Allgemein!$K$114+2,(Allgemein!$K$110-Allgemein!$K$118)-L374,L379)</f>
        <v>0</v>
      </c>
      <c r="N370" s="36">
        <f>IF(N366=Allgemein!$K$114+2,(Allgemein!$K$110-Allgemein!$K$118)-M374,M379)</f>
        <v>0</v>
      </c>
      <c r="O370" s="36">
        <f>IF(O366=Allgemein!$K$114+2,(Allgemein!$K$110-Allgemein!$K$118)-N374,N379)</f>
        <v>0</v>
      </c>
      <c r="P370" s="36">
        <f>IF(P366=Allgemein!$K$114+2,(Allgemein!$K$110-Allgemein!$K$118)-O374,O379)</f>
        <v>0</v>
      </c>
      <c r="Q370" s="36">
        <f>IF(Q366=Allgemein!$K$114+2,(Allgemein!$K$110-Allgemein!$K$118)-P374,P379)</f>
        <v>0</v>
      </c>
      <c r="R370" s="36">
        <f>IF(R366=Allgemein!$K$114+2,(Allgemein!$K$110-Allgemein!$K$118)-Q374,Q379)</f>
        <v>0</v>
      </c>
      <c r="S370" s="36">
        <f>IF(S366=Allgemein!$K$114+2,(Allgemein!$K$110-Allgemein!$K$118)-R374,R379)</f>
        <v>0</v>
      </c>
      <c r="T370" s="36">
        <f>IF(T366=Allgemein!$K$114+2,(Allgemein!$K$110-Allgemein!$K$118)-S374,S379)</f>
        <v>0</v>
      </c>
      <c r="U370" s="36">
        <f>IF(U366=Allgemein!$K$114+2,(Allgemein!$K$110-Allgemein!$K$118)-T374,T379)</f>
        <v>0</v>
      </c>
      <c r="V370" s="36">
        <f>IF(V366=Allgemein!$K$114+2,(Allgemein!$K$110-Allgemein!$K$118)-U374,U379)</f>
        <v>0</v>
      </c>
      <c r="W370" s="36">
        <f>IF(W366=Allgemein!$K$114+2,(Allgemein!$K$110-Allgemein!$K$118)-V374,V379)</f>
        <v>0</v>
      </c>
      <c r="X370" s="36">
        <f>IF(X366=Allgemein!$K$114+2,(Allgemein!$K$110-Allgemein!$K$118)-W374,W379)</f>
        <v>0</v>
      </c>
      <c r="Y370" s="36">
        <f>IF(Y366=Allgemein!$K$114+2,(Allgemein!$K$110-Allgemein!$K$118)-X374,X379)</f>
        <v>0</v>
      </c>
      <c r="Z370" s="36">
        <f>IF(Z366=Allgemein!$K$114+2,(Allgemein!$K$110-Allgemein!$K$118)-Y374,Y379)</f>
        <v>0</v>
      </c>
      <c r="AA370" s="36">
        <f>IF(AA366=Allgemein!$K$114+2,(Allgemein!$K$110-Allgemein!$K$118)-Z374,Z379)</f>
        <v>0</v>
      </c>
      <c r="AB370" s="36">
        <f>IF(AB366=Allgemein!$K$114+2,(Allgemein!$K$110-Allgemein!$K$118)-AA374,AA379)</f>
        <v>0</v>
      </c>
      <c r="AC370" s="36">
        <f>IF(AC366=Allgemein!$K$114+2,(Allgemein!$K$110-Allgemein!$K$118)-AB374,AB379)</f>
        <v>0</v>
      </c>
      <c r="AD370" s="36">
        <f>IF(AD366=Allgemein!$K$114+2,(Allgemein!$K$110-Allgemein!$K$118)-AC374,AC379)</f>
        <v>0</v>
      </c>
      <c r="AE370" s="36">
        <f>IF(AE366=Allgemein!$K$114+2,(Allgemein!$K$110-Allgemein!$K$118)-AD374,AD379)</f>
        <v>0</v>
      </c>
      <c r="AF370" s="36">
        <f>IF(AF366=Allgemein!$K$114+2,(Allgemein!$K$110-Allgemein!$K$118)-AE374,AE379)</f>
        <v>0</v>
      </c>
      <c r="AG370" s="36">
        <f>IF(AG366=Allgemein!$K$114+2,(Allgemein!$K$110-Allgemein!$K$118)-AF374,AF379)</f>
        <v>0</v>
      </c>
      <c r="AH370" s="36">
        <f>IF(AH366=Allgemein!$K$114+2,(Allgemein!$K$110-Allgemein!$K$118)-AG374,AG379)</f>
        <v>0</v>
      </c>
      <c r="BH370" s="2" t="s">
        <v>576</v>
      </c>
      <c r="BI370" s="2">
        <v>1200</v>
      </c>
      <c r="BJ370" s="2">
        <v>600</v>
      </c>
      <c r="BN370" s="2">
        <v>630</v>
      </c>
    </row>
    <row r="371" spans="2:66">
      <c r="B371" s="31" t="s">
        <v>549</v>
      </c>
      <c r="C371" s="32"/>
      <c r="D371" s="36">
        <f>D370*D368</f>
        <v>0</v>
      </c>
      <c r="E371" s="596">
        <f>IF(E370=0,0,E368*E370)</f>
        <v>0</v>
      </c>
      <c r="F371" s="596">
        <f t="shared" ref="F371:AH371" si="852">IF(F370=0,0,F368*F370)</f>
        <v>0</v>
      </c>
      <c r="G371" s="596">
        <f t="shared" si="852"/>
        <v>0</v>
      </c>
      <c r="H371" s="596">
        <f t="shared" si="852"/>
        <v>0</v>
      </c>
      <c r="I371" s="596">
        <f t="shared" si="852"/>
        <v>0</v>
      </c>
      <c r="J371" s="596">
        <f t="shared" si="852"/>
        <v>0</v>
      </c>
      <c r="K371" s="596">
        <f t="shared" si="852"/>
        <v>0</v>
      </c>
      <c r="L371" s="596">
        <f t="shared" si="852"/>
        <v>0</v>
      </c>
      <c r="M371" s="596">
        <f t="shared" si="852"/>
        <v>0</v>
      </c>
      <c r="N371" s="596">
        <f t="shared" si="852"/>
        <v>0</v>
      </c>
      <c r="O371" s="596">
        <f t="shared" si="852"/>
        <v>0</v>
      </c>
      <c r="P371" s="596">
        <f t="shared" si="852"/>
        <v>0</v>
      </c>
      <c r="Q371" s="596">
        <f t="shared" si="852"/>
        <v>0</v>
      </c>
      <c r="R371" s="596">
        <f t="shared" si="852"/>
        <v>0</v>
      </c>
      <c r="S371" s="596">
        <f t="shared" si="852"/>
        <v>0</v>
      </c>
      <c r="T371" s="596">
        <f t="shared" si="852"/>
        <v>0</v>
      </c>
      <c r="U371" s="596">
        <f t="shared" si="852"/>
        <v>0</v>
      </c>
      <c r="V371" s="596">
        <f t="shared" si="852"/>
        <v>0</v>
      </c>
      <c r="W371" s="596">
        <f t="shared" si="852"/>
        <v>0</v>
      </c>
      <c r="X371" s="596">
        <f t="shared" si="852"/>
        <v>0</v>
      </c>
      <c r="Y371" s="596">
        <f t="shared" si="852"/>
        <v>0</v>
      </c>
      <c r="Z371" s="596">
        <f t="shared" si="852"/>
        <v>0</v>
      </c>
      <c r="AA371" s="596">
        <f t="shared" si="852"/>
        <v>0</v>
      </c>
      <c r="AB371" s="596">
        <f t="shared" si="852"/>
        <v>0</v>
      </c>
      <c r="AC371" s="596">
        <f t="shared" si="852"/>
        <v>0</v>
      </c>
      <c r="AD371" s="596">
        <f t="shared" si="852"/>
        <v>0</v>
      </c>
      <c r="AE371" s="596">
        <f t="shared" si="852"/>
        <v>0</v>
      </c>
      <c r="AF371" s="596">
        <f t="shared" si="852"/>
        <v>0</v>
      </c>
      <c r="AG371" s="596">
        <f t="shared" si="852"/>
        <v>0</v>
      </c>
      <c r="AH371" s="596">
        <f t="shared" si="852"/>
        <v>0</v>
      </c>
      <c r="BH371" s="2" t="s">
        <v>576</v>
      </c>
      <c r="BI371" s="2">
        <v>1400</v>
      </c>
      <c r="BJ371" s="2">
        <v>600</v>
      </c>
      <c r="BN371" s="2">
        <v>735</v>
      </c>
    </row>
    <row r="372" spans="2:66">
      <c r="B372" s="34"/>
      <c r="C372" s="35"/>
      <c r="BH372" s="2" t="s">
        <v>576</v>
      </c>
      <c r="BI372" s="2">
        <v>1600</v>
      </c>
      <c r="BJ372" s="2">
        <v>600</v>
      </c>
      <c r="BN372" s="2">
        <v>519</v>
      </c>
    </row>
    <row r="373" spans="2:66">
      <c r="B373" s="31" t="s">
        <v>550</v>
      </c>
      <c r="C373" s="32"/>
      <c r="D373" s="596"/>
      <c r="E373" s="596"/>
      <c r="F373" s="596"/>
      <c r="G373" s="596"/>
      <c r="H373" s="596"/>
      <c r="I373" s="596"/>
      <c r="J373" s="596"/>
      <c r="K373" s="596"/>
      <c r="L373" s="596"/>
      <c r="M373" s="596"/>
      <c r="N373" s="596"/>
      <c r="O373" s="596"/>
      <c r="P373" s="596"/>
      <c r="Q373" s="596"/>
      <c r="R373" s="596"/>
      <c r="S373" s="596"/>
      <c r="T373" s="596"/>
      <c r="U373" s="596"/>
      <c r="V373" s="596"/>
      <c r="W373" s="596"/>
      <c r="X373" s="596"/>
      <c r="Y373" s="596"/>
      <c r="Z373" s="596"/>
      <c r="AA373" s="596"/>
      <c r="AB373" s="596"/>
      <c r="AC373" s="596"/>
      <c r="AD373" s="596"/>
      <c r="AE373" s="596"/>
      <c r="AF373" s="596"/>
      <c r="AG373" s="596"/>
      <c r="AH373" s="596"/>
      <c r="BH373" s="2" t="s">
        <v>576</v>
      </c>
      <c r="BI373" s="2">
        <v>1800</v>
      </c>
      <c r="BJ373" s="2">
        <v>600</v>
      </c>
      <c r="BN373" s="2">
        <v>583</v>
      </c>
    </row>
    <row r="374" spans="2:66">
      <c r="B374" s="31" t="s">
        <v>551</v>
      </c>
      <c r="C374" s="32"/>
      <c r="D374" s="596">
        <f>D375*D370</f>
        <v>0</v>
      </c>
      <c r="E374" s="596">
        <f>IF(D374=0,E375*E370,E377-E371)</f>
        <v>0</v>
      </c>
      <c r="F374" s="596">
        <f t="shared" ref="F374" si="853">IF(E374=0,F375*F370,F377-F371)</f>
        <v>0</v>
      </c>
      <c r="G374" s="596">
        <f t="shared" ref="G374" si="854">IF(F374=0,G375*G370,G377-G371)</f>
        <v>0</v>
      </c>
      <c r="H374" s="596">
        <f t="shared" ref="H374" si="855">IF(G374=0,H375*H370,H377-H371)</f>
        <v>0</v>
      </c>
      <c r="I374" s="596">
        <f t="shared" ref="I374" si="856">IF(H374=0,I375*I370,I377-I371)</f>
        <v>0</v>
      </c>
      <c r="J374" s="596">
        <f t="shared" ref="J374" si="857">IF(I374=0,J375*J370,J377-J371)</f>
        <v>0</v>
      </c>
      <c r="K374" s="596">
        <f t="shared" ref="K374" si="858">IF(J374=0,K375*K370,K377-K371)</f>
        <v>0</v>
      </c>
      <c r="L374" s="596">
        <f t="shared" ref="L374" si="859">IF(K374=0,L375*L370,L377-L371)</f>
        <v>0</v>
      </c>
      <c r="M374" s="596">
        <f t="shared" ref="M374" si="860">IF(L374=0,M375*M370,M377-M371)</f>
        <v>0</v>
      </c>
      <c r="N374" s="596">
        <f t="shared" ref="N374" si="861">IF(M374=0,N375*N370,N377-N371)</f>
        <v>0</v>
      </c>
      <c r="O374" s="596">
        <f t="shared" ref="O374" si="862">IF(N374=0,O375*O370,O377-O371)</f>
        <v>0</v>
      </c>
      <c r="P374" s="596">
        <f>IF(O374=0,P375*P370,P377-P371)</f>
        <v>0</v>
      </c>
      <c r="Q374" s="596">
        <f t="shared" ref="Q374" si="863">IF(P374=0,Q375*Q370,Q377-Q371)</f>
        <v>0</v>
      </c>
      <c r="R374" s="596">
        <f>IF(Q374=0,R375*R370,R377-R371)</f>
        <v>0</v>
      </c>
      <c r="S374" s="596">
        <f t="shared" ref="S374" si="864">IF(R374=0,S375*S370,S377-S371)</f>
        <v>0</v>
      </c>
      <c r="T374" s="596">
        <f t="shared" ref="T374" si="865">IF(S374=0,T375*T370,T377-T371)</f>
        <v>0</v>
      </c>
      <c r="U374" s="596">
        <f t="shared" ref="U374" si="866">IF(T374=0,U375*U370,U377-U371)</f>
        <v>0</v>
      </c>
      <c r="V374" s="596">
        <f t="shared" ref="V374" si="867">IF(U374=0,V375*V370,V377-V371)</f>
        <v>0</v>
      </c>
      <c r="W374" s="596">
        <f t="shared" ref="W374" si="868">IF(V374=0,W375*W370,W377-W371)</f>
        <v>0</v>
      </c>
      <c r="X374" s="596">
        <f t="shared" ref="X374" si="869">IF(W374=0,X375*X370,X377-X371)</f>
        <v>0</v>
      </c>
      <c r="Y374" s="596">
        <f t="shared" ref="Y374" si="870">IF(X374=0,Y375*Y370,Y377-Y371)</f>
        <v>0</v>
      </c>
      <c r="Z374" s="596">
        <f t="shared" ref="Z374" si="871">IF(Y374=0,Z375*Z370,Z377-Z371)</f>
        <v>0</v>
      </c>
      <c r="AA374" s="596">
        <f t="shared" ref="AA374" si="872">IF(Z374=0,AA375*AA370,AA377-AA371)</f>
        <v>0</v>
      </c>
      <c r="AB374" s="596">
        <f t="shared" ref="AB374" si="873">IF(AA374=0,AB375*AB370,AB377-AB371)</f>
        <v>0</v>
      </c>
      <c r="AC374" s="596">
        <f t="shared" ref="AC374" si="874">IF(AB374=0,AC375*AC370,AC377-AC371)</f>
        <v>0</v>
      </c>
      <c r="AD374" s="596">
        <f t="shared" ref="AD374" si="875">IF(AC374=0,AD375*AD370,AD377-AD371)</f>
        <v>0</v>
      </c>
      <c r="AE374" s="596">
        <f t="shared" ref="AE374" si="876">IF(AD374=0,AE375*AE370,AE377-AE371)</f>
        <v>0</v>
      </c>
      <c r="AF374" s="596">
        <f>IF(AE374=0,AF375*AF370,AF377-AF371)</f>
        <v>0</v>
      </c>
      <c r="AG374" s="596">
        <f>IF(AF374=0,AG375*AG370,AG377-AG371)</f>
        <v>0</v>
      </c>
      <c r="AH374" s="596">
        <f t="shared" ref="AH374" si="877">IF(AG374=0,AH375*AH370,AH377-AH371)</f>
        <v>0</v>
      </c>
      <c r="BH374" s="2" t="s">
        <v>576</v>
      </c>
      <c r="BI374" s="2">
        <v>2000</v>
      </c>
      <c r="BJ374" s="2">
        <v>600</v>
      </c>
      <c r="BN374" s="2">
        <v>647</v>
      </c>
    </row>
    <row r="375" spans="2:66">
      <c r="B375" s="38" t="s">
        <v>554</v>
      </c>
      <c r="C375" s="39"/>
      <c r="D375" s="33">
        <f>IF(Allgemein!$K$114&gt;=D366,0,Allgemein!$K$115)</f>
        <v>0</v>
      </c>
      <c r="E375" s="33">
        <f>IF(Allgemein!$K$114&gt;=E366,0,IF(D374=0,Allgemein!$K$115,IF(E370=0,0,E374/E370)))</f>
        <v>0</v>
      </c>
      <c r="F375" s="33">
        <f>IF(Allgemein!$K$114&gt;=F366,0,IF(E374=0,Allgemein!$K$115,IF(F370=0,0,F374/F370)))</f>
        <v>0</v>
      </c>
      <c r="G375" s="33">
        <f>IF(Allgemein!$K$114&gt;=G366,0,IF(F374=0,Allgemein!$K$115,IF(G370=0,0,G374/G370)))</f>
        <v>0</v>
      </c>
      <c r="H375" s="33">
        <f>IF(Allgemein!$K$114&gt;=H366,0,IF(G374=0,Allgemein!$K$115,IF(H370=0,0,H374/H370)))</f>
        <v>0</v>
      </c>
      <c r="I375" s="33">
        <f>IF(Allgemein!$K$114&gt;=I366,0,IF(H374=0,Allgemein!$K$115,IF(I370=0,0,I374/I370)))</f>
        <v>0</v>
      </c>
      <c r="J375" s="33">
        <f>IF(Allgemein!$K$114&gt;=J366,0,IF(I374=0,Allgemein!$K$115,IF(J370=0,0,J374/J370)))</f>
        <v>0</v>
      </c>
      <c r="K375" s="33">
        <f>IF(Allgemein!$K$114&gt;=K366,0,IF(J374=0,Allgemein!$K$115,IF(K370=0,0,K374/K370)))</f>
        <v>0</v>
      </c>
      <c r="L375" s="33">
        <f>IF(Allgemein!$K$114&gt;=L366,0,IF(K374=0,Allgemein!$K$115,IF(L370=0,0,L374/L370)))</f>
        <v>0</v>
      </c>
      <c r="M375" s="33">
        <f>IF(Allgemein!$K$114&gt;=M366,0,IF(L374=0,Allgemein!$K$115,IF(M370=0,0,M374/M370)))</f>
        <v>0</v>
      </c>
      <c r="N375" s="33">
        <f>IF(Allgemein!$K$114&gt;=N366,0,IF(M374=0,Allgemein!$K$115,IF(N370=0,0,N374/N370)))</f>
        <v>0</v>
      </c>
      <c r="O375" s="33">
        <f>IF(Allgemein!$K$114&gt;=O366,0,IF(N374=0,Allgemein!$K$115,IF(O370=0,0,O374/O370)))</f>
        <v>0</v>
      </c>
      <c r="P375" s="33">
        <f>IF(Allgemein!$K$114&gt;=P366,0,IF(O374=0,Allgemein!$K$115,IF(P370=0,0,P374/P370)))</f>
        <v>0</v>
      </c>
      <c r="Q375" s="33">
        <f>IF(Allgemein!$K$114&gt;=Q366,0,IF(P374=0,Allgemein!$K$115,IF(Q370=0,0,Q374/Q370)))</f>
        <v>0</v>
      </c>
      <c r="R375" s="33">
        <f>IF(Allgemein!$K$114&gt;=R366,0,IF(Q374=0,Allgemein!$K$115,IF(R370=0,0,R374/R370)))</f>
        <v>0</v>
      </c>
      <c r="S375" s="33">
        <f>IF(Allgemein!$K$114&gt;=S366,0,IF(R374=0,Allgemein!$K$115,IF(S370=0,0,S374/S370)))</f>
        <v>0</v>
      </c>
      <c r="T375" s="33">
        <f>IF(Allgemein!$K$114&gt;=T366,0,IF(S374=0,Allgemein!$K$115,IF(T370=0,0,T374/T370)))</f>
        <v>0</v>
      </c>
      <c r="U375" s="33">
        <f>IF(Allgemein!$K$114&gt;=U366,0,IF(T374=0,Allgemein!$K$115,IF(U370=0,0,U374/U370)))</f>
        <v>0</v>
      </c>
      <c r="V375" s="33">
        <f>IF(Allgemein!$K$114&gt;=V366,0,IF(U374=0,Allgemein!$K$115,IF(V370=0,0,V374/V370)))</f>
        <v>0</v>
      </c>
      <c r="W375" s="33">
        <f>IF(Allgemein!$K$114&gt;=W366,0,IF(V374=0,Allgemein!$K$115,IF(W370=0,0,W374/W370)))</f>
        <v>0</v>
      </c>
      <c r="X375" s="33">
        <f>IF(Allgemein!$K$114&gt;=X366,0,IF(W374=0,Allgemein!$K$115,IF(X370=0,0,X374/X370)))</f>
        <v>0</v>
      </c>
      <c r="Y375" s="33">
        <f>IF(Allgemein!$K$114&gt;=Y366,0,IF(X374=0,Allgemein!$K$115,IF(Y370=0,0,Y374/Y370)))</f>
        <v>0</v>
      </c>
      <c r="Z375" s="33">
        <f>IF(Allgemein!$K$114&gt;=Z366,0,IF(Y374=0,Allgemein!$K$115,IF(Z370=0,0,Z374/Z370)))</f>
        <v>0</v>
      </c>
      <c r="AA375" s="33">
        <f>IF(Allgemein!$K$114&gt;=AA366,0,IF(Z374=0,Allgemein!$K$115,IF(AA370=0,0,AA374/AA370)))</f>
        <v>0</v>
      </c>
      <c r="AB375" s="33">
        <f>IF(Allgemein!$K$114&gt;=AB366,0,IF(AA374=0,Allgemein!$K$115,IF(AB370=0,0,AB374/AB370)))</f>
        <v>0</v>
      </c>
      <c r="AC375" s="33">
        <f>IF(Allgemein!$K$114&gt;=AC366,0,IF(AB374=0,Allgemein!$K$115,IF(AC370=0,0,AC374/AC370)))</f>
        <v>0</v>
      </c>
      <c r="AD375" s="33">
        <f>IF(Allgemein!$K$114&gt;=AD366,0,IF(AC374=0,Allgemein!$K$115,IF(AD370=0,0,AD374/AD370)))</f>
        <v>0</v>
      </c>
      <c r="AE375" s="33">
        <f>IF(Allgemein!$K$114&gt;=AE366,0,IF(AD374=0,Allgemein!$K$115,IF(AE370=0,0,AE374/AE370)))</f>
        <v>0</v>
      </c>
      <c r="AF375" s="33">
        <f>IF(Allgemein!$K$114&gt;=AF366,0,IF(AE374=0,Allgemein!$K$115,IF(AF370=0,0,AF374/AF370)))</f>
        <v>0</v>
      </c>
      <c r="AG375" s="33">
        <f>IF(Allgemein!$K$114&gt;=AG366,0,IF(AF374=0,Allgemein!$K$115,IF(AG370=0,0,AG374/AG370)))</f>
        <v>0</v>
      </c>
      <c r="AH375" s="33">
        <f>IF(Allgemein!$K$114&gt;=AH366,0,IF(AG374=0,Allgemein!$K$115,IF(AH370=0,0,AH374/AH370)))</f>
        <v>0</v>
      </c>
      <c r="BH375" s="2" t="s">
        <v>576</v>
      </c>
      <c r="BI375" s="2">
        <v>400</v>
      </c>
      <c r="BJ375" s="2">
        <v>900</v>
      </c>
      <c r="BN375" s="2">
        <v>298</v>
      </c>
    </row>
    <row r="376" spans="2:66">
      <c r="B376" s="34"/>
      <c r="C376" s="35"/>
      <c r="BH376" s="2" t="s">
        <v>576</v>
      </c>
      <c r="BI376" s="2">
        <v>500</v>
      </c>
      <c r="BJ376" s="2">
        <v>900</v>
      </c>
      <c r="BN376" s="2">
        <v>372</v>
      </c>
    </row>
    <row r="377" spans="2:66">
      <c r="B377" s="31" t="s">
        <v>555</v>
      </c>
      <c r="C377" s="32"/>
      <c r="D377" s="596">
        <f>D374+D371</f>
        <v>0</v>
      </c>
      <c r="E377" s="596">
        <f>IF(D374=0,E371+E374,IF(E370=0,0,IF(E370&lt;D377,E370+E371,IF(E373=0,D377,E373+E371))))</f>
        <v>0</v>
      </c>
      <c r="F377" s="596">
        <f>IF(E374=0,F371+F374,IF(F370=0,0,IF(F370&lt;E377,F370+F371,IF(F373=0,E377,F373+F371))))</f>
        <v>0</v>
      </c>
      <c r="G377" s="596">
        <f>IF(F374=0,G371+G374,IF(G370=0,0,IF(G370&lt;F377,G370+G371,IF(G373=0,F377,G373+G371))))</f>
        <v>0</v>
      </c>
      <c r="H377" s="596">
        <f>IF(G374=0,H371+H374,IF(H370=0,0,IF(H370&lt;G377,H370+H371,IF(H373=0,G377,H373+H371))))</f>
        <v>0</v>
      </c>
      <c r="I377" s="596">
        <f t="shared" ref="I377" si="878">IF(H374=0,I371+I374,IF(I370=0,0,IF(I370&lt;H377,I370+I371,IF(I373=0,H377,I373+I371))))</f>
        <v>0</v>
      </c>
      <c r="J377" s="596">
        <f>IF(I374=0,J371+J374,IF(J370=0,0,IF(J370&lt;I377,J370+J371,IF(J373=0,I377,J373+J371))))</f>
        <v>0</v>
      </c>
      <c r="K377" s="596">
        <f t="shared" ref="K377" si="879">IF(J374=0,K371+K374,IF(K370=0,0,IF(K370&lt;J377,K370+K371,IF(K373=0,J377,K373+K371))))</f>
        <v>0</v>
      </c>
      <c r="L377" s="596">
        <f t="shared" ref="L377" si="880">IF(K374=0,L371+L374,IF(L370=0,0,IF(L370&lt;K377,L370+L371,IF(L373=0,K377,L373+L371))))</f>
        <v>0</v>
      </c>
      <c r="M377" s="596">
        <f t="shared" ref="M377" si="881">IF(L374=0,M371+M374,IF(M370=0,0,IF(M370&lt;L377,M370+M371,IF(M373=0,L377,M373+M371))))</f>
        <v>0</v>
      </c>
      <c r="N377" s="596">
        <f t="shared" ref="N377" si="882">IF(M374=0,N371+N374,IF(N370=0,0,IF(N370&lt;M377,N370+N371,IF(N373=0,M377,N373+N371))))</f>
        <v>0</v>
      </c>
      <c r="O377" s="596">
        <f t="shared" ref="O377" si="883">IF(N374=0,O371+O374,IF(O370=0,0,IF(O370&lt;N377,O370+O371,IF(O373=0,N377,O373+O371))))</f>
        <v>0</v>
      </c>
      <c r="P377" s="596">
        <f t="shared" ref="P377" si="884">IF(O374=0,P371+P374,IF(P370=0,0,IF(P370&lt;O377,P370+P371,IF(P373=0,O377,P373+P371))))</f>
        <v>0</v>
      </c>
      <c r="Q377" s="596">
        <f t="shared" ref="Q377" si="885">IF(P374=0,Q371+Q374,IF(Q370=0,0,IF(Q370&lt;P377,Q370+Q371,IF(Q373=0,P377,Q373+Q371))))</f>
        <v>0</v>
      </c>
      <c r="R377" s="596">
        <f t="shared" ref="R377" si="886">IF(Q374=0,R371+R374,IF(R370=0,0,IF(R370&lt;Q377,R370+R371,IF(R373=0,Q377,R373+R371))))</f>
        <v>0</v>
      </c>
      <c r="S377" s="596">
        <f t="shared" ref="S377" si="887">IF(R374=0,S371+S374,IF(S370=0,0,IF(S370&lt;R377,S370+S371,IF(S373=0,R377,S373+S371))))</f>
        <v>0</v>
      </c>
      <c r="T377" s="596">
        <f t="shared" ref="T377" si="888">IF(S374=0,T371+T374,IF(T370=0,0,IF(T370&lt;S377,T370+T371,IF(T373=0,S377,T373+T371))))</f>
        <v>0</v>
      </c>
      <c r="U377" s="596">
        <f t="shared" ref="U377" si="889">IF(T374=0,U371+U374,IF(U370=0,0,IF(U370&lt;T377,U370+U371,IF(U373=0,T377,U373+U371))))</f>
        <v>0</v>
      </c>
      <c r="V377" s="596">
        <f t="shared" ref="V377" si="890">IF(U374=0,V371+V374,IF(V370=0,0,IF(V370&lt;U377,V370+V371,IF(V373=0,U377,V373+V371))))</f>
        <v>0</v>
      </c>
      <c r="W377" s="596">
        <f t="shared" ref="W377" si="891">IF(V374=0,W371+W374,IF(W370=0,0,IF(W370&lt;V377,W370+W371,IF(W373=0,V377,W373+W371))))</f>
        <v>0</v>
      </c>
      <c r="X377" s="596">
        <f t="shared" ref="X377" si="892">IF(W374=0,X371+X374,IF(X370=0,0,IF(X370&lt;W377,X370+X371,IF(X373=0,W377,X373+X371))))</f>
        <v>0</v>
      </c>
      <c r="Y377" s="596">
        <f t="shared" ref="Y377" si="893">IF(X374=0,Y371+Y374,IF(Y370=0,0,IF(Y370&lt;X377,Y370+Y371,IF(Y373=0,X377,Y373+Y371))))</f>
        <v>0</v>
      </c>
      <c r="Z377" s="596">
        <f t="shared" ref="Z377" si="894">IF(Y374=0,Z371+Z374,IF(Z370=0,0,IF(Z370&lt;Y377,Z370+Z371,IF(Z373=0,Y377,Z373+Z371))))</f>
        <v>0</v>
      </c>
      <c r="AA377" s="596">
        <f t="shared" ref="AA377" si="895">IF(Z374=0,AA371+AA374,IF(AA370=0,0,IF(AA370&lt;Z377,AA370+AA371,IF(AA373=0,Z377,AA373+AA371))))</f>
        <v>0</v>
      </c>
      <c r="AB377" s="596">
        <f t="shared" ref="AB377" si="896">IF(AA374=0,AB371+AB374,IF(AB370=0,0,IF(AB370&lt;AA377,AB370+AB371,IF(AB373=0,AA377,AB373+AB371))))</f>
        <v>0</v>
      </c>
      <c r="AC377" s="596">
        <f t="shared" ref="AC377" si="897">IF(AB374=0,AC371+AC374,IF(AC370=0,0,IF(AC370&lt;AB377,AC370+AC371,IF(AC373=0,AB377,AC373+AC371))))</f>
        <v>0</v>
      </c>
      <c r="AD377" s="596">
        <f t="shared" ref="AD377" si="898">IF(AC374=0,AD371+AD374,IF(AD370=0,0,IF(AD370&lt;AC377,AD370+AD371,IF(AD373=0,AC377,AD373+AD371))))</f>
        <v>0</v>
      </c>
      <c r="AE377" s="596">
        <f t="shared" ref="AE377" si="899">IF(AD374=0,AE371+AE374,IF(AE370=0,0,IF(AE370&lt;AD377,AE370+AE371,IF(AE373=0,AD377,AE373+AE371))))</f>
        <v>0</v>
      </c>
      <c r="AF377" s="596">
        <f t="shared" ref="AF377" si="900">IF(AE374=0,AF371+AF374,IF(AF370=0,0,IF(AF370&lt;AE377,AF370+AF371,IF(AF373=0,AE377,AF373+AF371))))</f>
        <v>0</v>
      </c>
      <c r="AG377" s="596">
        <f t="shared" ref="AG377" si="901">IF(AF374=0,AG371+AG374,IF(AG370=0,0,IF(AG370&lt;AF377,AG370+AG371,IF(AG373=0,AF377,AG373+AG371))))</f>
        <v>0</v>
      </c>
      <c r="AH377" s="596">
        <f t="shared" ref="AH377" si="902">IF(AG374=0,AH371+AH374,IF(AH370=0,0,IF(AH370&lt;AG377,AH370+AH371,IF(AH373=0,AG377,AH373+AH371))))</f>
        <v>0</v>
      </c>
      <c r="BH377" s="2" t="s">
        <v>576</v>
      </c>
      <c r="BI377" s="2">
        <v>600</v>
      </c>
      <c r="BJ377" s="2">
        <v>900</v>
      </c>
      <c r="BN377" s="2">
        <v>446</v>
      </c>
    </row>
    <row r="378" spans="2:66">
      <c r="B378" s="31" t="s">
        <v>556</v>
      </c>
      <c r="C378" s="32"/>
      <c r="D378" s="596"/>
      <c r="E378" s="596"/>
      <c r="F378" s="596"/>
      <c r="G378" s="596"/>
      <c r="H378" s="596"/>
      <c r="I378" s="596"/>
      <c r="J378" s="596"/>
      <c r="K378" s="596"/>
      <c r="L378" s="596"/>
      <c r="M378" s="596"/>
      <c r="N378" s="596"/>
      <c r="O378" s="596"/>
      <c r="P378" s="596"/>
      <c r="Q378" s="596"/>
      <c r="R378" s="596"/>
      <c r="S378" s="596"/>
      <c r="T378" s="596"/>
      <c r="U378" s="596"/>
      <c r="V378" s="596"/>
      <c r="W378" s="596"/>
      <c r="X378" s="596"/>
      <c r="Y378" s="596"/>
      <c r="Z378" s="596"/>
      <c r="AA378" s="596"/>
      <c r="AB378" s="596"/>
      <c r="AC378" s="596"/>
      <c r="AD378" s="596"/>
      <c r="AE378" s="596"/>
      <c r="AF378" s="596"/>
      <c r="AG378" s="596"/>
      <c r="AH378" s="596"/>
      <c r="BH378" s="2" t="s">
        <v>576</v>
      </c>
      <c r="BI378" s="2">
        <v>700</v>
      </c>
      <c r="BJ378" s="2">
        <v>900</v>
      </c>
      <c r="BN378" s="2">
        <v>521</v>
      </c>
    </row>
    <row r="379" spans="2:66">
      <c r="B379" s="31" t="s">
        <v>557</v>
      </c>
      <c r="C379" s="32"/>
      <c r="D379" s="36">
        <f>D370-D374</f>
        <v>0</v>
      </c>
      <c r="E379" s="36">
        <f t="shared" ref="E379:AH379" si="903">E370-E374</f>
        <v>0</v>
      </c>
      <c r="F379" s="36">
        <f t="shared" si="903"/>
        <v>0</v>
      </c>
      <c r="G379" s="36">
        <f t="shared" si="903"/>
        <v>0</v>
      </c>
      <c r="H379" s="36">
        <f t="shared" si="903"/>
        <v>0</v>
      </c>
      <c r="I379" s="36">
        <f t="shared" si="903"/>
        <v>0</v>
      </c>
      <c r="J379" s="36">
        <f t="shared" si="903"/>
        <v>0</v>
      </c>
      <c r="K379" s="36">
        <f t="shared" si="903"/>
        <v>0</v>
      </c>
      <c r="L379" s="36">
        <f t="shared" si="903"/>
        <v>0</v>
      </c>
      <c r="M379" s="36">
        <f t="shared" si="903"/>
        <v>0</v>
      </c>
      <c r="N379" s="36">
        <f t="shared" si="903"/>
        <v>0</v>
      </c>
      <c r="O379" s="36">
        <f t="shared" si="903"/>
        <v>0</v>
      </c>
      <c r="P379" s="36">
        <f t="shared" si="903"/>
        <v>0</v>
      </c>
      <c r="Q379" s="36">
        <f t="shared" si="903"/>
        <v>0</v>
      </c>
      <c r="R379" s="36">
        <f t="shared" si="903"/>
        <v>0</v>
      </c>
      <c r="S379" s="36">
        <f t="shared" si="903"/>
        <v>0</v>
      </c>
      <c r="T379" s="36">
        <f t="shared" si="903"/>
        <v>0</v>
      </c>
      <c r="U379" s="36">
        <f t="shared" si="903"/>
        <v>0</v>
      </c>
      <c r="V379" s="36">
        <f t="shared" si="903"/>
        <v>0</v>
      </c>
      <c r="W379" s="36">
        <f t="shared" si="903"/>
        <v>0</v>
      </c>
      <c r="X379" s="36">
        <f t="shared" si="903"/>
        <v>0</v>
      </c>
      <c r="Y379" s="36">
        <f t="shared" si="903"/>
        <v>0</v>
      </c>
      <c r="Z379" s="36">
        <f t="shared" si="903"/>
        <v>0</v>
      </c>
      <c r="AA379" s="36">
        <f t="shared" si="903"/>
        <v>0</v>
      </c>
      <c r="AB379" s="36">
        <f t="shared" si="903"/>
        <v>0</v>
      </c>
      <c r="AC379" s="36">
        <f t="shared" si="903"/>
        <v>0</v>
      </c>
      <c r="AD379" s="36">
        <f t="shared" si="903"/>
        <v>0</v>
      </c>
      <c r="AE379" s="36">
        <f t="shared" si="903"/>
        <v>0</v>
      </c>
      <c r="AF379" s="36">
        <f t="shared" si="903"/>
        <v>0</v>
      </c>
      <c r="AG379" s="36">
        <f t="shared" si="903"/>
        <v>0</v>
      </c>
      <c r="AH379" s="36">
        <f t="shared" si="903"/>
        <v>0</v>
      </c>
      <c r="BH379" s="2" t="s">
        <v>576</v>
      </c>
      <c r="BI379" s="2">
        <v>800</v>
      </c>
      <c r="BJ379" s="2">
        <v>900</v>
      </c>
      <c r="BN379" s="2">
        <v>595</v>
      </c>
    </row>
    <row r="380" spans="2:66" ht="17.399999999999999" thickBot="1">
      <c r="B380" s="40" t="s">
        <v>558</v>
      </c>
      <c r="C380" s="41"/>
      <c r="D380" s="42">
        <f>D377/12</f>
        <v>0</v>
      </c>
      <c r="E380" s="42">
        <f>E377/12</f>
        <v>0</v>
      </c>
      <c r="F380" s="42">
        <f>F377/12</f>
        <v>0</v>
      </c>
      <c r="G380" s="42">
        <f>G377/12</f>
        <v>0</v>
      </c>
      <c r="H380" s="42">
        <f t="shared" ref="H380:AH380" si="904">H377/12</f>
        <v>0</v>
      </c>
      <c r="I380" s="42">
        <f t="shared" si="904"/>
        <v>0</v>
      </c>
      <c r="J380" s="42">
        <f t="shared" si="904"/>
        <v>0</v>
      </c>
      <c r="K380" s="42">
        <f t="shared" si="904"/>
        <v>0</v>
      </c>
      <c r="L380" s="42">
        <f t="shared" si="904"/>
        <v>0</v>
      </c>
      <c r="M380" s="42">
        <f t="shared" si="904"/>
        <v>0</v>
      </c>
      <c r="N380" s="42">
        <f t="shared" si="904"/>
        <v>0</v>
      </c>
      <c r="O380" s="42">
        <f t="shared" si="904"/>
        <v>0</v>
      </c>
      <c r="P380" s="42">
        <f t="shared" si="904"/>
        <v>0</v>
      </c>
      <c r="Q380" s="42">
        <f t="shared" si="904"/>
        <v>0</v>
      </c>
      <c r="R380" s="42">
        <f t="shared" si="904"/>
        <v>0</v>
      </c>
      <c r="S380" s="42">
        <f t="shared" si="904"/>
        <v>0</v>
      </c>
      <c r="T380" s="42">
        <f t="shared" si="904"/>
        <v>0</v>
      </c>
      <c r="U380" s="42">
        <f t="shared" si="904"/>
        <v>0</v>
      </c>
      <c r="V380" s="42">
        <f t="shared" si="904"/>
        <v>0</v>
      </c>
      <c r="W380" s="42">
        <f t="shared" si="904"/>
        <v>0</v>
      </c>
      <c r="X380" s="42">
        <f t="shared" si="904"/>
        <v>0</v>
      </c>
      <c r="Y380" s="42">
        <f t="shared" si="904"/>
        <v>0</v>
      </c>
      <c r="Z380" s="42">
        <f t="shared" si="904"/>
        <v>0</v>
      </c>
      <c r="AA380" s="42">
        <f t="shared" si="904"/>
        <v>0</v>
      </c>
      <c r="AB380" s="42">
        <f t="shared" si="904"/>
        <v>0</v>
      </c>
      <c r="AC380" s="42">
        <f t="shared" si="904"/>
        <v>0</v>
      </c>
      <c r="AD380" s="42">
        <f t="shared" si="904"/>
        <v>0</v>
      </c>
      <c r="AE380" s="42">
        <f t="shared" si="904"/>
        <v>0</v>
      </c>
      <c r="AF380" s="42">
        <f t="shared" si="904"/>
        <v>0</v>
      </c>
      <c r="AG380" s="42">
        <f t="shared" si="904"/>
        <v>0</v>
      </c>
      <c r="AH380" s="42">
        <f t="shared" si="904"/>
        <v>0</v>
      </c>
      <c r="BH380" s="2" t="s">
        <v>576</v>
      </c>
      <c r="BI380" s="2">
        <v>900</v>
      </c>
      <c r="BJ380" s="2">
        <v>900</v>
      </c>
      <c r="BN380" s="2">
        <v>670</v>
      </c>
    </row>
    <row r="381" spans="2:66" ht="17.399999999999999" thickBot="1">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BH381" s="2" t="s">
        <v>576</v>
      </c>
      <c r="BI381" s="2">
        <v>1000</v>
      </c>
      <c r="BJ381" s="2">
        <v>900</v>
      </c>
      <c r="BN381" s="2">
        <v>744</v>
      </c>
    </row>
    <row r="382" spans="2:66" ht="19.2" thickBot="1">
      <c r="B382" s="61" t="str">
        <f>Allgemein!M75</f>
        <v>Ergänzungskredit</v>
      </c>
      <c r="C382" s="29"/>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BH382" s="2" t="s">
        <v>575</v>
      </c>
      <c r="BI382" s="2">
        <v>400</v>
      </c>
      <c r="BJ382" s="2">
        <v>300</v>
      </c>
      <c r="BK382" s="162"/>
      <c r="BN382" s="2">
        <v>102</v>
      </c>
    </row>
    <row r="383" spans="2:66" ht="17.399999999999999" thickBot="1">
      <c r="B383" s="56" t="s">
        <v>339</v>
      </c>
      <c r="C383" s="57"/>
      <c r="D383" s="58">
        <v>1</v>
      </c>
      <c r="E383" s="59">
        <v>2</v>
      </c>
      <c r="F383" s="59">
        <v>3</v>
      </c>
      <c r="G383" s="58">
        <v>4</v>
      </c>
      <c r="H383" s="58">
        <v>5</v>
      </c>
      <c r="I383" s="59">
        <v>6</v>
      </c>
      <c r="J383" s="59">
        <v>7</v>
      </c>
      <c r="K383" s="58">
        <v>8</v>
      </c>
      <c r="L383" s="58">
        <v>9</v>
      </c>
      <c r="M383" s="59">
        <v>10</v>
      </c>
      <c r="N383" s="59">
        <v>11</v>
      </c>
      <c r="O383" s="58">
        <v>12</v>
      </c>
      <c r="P383" s="58">
        <v>13</v>
      </c>
      <c r="Q383" s="59">
        <v>14</v>
      </c>
      <c r="R383" s="59">
        <v>15</v>
      </c>
      <c r="S383" s="58">
        <v>16</v>
      </c>
      <c r="T383" s="58">
        <v>17</v>
      </c>
      <c r="U383" s="59">
        <v>18</v>
      </c>
      <c r="V383" s="59">
        <v>19</v>
      </c>
      <c r="W383" s="58">
        <v>20</v>
      </c>
      <c r="X383" s="58">
        <v>21</v>
      </c>
      <c r="Y383" s="59">
        <v>22</v>
      </c>
      <c r="Z383" s="59">
        <v>23</v>
      </c>
      <c r="AA383" s="58">
        <v>24</v>
      </c>
      <c r="AB383" s="58">
        <v>25</v>
      </c>
      <c r="AC383" s="59">
        <v>26</v>
      </c>
      <c r="AD383" s="59">
        <v>27</v>
      </c>
      <c r="AE383" s="58">
        <v>28</v>
      </c>
      <c r="AF383" s="58">
        <v>29</v>
      </c>
      <c r="AG383" s="59">
        <v>30</v>
      </c>
      <c r="AH383" s="74">
        <v>31</v>
      </c>
      <c r="BH383" s="2" t="s">
        <v>575</v>
      </c>
      <c r="BI383" s="2">
        <v>500</v>
      </c>
      <c r="BJ383" s="2">
        <v>300</v>
      </c>
      <c r="BK383" s="162"/>
      <c r="BN383" s="2">
        <v>127</v>
      </c>
    </row>
    <row r="384" spans="2:66">
      <c r="B384" s="69" t="s">
        <v>545</v>
      </c>
      <c r="C384" s="70"/>
      <c r="D384" s="71"/>
      <c r="E384" s="72"/>
      <c r="F384" s="73"/>
      <c r="G384" s="73"/>
      <c r="H384" s="73"/>
      <c r="I384" s="73"/>
      <c r="J384" s="73"/>
      <c r="K384" s="73"/>
      <c r="L384" s="73"/>
      <c r="M384" s="73"/>
      <c r="N384" s="73"/>
      <c r="O384" s="73"/>
      <c r="P384" s="73"/>
      <c r="Q384" s="73"/>
      <c r="R384" s="73"/>
      <c r="S384" s="73"/>
      <c r="T384" s="73"/>
      <c r="U384" s="73"/>
      <c r="V384" s="73"/>
      <c r="W384" s="73"/>
      <c r="X384" s="73"/>
      <c r="Y384" s="73"/>
      <c r="Z384" s="73"/>
      <c r="AA384" s="73"/>
      <c r="AB384" s="73"/>
      <c r="AC384" s="73"/>
      <c r="AD384" s="73"/>
      <c r="AE384" s="73"/>
      <c r="AF384" s="73"/>
      <c r="AG384" s="73"/>
      <c r="AH384" s="73"/>
      <c r="BH384" s="2" t="s">
        <v>575</v>
      </c>
      <c r="BI384" s="2">
        <v>600</v>
      </c>
      <c r="BJ384" s="2">
        <v>300</v>
      </c>
      <c r="BN384" s="2">
        <v>153</v>
      </c>
    </row>
    <row r="385" spans="2:66">
      <c r="B385" s="31" t="s">
        <v>546</v>
      </c>
      <c r="C385" s="32"/>
      <c r="D385" s="595">
        <f>Allgemein!L112</f>
        <v>0</v>
      </c>
      <c r="E385" s="595">
        <f>IF(E384=0,D385,E384)</f>
        <v>0</v>
      </c>
      <c r="F385" s="595">
        <f t="shared" ref="F385:P385" si="905">IF(F384=0,E385,F384)</f>
        <v>0</v>
      </c>
      <c r="G385" s="595">
        <f t="shared" si="905"/>
        <v>0</v>
      </c>
      <c r="H385" s="595">
        <f t="shared" si="905"/>
        <v>0</v>
      </c>
      <c r="I385" s="595">
        <f t="shared" si="905"/>
        <v>0</v>
      </c>
      <c r="J385" s="595">
        <f t="shared" si="905"/>
        <v>0</v>
      </c>
      <c r="K385" s="595">
        <f t="shared" si="905"/>
        <v>0</v>
      </c>
      <c r="L385" s="595">
        <f t="shared" si="905"/>
        <v>0</v>
      </c>
      <c r="M385" s="595">
        <f t="shared" si="905"/>
        <v>0</v>
      </c>
      <c r="N385" s="595">
        <f t="shared" si="905"/>
        <v>0</v>
      </c>
      <c r="O385" s="595">
        <f t="shared" si="905"/>
        <v>0</v>
      </c>
      <c r="P385" s="595">
        <f t="shared" si="905"/>
        <v>0</v>
      </c>
      <c r="Q385" s="595">
        <f t="shared" ref="Q385" si="906">IF(Q384=0,P385,Q384)</f>
        <v>0</v>
      </c>
      <c r="R385" s="595">
        <f t="shared" ref="R385" si="907">IF(R384=0,Q385,R384)</f>
        <v>0</v>
      </c>
      <c r="S385" s="595">
        <f t="shared" ref="S385" si="908">IF(S384=0,R385,S384)</f>
        <v>0</v>
      </c>
      <c r="T385" s="595">
        <f t="shared" ref="T385" si="909">IF(T384=0,S385,T384)</f>
        <v>0</v>
      </c>
      <c r="U385" s="595">
        <f t="shared" ref="U385" si="910">IF(U384=0,T385,U384)</f>
        <v>0</v>
      </c>
      <c r="V385" s="595">
        <f t="shared" ref="V385" si="911">IF(V384=0,U385,V384)</f>
        <v>0</v>
      </c>
      <c r="W385" s="595">
        <f t="shared" ref="W385" si="912">IF(W384=0,V385,W384)</f>
        <v>0</v>
      </c>
      <c r="X385" s="595">
        <f t="shared" ref="X385" si="913">IF(X384=0,W385,X384)</f>
        <v>0</v>
      </c>
      <c r="Y385" s="595">
        <f t="shared" ref="Y385" si="914">IF(Y384=0,X385,Y384)</f>
        <v>0</v>
      </c>
      <c r="Z385" s="595">
        <f t="shared" ref="Z385" si="915">IF(Z384=0,Y385,Z384)</f>
        <v>0</v>
      </c>
      <c r="AA385" s="595">
        <f t="shared" ref="AA385" si="916">IF(AA384=0,Z385,AA384)</f>
        <v>0</v>
      </c>
      <c r="AB385" s="595">
        <f t="shared" ref="AB385" si="917">IF(AB384=0,AA385,AB384)</f>
        <v>0</v>
      </c>
      <c r="AC385" s="595">
        <f t="shared" ref="AC385" si="918">IF(AC384=0,AB385,AC384)</f>
        <v>0</v>
      </c>
      <c r="AD385" s="595">
        <f t="shared" ref="AD385" si="919">IF(AD384=0,AC385,AD384)</f>
        <v>0</v>
      </c>
      <c r="AE385" s="595">
        <f t="shared" ref="AE385" si="920">IF(AE384=0,AD385,AE384)</f>
        <v>0</v>
      </c>
      <c r="AF385" s="595">
        <f t="shared" ref="AF385" si="921">IF(AF384=0,AE385,AF384)</f>
        <v>0</v>
      </c>
      <c r="AG385" s="595">
        <f t="shared" ref="AG385" si="922">IF(AG384=0,AF385,AG384)</f>
        <v>0</v>
      </c>
      <c r="AH385" s="595">
        <f t="shared" ref="AH385" si="923">IF(AH384=0,AG385,AH384)</f>
        <v>0</v>
      </c>
      <c r="BH385" s="2" t="s">
        <v>575</v>
      </c>
      <c r="BI385" s="2">
        <v>700</v>
      </c>
      <c r="BJ385" s="2">
        <v>300</v>
      </c>
      <c r="BN385" s="2">
        <v>178</v>
      </c>
    </row>
    <row r="386" spans="2:66">
      <c r="B386" s="34"/>
      <c r="C386" s="35"/>
      <c r="BH386" s="2" t="s">
        <v>575</v>
      </c>
      <c r="BI386" s="2">
        <v>800</v>
      </c>
      <c r="BJ386" s="2">
        <v>300</v>
      </c>
      <c r="BN386" s="2">
        <v>204</v>
      </c>
    </row>
    <row r="387" spans="2:66">
      <c r="B387" s="31" t="s">
        <v>548</v>
      </c>
      <c r="C387" s="32"/>
      <c r="D387" s="596">
        <f>Allgemein!L110</f>
        <v>0</v>
      </c>
      <c r="E387" s="36">
        <f>IF(E383=Allgemein!$L$114+2,(Allgemein!$L$110-Allgemein!$L$118)-D391,D396)</f>
        <v>0</v>
      </c>
      <c r="F387" s="36">
        <f>IF(F383=Allgemein!$L$114+2,(Allgemein!$L$110-Allgemein!$L$118)-E391,E396)</f>
        <v>0</v>
      </c>
      <c r="G387" s="36">
        <f>IF(G383=Allgemein!$L$114+2,(Allgemein!$L$110-Allgemein!$L$118)-F391,F396)</f>
        <v>0</v>
      </c>
      <c r="H387" s="36">
        <f>IF(H383=Allgemein!$L$114+2,(Allgemein!$L$110-Allgemein!$L$118)-G391,G396)</f>
        <v>0</v>
      </c>
      <c r="I387" s="36">
        <f>IF(I383=Allgemein!$L$114+2,(Allgemein!$L$110-Allgemein!$L$118)-H391,H396)</f>
        <v>0</v>
      </c>
      <c r="J387" s="36">
        <f>IF(J383=Allgemein!$L$114+2,(Allgemein!$L$110-Allgemein!$L$118)-I391,I396)</f>
        <v>0</v>
      </c>
      <c r="K387" s="36">
        <f>IF(K383=Allgemein!$L$114+2,(Allgemein!$L$110-Allgemein!$L$118)-J391,J396)</f>
        <v>0</v>
      </c>
      <c r="L387" s="36">
        <f>IF(L383=Allgemein!$L$114+2,(Allgemein!$L$110-Allgemein!$L$118)-K391,K396)</f>
        <v>0</v>
      </c>
      <c r="M387" s="36">
        <f>IF(M383=Allgemein!$L$114+2,(Allgemein!$L$110-Allgemein!$L$118)-L391,L396)</f>
        <v>0</v>
      </c>
      <c r="N387" s="36">
        <f>IF(N383=Allgemein!$L$114+2,(Allgemein!$L$110-Allgemein!$L$118)-M391,M396)</f>
        <v>0</v>
      </c>
      <c r="O387" s="36">
        <f>IF(O383=Allgemein!$L$114+2,(Allgemein!$L$110-Allgemein!$L$118)-N391,N396)</f>
        <v>0</v>
      </c>
      <c r="P387" s="36">
        <f>IF(P383=Allgemein!$L$114+2,(Allgemein!$L$110-Allgemein!$L$118)-O391,O396)</f>
        <v>0</v>
      </c>
      <c r="Q387" s="36">
        <f>IF(Q383=Allgemein!$L$114+2,(Allgemein!$L$110-Allgemein!$L$118)-P391,P396)</f>
        <v>0</v>
      </c>
      <c r="R387" s="36">
        <f>IF(R383=Allgemein!$L$114+2,(Allgemein!$L$110-Allgemein!$L$118)-Q391,Q396)</f>
        <v>0</v>
      </c>
      <c r="S387" s="36">
        <f>IF(S383=Allgemein!$L$114+2,(Allgemein!$L$110-Allgemein!$L$118)-R391,R396)</f>
        <v>0</v>
      </c>
      <c r="T387" s="36">
        <f>IF(T383=Allgemein!$L$114+2,(Allgemein!$L$110-Allgemein!$L$118)-S391,S396)</f>
        <v>0</v>
      </c>
      <c r="U387" s="36">
        <f>IF(U383=Allgemein!$L$114+2,(Allgemein!$L$110-Allgemein!$L$118)-T391,T396)</f>
        <v>0</v>
      </c>
      <c r="V387" s="36">
        <f>IF(V383=Allgemein!$L$114+2,(Allgemein!$L$110-Allgemein!$L$118)-U391,U396)</f>
        <v>0</v>
      </c>
      <c r="W387" s="36">
        <f>IF(W383=Allgemein!$L$114+2,(Allgemein!$L$110-Allgemein!$L$118)-V391,V396)</f>
        <v>0</v>
      </c>
      <c r="X387" s="36">
        <f>IF(X383=Allgemein!$L$114+2,(Allgemein!$L$110-Allgemein!$L$118)-W391,W396)</f>
        <v>0</v>
      </c>
      <c r="Y387" s="36">
        <f>IF(Y383=Allgemein!$L$114+2,(Allgemein!$L$110-Allgemein!$L$118)-X391,X396)</f>
        <v>0</v>
      </c>
      <c r="Z387" s="36">
        <f>IF(Z383=Allgemein!$L$114+2,(Allgemein!$L$110-Allgemein!$L$118)-Y391,Y396)</f>
        <v>0</v>
      </c>
      <c r="AA387" s="36">
        <f>IF(AA383=Allgemein!$L$114+2,(Allgemein!$L$110-Allgemein!$L$118)-Z391,Z396)</f>
        <v>0</v>
      </c>
      <c r="AB387" s="36">
        <f>IF(AB383=Allgemein!$L$114+2,(Allgemein!$L$110-Allgemein!$L$118)-AA391,AA396)</f>
        <v>0</v>
      </c>
      <c r="AC387" s="36">
        <f>IF(AC383=Allgemein!$L$114+2,(Allgemein!$L$110-Allgemein!$L$118)-AB391,AB396)</f>
        <v>0</v>
      </c>
      <c r="AD387" s="36">
        <f>IF(AD383=Allgemein!$L$114+2,(Allgemein!$L$110-Allgemein!$L$118)-AC391,AC396)</f>
        <v>0</v>
      </c>
      <c r="AE387" s="36">
        <f>IF(AE383=Allgemein!$L$114+2,(Allgemein!$L$110-Allgemein!$L$118)-AD391,AD396)</f>
        <v>0</v>
      </c>
      <c r="AF387" s="36">
        <f>IF(AF383=Allgemein!$L$114+2,(Allgemein!$L$110-Allgemein!$L$118)-AE391,AE396)</f>
        <v>0</v>
      </c>
      <c r="AG387" s="36">
        <f>IF(AG383=Allgemein!$L$114+2,(Allgemein!$L$110-Allgemein!$L$118)-AF391,AF396)</f>
        <v>0</v>
      </c>
      <c r="AH387" s="36">
        <f>IF(AH383=Allgemein!$L$114+2,(Allgemein!$L$110-Allgemein!$L$118)-AG391,AG396)</f>
        <v>0</v>
      </c>
      <c r="BH387" s="2" t="s">
        <v>575</v>
      </c>
      <c r="BI387" s="2">
        <v>900</v>
      </c>
      <c r="BJ387" s="2">
        <v>300</v>
      </c>
      <c r="BN387" s="2">
        <v>229</v>
      </c>
    </row>
    <row r="388" spans="2:66">
      <c r="B388" s="31" t="s">
        <v>549</v>
      </c>
      <c r="C388" s="32"/>
      <c r="D388" s="596">
        <f>D387*D385</f>
        <v>0</v>
      </c>
      <c r="E388" s="596">
        <f t="shared" ref="E388:O388" si="924">IF(E387=0,0,E385*E387)</f>
        <v>0</v>
      </c>
      <c r="F388" s="596">
        <f t="shared" si="924"/>
        <v>0</v>
      </c>
      <c r="G388" s="596">
        <f t="shared" si="924"/>
        <v>0</v>
      </c>
      <c r="H388" s="596">
        <f t="shared" si="924"/>
        <v>0</v>
      </c>
      <c r="I388" s="596">
        <f t="shared" si="924"/>
        <v>0</v>
      </c>
      <c r="J388" s="596">
        <f t="shared" si="924"/>
        <v>0</v>
      </c>
      <c r="K388" s="596">
        <f t="shared" si="924"/>
        <v>0</v>
      </c>
      <c r="L388" s="596">
        <f t="shared" si="924"/>
        <v>0</v>
      </c>
      <c r="M388" s="596">
        <f t="shared" si="924"/>
        <v>0</v>
      </c>
      <c r="N388" s="596">
        <f t="shared" si="924"/>
        <v>0</v>
      </c>
      <c r="O388" s="596">
        <f t="shared" si="924"/>
        <v>0</v>
      </c>
      <c r="P388" s="596">
        <f t="shared" ref="P388:AH388" si="925">IF(P387=0,0,P385*P387)</f>
        <v>0</v>
      </c>
      <c r="Q388" s="596">
        <f t="shared" si="925"/>
        <v>0</v>
      </c>
      <c r="R388" s="596">
        <f t="shared" si="925"/>
        <v>0</v>
      </c>
      <c r="S388" s="596">
        <f t="shared" si="925"/>
        <v>0</v>
      </c>
      <c r="T388" s="596">
        <f t="shared" si="925"/>
        <v>0</v>
      </c>
      <c r="U388" s="596">
        <f t="shared" si="925"/>
        <v>0</v>
      </c>
      <c r="V388" s="596">
        <f t="shared" si="925"/>
        <v>0</v>
      </c>
      <c r="W388" s="596">
        <f t="shared" si="925"/>
        <v>0</v>
      </c>
      <c r="X388" s="596">
        <f t="shared" si="925"/>
        <v>0</v>
      </c>
      <c r="Y388" s="596">
        <f t="shared" si="925"/>
        <v>0</v>
      </c>
      <c r="Z388" s="596">
        <f t="shared" si="925"/>
        <v>0</v>
      </c>
      <c r="AA388" s="596">
        <f t="shared" si="925"/>
        <v>0</v>
      </c>
      <c r="AB388" s="596">
        <f t="shared" si="925"/>
        <v>0</v>
      </c>
      <c r="AC388" s="596">
        <f t="shared" si="925"/>
        <v>0</v>
      </c>
      <c r="AD388" s="596">
        <f t="shared" si="925"/>
        <v>0</v>
      </c>
      <c r="AE388" s="596">
        <f t="shared" si="925"/>
        <v>0</v>
      </c>
      <c r="AF388" s="596">
        <f t="shared" si="925"/>
        <v>0</v>
      </c>
      <c r="AG388" s="596">
        <f t="shared" si="925"/>
        <v>0</v>
      </c>
      <c r="AH388" s="596">
        <f t="shared" si="925"/>
        <v>0</v>
      </c>
      <c r="BH388" s="2" t="s">
        <v>575</v>
      </c>
      <c r="BI388" s="2">
        <v>1000</v>
      </c>
      <c r="BJ388" s="2">
        <v>300</v>
      </c>
      <c r="BN388" s="2">
        <v>255</v>
      </c>
    </row>
    <row r="389" spans="2:66">
      <c r="B389" s="34"/>
      <c r="C389" s="35"/>
      <c r="BH389" s="2" t="s">
        <v>575</v>
      </c>
      <c r="BI389" s="2">
        <v>1100</v>
      </c>
      <c r="BJ389" s="2">
        <v>300</v>
      </c>
      <c r="BN389" s="2">
        <v>280</v>
      </c>
    </row>
    <row r="390" spans="2:66">
      <c r="B390" s="31" t="s">
        <v>550</v>
      </c>
      <c r="C390" s="32"/>
      <c r="D390" s="596"/>
      <c r="E390" s="596"/>
      <c r="F390" s="596"/>
      <c r="G390" s="596"/>
      <c r="H390" s="596"/>
      <c r="I390" s="596"/>
      <c r="J390" s="596"/>
      <c r="K390" s="596"/>
      <c r="L390" s="596"/>
      <c r="M390" s="596"/>
      <c r="N390" s="596"/>
      <c r="O390" s="596"/>
      <c r="P390" s="596"/>
      <c r="Q390" s="596"/>
      <c r="R390" s="596"/>
      <c r="S390" s="596"/>
      <c r="T390" s="596"/>
      <c r="U390" s="596"/>
      <c r="V390" s="596"/>
      <c r="W390" s="596"/>
      <c r="X390" s="596"/>
      <c r="Y390" s="596"/>
      <c r="Z390" s="596"/>
      <c r="AA390" s="596"/>
      <c r="AB390" s="596"/>
      <c r="AC390" s="596"/>
      <c r="AD390" s="596"/>
      <c r="AE390" s="596"/>
      <c r="AF390" s="596"/>
      <c r="AG390" s="596"/>
      <c r="AH390" s="596"/>
      <c r="BH390" s="2" t="s">
        <v>575</v>
      </c>
      <c r="BI390" s="2">
        <v>1200</v>
      </c>
      <c r="BJ390" s="2">
        <v>300</v>
      </c>
      <c r="BN390" s="2">
        <v>306</v>
      </c>
    </row>
    <row r="391" spans="2:66">
      <c r="B391" s="31" t="s">
        <v>551</v>
      </c>
      <c r="C391" s="32"/>
      <c r="D391" s="596">
        <f>D392*D387</f>
        <v>0</v>
      </c>
      <c r="E391" s="596">
        <f t="shared" ref="E391:K391" si="926">IF(D391=0,E392*E387,E394-E388)</f>
        <v>0</v>
      </c>
      <c r="F391" s="596">
        <f t="shared" si="926"/>
        <v>0</v>
      </c>
      <c r="G391" s="596">
        <f t="shared" si="926"/>
        <v>0</v>
      </c>
      <c r="H391" s="596">
        <f t="shared" si="926"/>
        <v>0</v>
      </c>
      <c r="I391" s="596">
        <f t="shared" si="926"/>
        <v>0</v>
      </c>
      <c r="J391" s="596">
        <f t="shared" si="926"/>
        <v>0</v>
      </c>
      <c r="K391" s="596">
        <f t="shared" si="926"/>
        <v>0</v>
      </c>
      <c r="L391" s="596">
        <f t="shared" ref="L391" si="927">IF(K391=0,L392*L387,L394-L388)</f>
        <v>0</v>
      </c>
      <c r="M391" s="596">
        <f t="shared" ref="M391" si="928">IF(L391=0,M392*M387,M394-M388)</f>
        <v>0</v>
      </c>
      <c r="N391" s="596">
        <f t="shared" ref="N391" si="929">IF(M391=0,N392*N387,N394-N388)</f>
        <v>0</v>
      </c>
      <c r="O391" s="596">
        <f t="shared" ref="O391" si="930">IF(N391=0,O392*O387,O394-O388)</f>
        <v>0</v>
      </c>
      <c r="P391" s="596">
        <f t="shared" ref="P391" si="931">IF(O391=0,P392*P387,P394-P388)</f>
        <v>0</v>
      </c>
      <c r="Q391" s="596">
        <f t="shared" ref="Q391" si="932">IF(P391=0,Q392*Q387,Q394-Q388)</f>
        <v>0</v>
      </c>
      <c r="R391" s="596">
        <f t="shared" ref="R391" si="933">IF(Q391=0,R392*R387,R394-R388)</f>
        <v>0</v>
      </c>
      <c r="S391" s="596">
        <f t="shared" ref="S391" si="934">IF(R391=0,S392*S387,S394-S388)</f>
        <v>0</v>
      </c>
      <c r="T391" s="596">
        <f t="shared" ref="T391" si="935">IF(S391=0,T392*T387,T394-T388)</f>
        <v>0</v>
      </c>
      <c r="U391" s="596">
        <f t="shared" ref="U391" si="936">IF(T391=0,U392*U387,U394-U388)</f>
        <v>0</v>
      </c>
      <c r="V391" s="596">
        <f t="shared" ref="V391" si="937">IF(U391=0,V392*V387,V394-V388)</f>
        <v>0</v>
      </c>
      <c r="W391" s="596">
        <f t="shared" ref="W391" si="938">IF(V391=0,W392*W387,W394-W388)</f>
        <v>0</v>
      </c>
      <c r="X391" s="596">
        <f t="shared" ref="X391" si="939">IF(W391=0,X392*X387,X394-X388)</f>
        <v>0</v>
      </c>
      <c r="Y391" s="596">
        <f t="shared" ref="Y391" si="940">IF(X391=0,Y392*Y387,Y394-Y388)</f>
        <v>0</v>
      </c>
      <c r="Z391" s="596">
        <f t="shared" ref="Z391" si="941">IF(Y391=0,Z392*Z387,Z394-Z388)</f>
        <v>0</v>
      </c>
      <c r="AA391" s="596">
        <f t="shared" ref="AA391" si="942">IF(Z391=0,AA392*AA387,AA394-AA388)</f>
        <v>0</v>
      </c>
      <c r="AB391" s="596">
        <f t="shared" ref="AB391" si="943">IF(AA391=0,AB392*AB387,AB394-AB388)</f>
        <v>0</v>
      </c>
      <c r="AC391" s="596">
        <f t="shared" ref="AC391" si="944">IF(AB391=0,AC392*AC387,AC394-AC388)</f>
        <v>0</v>
      </c>
      <c r="AD391" s="596">
        <f t="shared" ref="AD391" si="945">IF(AC391=0,AD392*AD387,AD394-AD388)</f>
        <v>0</v>
      </c>
      <c r="AE391" s="596">
        <f t="shared" ref="AE391" si="946">IF(AD391=0,AE392*AE387,AE394-AE388)</f>
        <v>0</v>
      </c>
      <c r="AF391" s="596">
        <f t="shared" ref="AF391" si="947">IF(AE391=0,AF392*AF387,AF394-AF388)</f>
        <v>0</v>
      </c>
      <c r="AG391" s="596">
        <f t="shared" ref="AG391" si="948">IF(AF391=0,AG392*AG387,AG394-AG388)</f>
        <v>0</v>
      </c>
      <c r="AH391" s="596">
        <f t="shared" ref="AH391" si="949">IF(AG391=0,AH392*AH387,AH394-AH388)</f>
        <v>0</v>
      </c>
      <c r="BH391" s="2" t="s">
        <v>575</v>
      </c>
      <c r="BI391" s="2">
        <v>1400</v>
      </c>
      <c r="BJ391" s="2">
        <v>300</v>
      </c>
      <c r="BN391" s="2">
        <v>375</v>
      </c>
    </row>
    <row r="392" spans="2:66">
      <c r="B392" s="38" t="s">
        <v>554</v>
      </c>
      <c r="C392" s="39"/>
      <c r="D392" s="33">
        <f>IF(Allgemein!$L$114&gt;=D383,0,Allgemein!$L$115)</f>
        <v>0</v>
      </c>
      <c r="E392" s="33">
        <f>IF(Allgemein!$L$114&gt;=E383,0,IF(D391=0,Allgemein!$L$115,IF(E387=0,0,E391/E387)))</f>
        <v>0</v>
      </c>
      <c r="F392" s="33">
        <f>IF(Allgemein!$L$114&gt;=F383,0,IF(E391=0,Allgemein!$L$115,IF(F387=0,0,F391/F387)))</f>
        <v>0</v>
      </c>
      <c r="G392" s="33">
        <f>IF(Allgemein!$L$114&gt;=G383,0,IF(F391=0,Allgemein!$L$115,IF(G387=0,0,G391/G387)))</f>
        <v>0</v>
      </c>
      <c r="H392" s="33">
        <f>IF(Allgemein!$L$114&gt;=H383,0,IF(G391=0,Allgemein!$L$115,IF(H387=0,0,H391/H387)))</f>
        <v>0</v>
      </c>
      <c r="I392" s="33">
        <f>IF(Allgemein!$L$114&gt;=I383,0,IF(H391=0,Allgemein!$L$115,IF(I387=0,0,I391/I387)))</f>
        <v>0</v>
      </c>
      <c r="J392" s="33">
        <f>IF(Allgemein!$L$114&gt;=J383,0,IF(I391=0,Allgemein!$L$115,IF(J387=0,0,J391/J387)))</f>
        <v>0</v>
      </c>
      <c r="K392" s="33">
        <f>IF(Allgemein!$L$114&gt;=K383,0,IF(J391=0,Allgemein!$L$115,IF(K387=0,0,K391/K387)))</f>
        <v>0</v>
      </c>
      <c r="L392" s="33">
        <f>IF(Allgemein!$L$114&gt;=L383,0,IF(K391=0,Allgemein!$L$115,IF(L387=0,0,L391/L387)))</f>
        <v>0</v>
      </c>
      <c r="M392" s="33">
        <f>IF(Allgemein!$L$114&gt;=M383,0,IF(L391=0,Allgemein!$L$115,IF(M387=0,0,M391/M387)))</f>
        <v>0</v>
      </c>
      <c r="N392" s="33">
        <f>IF(Allgemein!$L$114&gt;=N383,0,IF(M391=0,Allgemein!$L$115,IF(N387=0,0,N391/N387)))</f>
        <v>0</v>
      </c>
      <c r="O392" s="33">
        <f>IF(Allgemein!$L$114&gt;=O383,0,IF(N391=0,Allgemein!$L$115,IF(O387=0,0,O391/O387)))</f>
        <v>0</v>
      </c>
      <c r="P392" s="33">
        <f>IF(Allgemein!$L$114&gt;=P383,0,IF(O391=0,Allgemein!$L$115,IF(P387=0,0,P391/P387)))</f>
        <v>0</v>
      </c>
      <c r="Q392" s="33">
        <f>IF(Allgemein!$L$114&gt;=Q383,0,IF(P391=0,Allgemein!$L$115,IF(Q387=0,0,Q391/Q387)))</f>
        <v>0</v>
      </c>
      <c r="R392" s="33">
        <f>IF(Allgemein!$L$114&gt;=R383,0,IF(Q391=0,Allgemein!$L$115,IF(R387=0,0,R391/R387)))</f>
        <v>0</v>
      </c>
      <c r="S392" s="33">
        <f>IF(Allgemein!$L$114&gt;=S383,0,IF(R391=0,Allgemein!$L$115,IF(S387=0,0,S391/S387)))</f>
        <v>0</v>
      </c>
      <c r="T392" s="33">
        <f>IF(Allgemein!$L$114&gt;=T383,0,IF(S391=0,Allgemein!$L$115,IF(T387=0,0,T391/T387)))</f>
        <v>0</v>
      </c>
      <c r="U392" s="33">
        <f>IF(Allgemein!$L$114&gt;=U383,0,IF(T391=0,Allgemein!$L$115,IF(U387=0,0,U391/U387)))</f>
        <v>0</v>
      </c>
      <c r="V392" s="33">
        <f>IF(Allgemein!$L$114&gt;=V383,0,IF(U391=0,Allgemein!$L$115,IF(V387=0,0,V391/V387)))</f>
        <v>0</v>
      </c>
      <c r="W392" s="33">
        <f>IF(Allgemein!$L$114&gt;=W383,0,IF(V391=0,Allgemein!$L$115,IF(W387=0,0,W391/W387)))</f>
        <v>0</v>
      </c>
      <c r="X392" s="33">
        <f>IF(Allgemein!$L$114&gt;=X383,0,IF(W391=0,Allgemein!$L$115,IF(X387=0,0,X391/X387)))</f>
        <v>0</v>
      </c>
      <c r="Y392" s="33">
        <f>IF(Allgemein!$L$114&gt;=Y383,0,IF(X391=0,Allgemein!$L$115,IF(Y387=0,0,Y391/Y387)))</f>
        <v>0</v>
      </c>
      <c r="Z392" s="33">
        <f>IF(Allgemein!$L$114&gt;=Z383,0,IF(Y391=0,Allgemein!$L$115,IF(Z387=0,0,Z391/Z387)))</f>
        <v>0</v>
      </c>
      <c r="AA392" s="33">
        <f>IF(Allgemein!$L$114&gt;=AA383,0,IF(Z391=0,Allgemein!$L$115,IF(AA387=0,0,AA391/AA387)))</f>
        <v>0</v>
      </c>
      <c r="AB392" s="33">
        <f>IF(Allgemein!$L$114&gt;=AB383,0,IF(AA391=0,Allgemein!$L$115,IF(AB387=0,0,AB391/AB387)))</f>
        <v>0</v>
      </c>
      <c r="AC392" s="33">
        <f>IF(Allgemein!$L$114&gt;=AC383,0,IF(AB391=0,Allgemein!$L$115,IF(AC387=0,0,AC391/AC387)))</f>
        <v>0</v>
      </c>
      <c r="AD392" s="33">
        <f>IF(Allgemein!$L$114&gt;=AD383,0,IF(AC391=0,Allgemein!$L$115,IF(AD387=0,0,AD391/AD387)))</f>
        <v>0</v>
      </c>
      <c r="AE392" s="33">
        <f>IF(Allgemein!$L$114&gt;=AE383,0,IF(AD391=0,Allgemein!$L$115,IF(AE387=0,0,AE391/AE387)))</f>
        <v>0</v>
      </c>
      <c r="AF392" s="33">
        <f>IF(Allgemein!$L$114&gt;=AF383,0,IF(AE391=0,Allgemein!$L$115,IF(AF387=0,0,AF391/AF387)))</f>
        <v>0</v>
      </c>
      <c r="AG392" s="33">
        <f>IF(Allgemein!$L$114&gt;=AG383,0,IF(AF391=0,Allgemein!$L$115,IF(AG387=0,0,AG391/AG387)))</f>
        <v>0</v>
      </c>
      <c r="AH392" s="33">
        <f>IF(Allgemein!$L$114&gt;=AH383,0,IF(AG391=0,Allgemein!$L$115,IF(AH387=0,0,AH391/AH387)))</f>
        <v>0</v>
      </c>
      <c r="BH392" s="2" t="s">
        <v>575</v>
      </c>
      <c r="BI392" s="2">
        <v>1600</v>
      </c>
      <c r="BJ392" s="2">
        <v>300</v>
      </c>
      <c r="BN392" s="2">
        <v>408</v>
      </c>
    </row>
    <row r="393" spans="2:66">
      <c r="B393" s="34"/>
      <c r="C393" s="35"/>
      <c r="BH393" s="2" t="s">
        <v>575</v>
      </c>
      <c r="BI393" s="2">
        <v>1800</v>
      </c>
      <c r="BJ393" s="2">
        <v>300</v>
      </c>
      <c r="BN393" s="2">
        <v>459</v>
      </c>
    </row>
    <row r="394" spans="2:66">
      <c r="B394" s="31" t="s">
        <v>555</v>
      </c>
      <c r="C394" s="32"/>
      <c r="D394" s="596">
        <f>D391+D388</f>
        <v>0</v>
      </c>
      <c r="E394" s="596">
        <f>IF(D391=0,E388+E391,IF(E387=0,0,IF(E387&lt;D394,E387+E388,IF(E390=0,D394,E390+E388))))</f>
        <v>0</v>
      </c>
      <c r="F394" s="596">
        <f>IF(E391=0,F388+F391,IF(F387=0,0,IF(F387&lt;E394,F387+F388,IF(F390=0,E394,F390+F388))))</f>
        <v>0</v>
      </c>
      <c r="G394" s="596">
        <f>IF(F391=0,G388+G391,IF(G387=0,0,IF(G387&lt;F394,G387+G388,IF(G390=0,F394,G390+G388))))</f>
        <v>0</v>
      </c>
      <c r="H394" s="596">
        <f>IF(G391=0,H388+H391,IF(H387=0,0,IF(H387&lt;G394,H387+H388,IF(H390=0,G394,H390+H388))))</f>
        <v>0</v>
      </c>
      <c r="I394" s="596">
        <f t="shared" ref="I394" si="950">IF(H391=0,I388+I391,IF(I387=0,0,IF(I387&lt;H394,I387+I388,IF(I390=0,H394,I390+I388))))</f>
        <v>0</v>
      </c>
      <c r="J394" s="596">
        <f>IF(I391=0,J388+J391,IF(J387=0,0,IF(J387&lt;I394,J387+J388,IF(J390=0,I394,J390+J388))))</f>
        <v>0</v>
      </c>
      <c r="K394" s="596">
        <f t="shared" ref="K394" si="951">IF(J391=0,K388+K391,IF(K387=0,0,IF(K387&lt;J394,K387+K388,IF(K390=0,J394,K390+K388))))</f>
        <v>0</v>
      </c>
      <c r="L394" s="596">
        <f t="shared" ref="L394" si="952">IF(K391=0,L388+L391,IF(L387=0,0,IF(L387&lt;K394,L387+L388,IF(L390=0,K394,L390+L388))))</f>
        <v>0</v>
      </c>
      <c r="M394" s="596">
        <f t="shared" ref="M394" si="953">IF(L391=0,M388+M391,IF(M387=0,0,IF(M387&lt;L394,M387+M388,IF(M390=0,L394,M390+M388))))</f>
        <v>0</v>
      </c>
      <c r="N394" s="596">
        <f t="shared" ref="N394" si="954">IF(M391=0,N388+N391,IF(N387=0,0,IF(N387&lt;M394,N387+N388,IF(N390=0,M394,N390+N388))))</f>
        <v>0</v>
      </c>
      <c r="O394" s="596">
        <f t="shared" ref="O394" si="955">IF(N391=0,O388+O391,IF(O387=0,0,IF(O387&lt;N394,O387+O388,IF(O390=0,N394,O390+O388))))</f>
        <v>0</v>
      </c>
      <c r="P394" s="596">
        <f t="shared" ref="P394" si="956">IF(O391=0,P388+P391,IF(P387=0,0,IF(P387&lt;O394,P387+P388,IF(P390=0,O394,P390+P388))))</f>
        <v>0</v>
      </c>
      <c r="Q394" s="596">
        <f t="shared" ref="Q394" si="957">IF(P391=0,Q388+Q391,IF(Q387=0,0,IF(Q387&lt;P394,Q387+Q388,IF(Q390=0,P394,Q390+Q388))))</f>
        <v>0</v>
      </c>
      <c r="R394" s="596">
        <f t="shared" ref="R394" si="958">IF(Q391=0,R388+R391,IF(R387=0,0,IF(R387&lt;Q394,R387+R388,IF(R390=0,Q394,R390+R388))))</f>
        <v>0</v>
      </c>
      <c r="S394" s="596">
        <f t="shared" ref="S394" si="959">IF(R391=0,S388+S391,IF(S387=0,0,IF(S387&lt;R394,S387+S388,IF(S390=0,R394,S390+S388))))</f>
        <v>0</v>
      </c>
      <c r="T394" s="596">
        <f t="shared" ref="T394" si="960">IF(S391=0,T388+T391,IF(T387=0,0,IF(T387&lt;S394,T387+T388,IF(T390=0,S394,T390+T388))))</f>
        <v>0</v>
      </c>
      <c r="U394" s="596">
        <f t="shared" ref="U394" si="961">IF(T391=0,U388+U391,IF(U387=0,0,IF(U387&lt;T394,U387+U388,IF(U390=0,T394,U390+U388))))</f>
        <v>0</v>
      </c>
      <c r="V394" s="596">
        <f t="shared" ref="V394" si="962">IF(U391=0,V388+V391,IF(V387=0,0,IF(V387&lt;U394,V387+V388,IF(V390=0,U394,V390+V388))))</f>
        <v>0</v>
      </c>
      <c r="W394" s="596">
        <f t="shared" ref="W394" si="963">IF(V391=0,W388+W391,IF(W387=0,0,IF(W387&lt;V394,W387+W388,IF(W390=0,V394,W390+W388))))</f>
        <v>0</v>
      </c>
      <c r="X394" s="596">
        <f t="shared" ref="X394" si="964">IF(W391=0,X388+X391,IF(X387=0,0,IF(X387&lt;W394,X387+X388,IF(X390=0,W394,X390+X388))))</f>
        <v>0</v>
      </c>
      <c r="Y394" s="596">
        <f t="shared" ref="Y394" si="965">IF(X391=0,Y388+Y391,IF(Y387=0,0,IF(Y387&lt;X394,Y387+Y388,IF(Y390=0,X394,Y390+Y388))))</f>
        <v>0</v>
      </c>
      <c r="Z394" s="596">
        <f t="shared" ref="Z394" si="966">IF(Y391=0,Z388+Z391,IF(Z387=0,0,IF(Z387&lt;Y394,Z387+Z388,IF(Z390=0,Y394,Z390+Z388))))</f>
        <v>0</v>
      </c>
      <c r="AA394" s="596">
        <f t="shared" ref="AA394" si="967">IF(Z391=0,AA388+AA391,IF(AA387=0,0,IF(AA387&lt;Z394,AA387+AA388,IF(AA390=0,Z394,AA390+AA388))))</f>
        <v>0</v>
      </c>
      <c r="AB394" s="596">
        <f t="shared" ref="AB394" si="968">IF(AA391=0,AB388+AB391,IF(AB387=0,0,IF(AB387&lt;AA394,AB387+AB388,IF(AB390=0,AA394,AB390+AB388))))</f>
        <v>0</v>
      </c>
      <c r="AC394" s="596">
        <f t="shared" ref="AC394" si="969">IF(AB391=0,AC388+AC391,IF(AC387=0,0,IF(AC387&lt;AB394,AC387+AC388,IF(AC390=0,AB394,AC390+AC388))))</f>
        <v>0</v>
      </c>
      <c r="AD394" s="596">
        <f t="shared" ref="AD394" si="970">IF(AC391=0,AD388+AD391,IF(AD387=0,0,IF(AD387&lt;AC394,AD387+AD388,IF(AD390=0,AC394,AD390+AD388))))</f>
        <v>0</v>
      </c>
      <c r="AE394" s="596">
        <f t="shared" ref="AE394" si="971">IF(AD391=0,AE388+AE391,IF(AE387=0,0,IF(AE387&lt;AD394,AE387+AE388,IF(AE390=0,AD394,AE390+AE388))))</f>
        <v>0</v>
      </c>
      <c r="AF394" s="596">
        <f t="shared" ref="AF394" si="972">IF(AE391=0,AF388+AF391,IF(AF387=0,0,IF(AF387&lt;AE394,AF387+AF388,IF(AF390=0,AE394,AF390+AF388))))</f>
        <v>0</v>
      </c>
      <c r="AG394" s="596">
        <f t="shared" ref="AG394" si="973">IF(AF391=0,AG388+AG391,IF(AG387=0,0,IF(AG387&lt;AF394,AG387+AG388,IF(AG390=0,AF394,AG390+AG388))))</f>
        <v>0</v>
      </c>
      <c r="AH394" s="596">
        <f t="shared" ref="AH394" si="974">IF(AG391=0,AH388+AH391,IF(AH387=0,0,IF(AH387&lt;AG394,AH387+AH388,IF(AH390=0,AG394,AH390+AH388))))</f>
        <v>0</v>
      </c>
      <c r="BH394" s="2" t="s">
        <v>575</v>
      </c>
      <c r="BI394" s="2">
        <v>2000</v>
      </c>
      <c r="BJ394" s="2">
        <v>300</v>
      </c>
      <c r="BN394" s="2">
        <v>510</v>
      </c>
    </row>
    <row r="395" spans="2:66">
      <c r="B395" s="31" t="s">
        <v>556</v>
      </c>
      <c r="C395" s="32"/>
      <c r="D395" s="596"/>
      <c r="E395" s="596"/>
      <c r="F395" s="596"/>
      <c r="G395" s="596"/>
      <c r="H395" s="596"/>
      <c r="I395" s="596"/>
      <c r="J395" s="596"/>
      <c r="K395" s="596"/>
      <c r="L395" s="596"/>
      <c r="M395" s="596"/>
      <c r="N395" s="596"/>
      <c r="O395" s="596"/>
      <c r="P395" s="596"/>
      <c r="Q395" s="596"/>
      <c r="R395" s="596"/>
      <c r="S395" s="596"/>
      <c r="T395" s="596"/>
      <c r="U395" s="596"/>
      <c r="V395" s="596"/>
      <c r="W395" s="596"/>
      <c r="X395" s="596"/>
      <c r="Y395" s="596"/>
      <c r="Z395" s="596"/>
      <c r="AA395" s="596"/>
      <c r="AB395" s="596"/>
      <c r="AC395" s="596"/>
      <c r="AD395" s="596"/>
      <c r="AE395" s="596"/>
      <c r="AF395" s="596"/>
      <c r="AG395" s="596"/>
      <c r="AH395" s="596"/>
      <c r="BH395" s="2" t="s">
        <v>575</v>
      </c>
      <c r="BI395" s="2">
        <v>2200</v>
      </c>
      <c r="BJ395" s="2">
        <v>300</v>
      </c>
      <c r="BN395" s="2">
        <v>561</v>
      </c>
    </row>
    <row r="396" spans="2:66">
      <c r="B396" s="31" t="s">
        <v>557</v>
      </c>
      <c r="C396" s="32"/>
      <c r="D396" s="36">
        <f>D387-D391</f>
        <v>0</v>
      </c>
      <c r="E396" s="36">
        <f t="shared" ref="E396:AH396" si="975">E387-E391</f>
        <v>0</v>
      </c>
      <c r="F396" s="36">
        <f t="shared" si="975"/>
        <v>0</v>
      </c>
      <c r="G396" s="36">
        <f t="shared" si="975"/>
        <v>0</v>
      </c>
      <c r="H396" s="36">
        <f t="shared" si="975"/>
        <v>0</v>
      </c>
      <c r="I396" s="36">
        <f t="shared" si="975"/>
        <v>0</v>
      </c>
      <c r="J396" s="36">
        <f t="shared" si="975"/>
        <v>0</v>
      </c>
      <c r="K396" s="36">
        <f t="shared" si="975"/>
        <v>0</v>
      </c>
      <c r="L396" s="36">
        <f t="shared" si="975"/>
        <v>0</v>
      </c>
      <c r="M396" s="36">
        <f t="shared" si="975"/>
        <v>0</v>
      </c>
      <c r="N396" s="36">
        <f t="shared" si="975"/>
        <v>0</v>
      </c>
      <c r="O396" s="36">
        <f t="shared" si="975"/>
        <v>0</v>
      </c>
      <c r="P396" s="36">
        <f t="shared" si="975"/>
        <v>0</v>
      </c>
      <c r="Q396" s="36">
        <f t="shared" si="975"/>
        <v>0</v>
      </c>
      <c r="R396" s="36">
        <f t="shared" si="975"/>
        <v>0</v>
      </c>
      <c r="S396" s="36">
        <f t="shared" si="975"/>
        <v>0</v>
      </c>
      <c r="T396" s="36">
        <f t="shared" si="975"/>
        <v>0</v>
      </c>
      <c r="U396" s="36">
        <f t="shared" si="975"/>
        <v>0</v>
      </c>
      <c r="V396" s="36">
        <f t="shared" si="975"/>
        <v>0</v>
      </c>
      <c r="W396" s="36">
        <f t="shared" si="975"/>
        <v>0</v>
      </c>
      <c r="X396" s="36">
        <f t="shared" si="975"/>
        <v>0</v>
      </c>
      <c r="Y396" s="36">
        <f t="shared" si="975"/>
        <v>0</v>
      </c>
      <c r="Z396" s="36">
        <f t="shared" si="975"/>
        <v>0</v>
      </c>
      <c r="AA396" s="36">
        <f t="shared" si="975"/>
        <v>0</v>
      </c>
      <c r="AB396" s="36">
        <f t="shared" si="975"/>
        <v>0</v>
      </c>
      <c r="AC396" s="36">
        <f t="shared" si="975"/>
        <v>0</v>
      </c>
      <c r="AD396" s="36">
        <f t="shared" si="975"/>
        <v>0</v>
      </c>
      <c r="AE396" s="36">
        <f t="shared" si="975"/>
        <v>0</v>
      </c>
      <c r="AF396" s="36">
        <f t="shared" si="975"/>
        <v>0</v>
      </c>
      <c r="AG396" s="36">
        <f t="shared" si="975"/>
        <v>0</v>
      </c>
      <c r="AH396" s="36">
        <f t="shared" si="975"/>
        <v>0</v>
      </c>
      <c r="BH396" s="2" t="s">
        <v>575</v>
      </c>
      <c r="BI396" s="2">
        <v>2300</v>
      </c>
      <c r="BJ396" s="2">
        <v>300</v>
      </c>
      <c r="BN396" s="2">
        <v>664</v>
      </c>
    </row>
    <row r="397" spans="2:66" ht="17.399999999999999" thickBot="1">
      <c r="B397" s="40" t="s">
        <v>558</v>
      </c>
      <c r="C397" s="41"/>
      <c r="D397" s="42">
        <f>D394/12</f>
        <v>0</v>
      </c>
      <c r="E397" s="42">
        <f t="shared" ref="E397:AH397" si="976">E394/12</f>
        <v>0</v>
      </c>
      <c r="F397" s="42">
        <f t="shared" si="976"/>
        <v>0</v>
      </c>
      <c r="G397" s="42">
        <f t="shared" si="976"/>
        <v>0</v>
      </c>
      <c r="H397" s="42">
        <f t="shared" si="976"/>
        <v>0</v>
      </c>
      <c r="I397" s="42">
        <f t="shared" si="976"/>
        <v>0</v>
      </c>
      <c r="J397" s="42">
        <f t="shared" si="976"/>
        <v>0</v>
      </c>
      <c r="K397" s="42">
        <f t="shared" si="976"/>
        <v>0</v>
      </c>
      <c r="L397" s="42">
        <f t="shared" si="976"/>
        <v>0</v>
      </c>
      <c r="M397" s="42">
        <f t="shared" si="976"/>
        <v>0</v>
      </c>
      <c r="N397" s="42">
        <f t="shared" si="976"/>
        <v>0</v>
      </c>
      <c r="O397" s="42">
        <f t="shared" si="976"/>
        <v>0</v>
      </c>
      <c r="P397" s="42">
        <f t="shared" si="976"/>
        <v>0</v>
      </c>
      <c r="Q397" s="42">
        <f t="shared" si="976"/>
        <v>0</v>
      </c>
      <c r="R397" s="42">
        <f t="shared" si="976"/>
        <v>0</v>
      </c>
      <c r="S397" s="42">
        <f t="shared" si="976"/>
        <v>0</v>
      </c>
      <c r="T397" s="42">
        <f t="shared" si="976"/>
        <v>0</v>
      </c>
      <c r="U397" s="42">
        <f t="shared" si="976"/>
        <v>0</v>
      </c>
      <c r="V397" s="42">
        <f t="shared" si="976"/>
        <v>0</v>
      </c>
      <c r="W397" s="42">
        <f t="shared" si="976"/>
        <v>0</v>
      </c>
      <c r="X397" s="42">
        <f t="shared" si="976"/>
        <v>0</v>
      </c>
      <c r="Y397" s="42">
        <f t="shared" si="976"/>
        <v>0</v>
      </c>
      <c r="Z397" s="42">
        <f t="shared" si="976"/>
        <v>0</v>
      </c>
      <c r="AA397" s="42">
        <f t="shared" si="976"/>
        <v>0</v>
      </c>
      <c r="AB397" s="42">
        <f t="shared" si="976"/>
        <v>0</v>
      </c>
      <c r="AC397" s="42">
        <f t="shared" si="976"/>
        <v>0</v>
      </c>
      <c r="AD397" s="42">
        <f t="shared" si="976"/>
        <v>0</v>
      </c>
      <c r="AE397" s="42">
        <f t="shared" si="976"/>
        <v>0</v>
      </c>
      <c r="AF397" s="42">
        <f t="shared" si="976"/>
        <v>0</v>
      </c>
      <c r="AG397" s="42">
        <f t="shared" si="976"/>
        <v>0</v>
      </c>
      <c r="AH397" s="42">
        <f t="shared" si="976"/>
        <v>0</v>
      </c>
      <c r="BH397" s="2" t="s">
        <v>575</v>
      </c>
      <c r="BI397" s="2">
        <v>2600</v>
      </c>
      <c r="BJ397" s="2">
        <v>300</v>
      </c>
      <c r="BN397" s="2">
        <v>751</v>
      </c>
    </row>
    <row r="398" spans="2:66" ht="17.399999999999999" thickBot="1">
      <c r="B398" s="30"/>
      <c r="C398" s="30"/>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BH398" s="2" t="s">
        <v>575</v>
      </c>
      <c r="BI398" s="2">
        <v>3000</v>
      </c>
      <c r="BJ398" s="2">
        <v>300</v>
      </c>
      <c r="BN398" s="2">
        <v>866</v>
      </c>
    </row>
    <row r="399" spans="2:66" ht="19.2" thickBot="1">
      <c r="B399" s="61" t="str">
        <f>Allgemein!N75</f>
        <v>Zusatz Darlehen</v>
      </c>
      <c r="C399" s="29"/>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BH399" s="2" t="s">
        <v>575</v>
      </c>
      <c r="BI399" s="2">
        <v>400</v>
      </c>
      <c r="BJ399" s="2">
        <v>400</v>
      </c>
      <c r="BN399" s="2">
        <v>131</v>
      </c>
    </row>
    <row r="400" spans="2:66" ht="17.399999999999999" thickBot="1">
      <c r="B400" s="56" t="s">
        <v>339</v>
      </c>
      <c r="C400" s="57"/>
      <c r="D400" s="58">
        <v>1</v>
      </c>
      <c r="E400" s="59">
        <v>2</v>
      </c>
      <c r="F400" s="59">
        <v>3</v>
      </c>
      <c r="G400" s="58">
        <v>4</v>
      </c>
      <c r="H400" s="58">
        <v>5</v>
      </c>
      <c r="I400" s="59">
        <v>6</v>
      </c>
      <c r="J400" s="59">
        <v>7</v>
      </c>
      <c r="K400" s="58">
        <v>8</v>
      </c>
      <c r="L400" s="58">
        <v>9</v>
      </c>
      <c r="M400" s="59">
        <v>10</v>
      </c>
      <c r="N400" s="59">
        <v>11</v>
      </c>
      <c r="O400" s="58">
        <v>12</v>
      </c>
      <c r="P400" s="58">
        <v>13</v>
      </c>
      <c r="Q400" s="59">
        <v>14</v>
      </c>
      <c r="R400" s="59">
        <v>15</v>
      </c>
      <c r="S400" s="58">
        <v>16</v>
      </c>
      <c r="T400" s="58">
        <v>17</v>
      </c>
      <c r="U400" s="59">
        <v>18</v>
      </c>
      <c r="V400" s="59">
        <v>19</v>
      </c>
      <c r="W400" s="58">
        <v>20</v>
      </c>
      <c r="X400" s="58">
        <v>21</v>
      </c>
      <c r="Y400" s="59">
        <v>22</v>
      </c>
      <c r="Z400" s="59">
        <v>23</v>
      </c>
      <c r="AA400" s="58">
        <v>24</v>
      </c>
      <c r="AB400" s="58">
        <v>25</v>
      </c>
      <c r="AC400" s="59">
        <v>26</v>
      </c>
      <c r="AD400" s="59">
        <v>27</v>
      </c>
      <c r="AE400" s="58">
        <v>28</v>
      </c>
      <c r="AF400" s="58">
        <v>29</v>
      </c>
      <c r="AG400" s="59">
        <v>30</v>
      </c>
      <c r="AH400" s="74">
        <v>31</v>
      </c>
      <c r="BH400" s="2" t="s">
        <v>575</v>
      </c>
      <c r="BI400" s="2">
        <v>500</v>
      </c>
      <c r="BJ400" s="2">
        <v>400</v>
      </c>
      <c r="BN400" s="2">
        <v>164</v>
      </c>
    </row>
    <row r="401" spans="2:66">
      <c r="B401" s="69" t="s">
        <v>545</v>
      </c>
      <c r="C401" s="70"/>
      <c r="D401" s="71"/>
      <c r="E401" s="72"/>
      <c r="F401" s="73"/>
      <c r="G401" s="73"/>
      <c r="H401" s="73"/>
      <c r="I401" s="73"/>
      <c r="J401" s="73"/>
      <c r="K401" s="73"/>
      <c r="L401" s="73"/>
      <c r="M401" s="73"/>
      <c r="N401" s="73"/>
      <c r="O401" s="73"/>
      <c r="P401" s="73"/>
      <c r="Q401" s="73"/>
      <c r="R401" s="73"/>
      <c r="S401" s="73"/>
      <c r="T401" s="73"/>
      <c r="U401" s="73"/>
      <c r="V401" s="73"/>
      <c r="W401" s="73"/>
      <c r="X401" s="73"/>
      <c r="Y401" s="73"/>
      <c r="Z401" s="73"/>
      <c r="AA401" s="73"/>
      <c r="AB401" s="73"/>
      <c r="AC401" s="73"/>
      <c r="AD401" s="73"/>
      <c r="AE401" s="73"/>
      <c r="AF401" s="73"/>
      <c r="AG401" s="73"/>
      <c r="AH401" s="73"/>
      <c r="BH401" s="2" t="s">
        <v>575</v>
      </c>
      <c r="BI401" s="2">
        <v>600</v>
      </c>
      <c r="BJ401" s="2">
        <v>400</v>
      </c>
      <c r="BN401" s="2">
        <v>197</v>
      </c>
    </row>
    <row r="402" spans="2:66">
      <c r="B402" s="31" t="s">
        <v>546</v>
      </c>
      <c r="C402" s="32"/>
      <c r="D402" s="595">
        <f>Allgemein!M112</f>
        <v>0</v>
      </c>
      <c r="E402" s="33">
        <f>IF(E401=0,D402,E401)</f>
        <v>0</v>
      </c>
      <c r="F402" s="33">
        <f t="shared" ref="F402:AH402" si="977">IF(F401=0,E402,F401)</f>
        <v>0</v>
      </c>
      <c r="G402" s="33">
        <f t="shared" si="977"/>
        <v>0</v>
      </c>
      <c r="H402" s="33">
        <f t="shared" si="977"/>
        <v>0</v>
      </c>
      <c r="I402" s="33">
        <f t="shared" si="977"/>
        <v>0</v>
      </c>
      <c r="J402" s="33">
        <f t="shared" si="977"/>
        <v>0</v>
      </c>
      <c r="K402" s="33">
        <f t="shared" si="977"/>
        <v>0</v>
      </c>
      <c r="L402" s="33">
        <f t="shared" si="977"/>
        <v>0</v>
      </c>
      <c r="M402" s="33">
        <f t="shared" si="977"/>
        <v>0</v>
      </c>
      <c r="N402" s="33">
        <f t="shared" si="977"/>
        <v>0</v>
      </c>
      <c r="O402" s="33">
        <f t="shared" si="977"/>
        <v>0</v>
      </c>
      <c r="P402" s="33">
        <f t="shared" si="977"/>
        <v>0</v>
      </c>
      <c r="Q402" s="33">
        <f t="shared" si="977"/>
        <v>0</v>
      </c>
      <c r="R402" s="33">
        <f t="shared" si="977"/>
        <v>0</v>
      </c>
      <c r="S402" s="33">
        <f t="shared" si="977"/>
        <v>0</v>
      </c>
      <c r="T402" s="33">
        <f t="shared" si="977"/>
        <v>0</v>
      </c>
      <c r="U402" s="33">
        <f t="shared" si="977"/>
        <v>0</v>
      </c>
      <c r="V402" s="33">
        <f t="shared" si="977"/>
        <v>0</v>
      </c>
      <c r="W402" s="33">
        <f t="shared" si="977"/>
        <v>0</v>
      </c>
      <c r="X402" s="33">
        <f t="shared" si="977"/>
        <v>0</v>
      </c>
      <c r="Y402" s="33">
        <f t="shared" si="977"/>
        <v>0</v>
      </c>
      <c r="Z402" s="33">
        <f t="shared" si="977"/>
        <v>0</v>
      </c>
      <c r="AA402" s="33">
        <f t="shared" si="977"/>
        <v>0</v>
      </c>
      <c r="AB402" s="33">
        <f t="shared" si="977"/>
        <v>0</v>
      </c>
      <c r="AC402" s="33">
        <f t="shared" si="977"/>
        <v>0</v>
      </c>
      <c r="AD402" s="33">
        <f t="shared" si="977"/>
        <v>0</v>
      </c>
      <c r="AE402" s="33">
        <f t="shared" si="977"/>
        <v>0</v>
      </c>
      <c r="AF402" s="33">
        <f>IF(AF401=0,AE402,AF401)</f>
        <v>0</v>
      </c>
      <c r="AG402" s="33">
        <f t="shared" si="977"/>
        <v>0</v>
      </c>
      <c r="AH402" s="33">
        <f t="shared" si="977"/>
        <v>0</v>
      </c>
      <c r="BH402" s="2" t="s">
        <v>575</v>
      </c>
      <c r="BI402" s="2">
        <v>700</v>
      </c>
      <c r="BJ402" s="2">
        <v>400</v>
      </c>
      <c r="BN402" s="2">
        <v>230</v>
      </c>
    </row>
    <row r="403" spans="2:66">
      <c r="B403" s="34"/>
      <c r="C403" s="35"/>
      <c r="BH403" s="2" t="s">
        <v>575</v>
      </c>
      <c r="BI403" s="2">
        <v>800</v>
      </c>
      <c r="BJ403" s="2">
        <v>400</v>
      </c>
      <c r="BN403" s="2">
        <v>263</v>
      </c>
    </row>
    <row r="404" spans="2:66">
      <c r="B404" s="31" t="s">
        <v>548</v>
      </c>
      <c r="C404" s="32"/>
      <c r="D404" s="36">
        <f>Allgemein!$M$110</f>
        <v>0</v>
      </c>
      <c r="E404" s="36">
        <f>IF(D413&lt;0,0,D413)</f>
        <v>0</v>
      </c>
      <c r="F404" s="36">
        <f t="shared" ref="F404:AH404" si="978">IF(E413&lt;0,0,E413)</f>
        <v>0</v>
      </c>
      <c r="G404" s="36">
        <f t="shared" si="978"/>
        <v>0</v>
      </c>
      <c r="H404" s="36">
        <f t="shared" si="978"/>
        <v>0</v>
      </c>
      <c r="I404" s="36">
        <f t="shared" si="978"/>
        <v>0</v>
      </c>
      <c r="J404" s="36">
        <f t="shared" si="978"/>
        <v>0</v>
      </c>
      <c r="K404" s="36">
        <f t="shared" si="978"/>
        <v>0</v>
      </c>
      <c r="L404" s="36">
        <f t="shared" si="978"/>
        <v>0</v>
      </c>
      <c r="M404" s="36">
        <f t="shared" si="978"/>
        <v>0</v>
      </c>
      <c r="N404" s="36">
        <f t="shared" si="978"/>
        <v>0</v>
      </c>
      <c r="O404" s="36">
        <f t="shared" si="978"/>
        <v>0</v>
      </c>
      <c r="P404" s="36">
        <f t="shared" si="978"/>
        <v>0</v>
      </c>
      <c r="Q404" s="36">
        <f t="shared" si="978"/>
        <v>0</v>
      </c>
      <c r="R404" s="36">
        <f t="shared" si="978"/>
        <v>0</v>
      </c>
      <c r="S404" s="36">
        <f t="shared" si="978"/>
        <v>0</v>
      </c>
      <c r="T404" s="36">
        <f t="shared" si="978"/>
        <v>0</v>
      </c>
      <c r="U404" s="36">
        <f t="shared" si="978"/>
        <v>0</v>
      </c>
      <c r="V404" s="36">
        <f t="shared" si="978"/>
        <v>0</v>
      </c>
      <c r="W404" s="36">
        <f t="shared" si="978"/>
        <v>0</v>
      </c>
      <c r="X404" s="36">
        <f t="shared" si="978"/>
        <v>0</v>
      </c>
      <c r="Y404" s="36">
        <f t="shared" si="978"/>
        <v>0</v>
      </c>
      <c r="Z404" s="36">
        <f t="shared" si="978"/>
        <v>0</v>
      </c>
      <c r="AA404" s="36">
        <f t="shared" si="978"/>
        <v>0</v>
      </c>
      <c r="AB404" s="36">
        <f t="shared" si="978"/>
        <v>0</v>
      </c>
      <c r="AC404" s="36">
        <f t="shared" si="978"/>
        <v>0</v>
      </c>
      <c r="AD404" s="36">
        <f t="shared" si="978"/>
        <v>0</v>
      </c>
      <c r="AE404" s="36">
        <f t="shared" si="978"/>
        <v>0</v>
      </c>
      <c r="AF404" s="36">
        <f t="shared" si="978"/>
        <v>0</v>
      </c>
      <c r="AG404" s="36">
        <f t="shared" si="978"/>
        <v>0</v>
      </c>
      <c r="AH404" s="36">
        <f t="shared" si="978"/>
        <v>0</v>
      </c>
      <c r="BH404" s="2" t="s">
        <v>575</v>
      </c>
      <c r="BI404" s="2">
        <v>900</v>
      </c>
      <c r="BJ404" s="2">
        <v>400</v>
      </c>
      <c r="BN404" s="2">
        <v>295</v>
      </c>
    </row>
    <row r="405" spans="2:66">
      <c r="B405" s="31" t="s">
        <v>549</v>
      </c>
      <c r="C405" s="32"/>
      <c r="D405" s="596">
        <f>D404*D402</f>
        <v>0</v>
      </c>
      <c r="E405" s="596">
        <f>IF(E404=0,0,E402*E404)</f>
        <v>0</v>
      </c>
      <c r="F405" s="596">
        <f t="shared" ref="F405:AH405" si="979">IF(F404=0,0,F402*F404)</f>
        <v>0</v>
      </c>
      <c r="G405" s="596">
        <f t="shared" si="979"/>
        <v>0</v>
      </c>
      <c r="H405" s="596">
        <f t="shared" si="979"/>
        <v>0</v>
      </c>
      <c r="I405" s="596">
        <f t="shared" si="979"/>
        <v>0</v>
      </c>
      <c r="J405" s="596">
        <f t="shared" si="979"/>
        <v>0</v>
      </c>
      <c r="K405" s="596">
        <f t="shared" si="979"/>
        <v>0</v>
      </c>
      <c r="L405" s="596">
        <f t="shared" si="979"/>
        <v>0</v>
      </c>
      <c r="M405" s="596">
        <f t="shared" si="979"/>
        <v>0</v>
      </c>
      <c r="N405" s="596">
        <f t="shared" si="979"/>
        <v>0</v>
      </c>
      <c r="O405" s="596">
        <f t="shared" si="979"/>
        <v>0</v>
      </c>
      <c r="P405" s="596">
        <f t="shared" si="979"/>
        <v>0</v>
      </c>
      <c r="Q405" s="596">
        <f t="shared" si="979"/>
        <v>0</v>
      </c>
      <c r="R405" s="596">
        <f t="shared" si="979"/>
        <v>0</v>
      </c>
      <c r="S405" s="596">
        <f t="shared" si="979"/>
        <v>0</v>
      </c>
      <c r="T405" s="596">
        <f t="shared" si="979"/>
        <v>0</v>
      </c>
      <c r="U405" s="596">
        <f t="shared" si="979"/>
        <v>0</v>
      </c>
      <c r="V405" s="596">
        <f t="shared" si="979"/>
        <v>0</v>
      </c>
      <c r="W405" s="596">
        <f t="shared" si="979"/>
        <v>0</v>
      </c>
      <c r="X405" s="596">
        <f t="shared" si="979"/>
        <v>0</v>
      </c>
      <c r="Y405" s="596">
        <f t="shared" si="979"/>
        <v>0</v>
      </c>
      <c r="Z405" s="596">
        <f t="shared" si="979"/>
        <v>0</v>
      </c>
      <c r="AA405" s="596">
        <f t="shared" si="979"/>
        <v>0</v>
      </c>
      <c r="AB405" s="596">
        <f t="shared" si="979"/>
        <v>0</v>
      </c>
      <c r="AC405" s="596">
        <f t="shared" si="979"/>
        <v>0</v>
      </c>
      <c r="AD405" s="596">
        <f t="shared" si="979"/>
        <v>0</v>
      </c>
      <c r="AE405" s="596">
        <f t="shared" si="979"/>
        <v>0</v>
      </c>
      <c r="AF405" s="596">
        <f t="shared" si="979"/>
        <v>0</v>
      </c>
      <c r="AG405" s="596">
        <f t="shared" si="979"/>
        <v>0</v>
      </c>
      <c r="AH405" s="596">
        <f t="shared" si="979"/>
        <v>0</v>
      </c>
      <c r="BH405" s="2" t="s">
        <v>575</v>
      </c>
      <c r="BI405" s="2">
        <v>1000</v>
      </c>
      <c r="BJ405" s="2">
        <v>400</v>
      </c>
      <c r="BN405" s="2">
        <v>328</v>
      </c>
    </row>
    <row r="406" spans="2:66">
      <c r="B406" s="34"/>
      <c r="C406" s="35"/>
      <c r="BH406" s="2" t="s">
        <v>575</v>
      </c>
      <c r="BI406" s="2">
        <v>1100</v>
      </c>
      <c r="BJ406" s="2">
        <v>400</v>
      </c>
      <c r="BN406" s="2">
        <v>361</v>
      </c>
    </row>
    <row r="407" spans="2:66">
      <c r="B407" s="31" t="s">
        <v>550</v>
      </c>
      <c r="C407" s="32"/>
      <c r="D407" s="596"/>
      <c r="E407" s="596"/>
      <c r="F407" s="596"/>
      <c r="G407" s="596"/>
      <c r="H407" s="596"/>
      <c r="I407" s="596"/>
      <c r="J407" s="596"/>
      <c r="K407" s="596"/>
      <c r="L407" s="596"/>
      <c r="M407" s="596"/>
      <c r="N407" s="596"/>
      <c r="O407" s="596"/>
      <c r="P407" s="596"/>
      <c r="Q407" s="596"/>
      <c r="R407" s="596"/>
      <c r="S407" s="596"/>
      <c r="T407" s="596"/>
      <c r="U407" s="596"/>
      <c r="V407" s="596"/>
      <c r="W407" s="596"/>
      <c r="X407" s="596"/>
      <c r="Y407" s="596"/>
      <c r="Z407" s="596"/>
      <c r="AA407" s="596"/>
      <c r="AB407" s="596"/>
      <c r="AC407" s="596"/>
      <c r="AD407" s="596"/>
      <c r="AE407" s="596"/>
      <c r="AF407" s="596"/>
      <c r="AG407" s="596"/>
      <c r="AH407" s="596"/>
      <c r="BH407" s="2" t="s">
        <v>575</v>
      </c>
      <c r="BI407" s="2">
        <v>1200</v>
      </c>
      <c r="BJ407" s="2">
        <v>400</v>
      </c>
      <c r="BN407" s="2">
        <v>394</v>
      </c>
    </row>
    <row r="408" spans="2:66">
      <c r="B408" s="31" t="s">
        <v>551</v>
      </c>
      <c r="C408" s="32"/>
      <c r="D408" s="596">
        <f>D409*D404</f>
        <v>0</v>
      </c>
      <c r="E408" s="596">
        <f>IF(D408=0,E409*E404,E411-E405)</f>
        <v>0</v>
      </c>
      <c r="F408" s="596">
        <f>IF(E408=0,F409*F404,F411-F405)</f>
        <v>0</v>
      </c>
      <c r="G408" s="596">
        <f>IF(F408=0,G409*G404,G411-G405)</f>
        <v>0</v>
      </c>
      <c r="H408" s="596">
        <f>IF(G408=0,H409*H404,H411-H405)</f>
        <v>0</v>
      </c>
      <c r="I408" s="596">
        <f t="shared" ref="I408" si="980">IF(H408=0,I409*I404,I411-I405)</f>
        <v>0</v>
      </c>
      <c r="J408" s="596">
        <f>IF(I408=0,J409*J404,J411-J405)</f>
        <v>0</v>
      </c>
      <c r="K408" s="596">
        <f t="shared" ref="K408" si="981">IF(J408=0,K409*K404,K411-K405)</f>
        <v>0</v>
      </c>
      <c r="L408" s="596">
        <f t="shared" ref="L408" si="982">IF(K408=0,L409*L404,L411-L405)</f>
        <v>0</v>
      </c>
      <c r="M408" s="596">
        <f t="shared" ref="M408" si="983">IF(L408=0,M409*M404,M411-M405)</f>
        <v>0</v>
      </c>
      <c r="N408" s="596">
        <f t="shared" ref="N408" si="984">IF(M408=0,N409*N404,N411-N405)</f>
        <v>0</v>
      </c>
      <c r="O408" s="596">
        <f t="shared" ref="O408" si="985">IF(N408=0,O409*O404,O411-O405)</f>
        <v>0</v>
      </c>
      <c r="P408" s="596">
        <f t="shared" ref="P408" si="986">IF(O408=0,P409*P404,P411-P405)</f>
        <v>0</v>
      </c>
      <c r="Q408" s="596">
        <f t="shared" ref="Q408" si="987">IF(P408=0,Q409*Q404,Q411-Q405)</f>
        <v>0</v>
      </c>
      <c r="R408" s="596">
        <f t="shared" ref="R408" si="988">IF(Q408=0,R409*R404,R411-R405)</f>
        <v>0</v>
      </c>
      <c r="S408" s="596">
        <f t="shared" ref="S408" si="989">IF(R408=0,S409*S404,S411-S405)</f>
        <v>0</v>
      </c>
      <c r="T408" s="596">
        <f t="shared" ref="T408" si="990">IF(S408=0,T409*T404,T411-T405)</f>
        <v>0</v>
      </c>
      <c r="U408" s="596">
        <f t="shared" ref="U408" si="991">IF(T408=0,U409*U404,U411-U405)</f>
        <v>0</v>
      </c>
      <c r="V408" s="596">
        <f t="shared" ref="V408" si="992">IF(U408=0,V409*V404,V411-V405)</f>
        <v>0</v>
      </c>
      <c r="W408" s="596">
        <f t="shared" ref="W408" si="993">IF(V408=0,W409*W404,W411-W405)</f>
        <v>0</v>
      </c>
      <c r="X408" s="596">
        <f t="shared" ref="X408" si="994">IF(W408=0,X409*X404,X411-X405)</f>
        <v>0</v>
      </c>
      <c r="Y408" s="596">
        <f t="shared" ref="Y408" si="995">IF(X408=0,Y409*Y404,Y411-Y405)</f>
        <v>0</v>
      </c>
      <c r="Z408" s="596">
        <f t="shared" ref="Z408" si="996">IF(Y408=0,Z409*Z404,Z411-Z405)</f>
        <v>0</v>
      </c>
      <c r="AA408" s="596">
        <f t="shared" ref="AA408" si="997">IF(Z408=0,AA409*AA404,AA411-AA405)</f>
        <v>0</v>
      </c>
      <c r="AB408" s="596">
        <f t="shared" ref="AB408" si="998">IF(AA408=0,AB409*AB404,AB411-AB405)</f>
        <v>0</v>
      </c>
      <c r="AC408" s="596">
        <f t="shared" ref="AC408" si="999">IF(AB408=0,AC409*AC404,AC411-AC405)</f>
        <v>0</v>
      </c>
      <c r="AD408" s="596">
        <f t="shared" ref="AD408" si="1000">IF(AC408=0,AD409*AD404,AD411-AD405)</f>
        <v>0</v>
      </c>
      <c r="AE408" s="596">
        <f t="shared" ref="AE408" si="1001">IF(AD408=0,AE409*AE404,AE411-AE405)</f>
        <v>0</v>
      </c>
      <c r="AF408" s="596">
        <f t="shared" ref="AF408" si="1002">IF(AE408=0,AF409*AF404,AF411-AF405)</f>
        <v>0</v>
      </c>
      <c r="AG408" s="596">
        <f t="shared" ref="AG408" si="1003">IF(AF408=0,AG409*AG404,AG411-AG405)</f>
        <v>0</v>
      </c>
      <c r="AH408" s="596">
        <f t="shared" ref="AH408" si="1004">IF(AG408=0,AH409*AH404,AH411-AH405)</f>
        <v>0</v>
      </c>
      <c r="BH408" s="2" t="s">
        <v>575</v>
      </c>
      <c r="BI408" s="2">
        <v>1400</v>
      </c>
      <c r="BJ408" s="2">
        <v>400</v>
      </c>
      <c r="BN408" s="2">
        <v>460</v>
      </c>
    </row>
    <row r="409" spans="2:66">
      <c r="B409" s="38" t="s">
        <v>554</v>
      </c>
      <c r="C409" s="39"/>
      <c r="D409" s="33">
        <f>IF(Allgemein!$M$114&gt;=D400,0,Allgemein!$M$115)</f>
        <v>0</v>
      </c>
      <c r="E409" s="33">
        <f>IF(Allgemein!$M$114&gt;=E400,0,IF(D408=0,Allgemein!$M$115,IF(E404=0,0,E408/E404)))</f>
        <v>0</v>
      </c>
      <c r="F409" s="33">
        <f>IF(Allgemein!$M$114&gt;=F400,0,IF(E408=0,Allgemein!$M$115,IF(F404=0,0,F408/F404)))</f>
        <v>0</v>
      </c>
      <c r="G409" s="33">
        <f>IF(Allgemein!$M$114&gt;=G400,0,IF(F408=0,Allgemein!$M$115,IF(G404=0,0,G408/G404)))</f>
        <v>0</v>
      </c>
      <c r="H409" s="33">
        <f>IF(Allgemein!$M$114&gt;=H400,0,IF(G408=0,Allgemein!$M$115,IF(H404=0,0,H408/H404)))</f>
        <v>0</v>
      </c>
      <c r="I409" s="33">
        <f>IF(Allgemein!$M$114&gt;=I400,0,IF(H408=0,Allgemein!$M$115,IF(I404=0,0,I408/I404)))</f>
        <v>0</v>
      </c>
      <c r="J409" s="33">
        <f>IF(Allgemein!$M$114&gt;=J400,0,IF(I408=0,Allgemein!$M$115,IF(J404=0,0,J408/J404)))</f>
        <v>0</v>
      </c>
      <c r="K409" s="33">
        <f>IF(Allgemein!$M$114&gt;=K400,0,IF(J408=0,Allgemein!$M$115,IF(K404=0,0,K408/K404)))</f>
        <v>0</v>
      </c>
      <c r="L409" s="33">
        <f>IF(Allgemein!$M$114&gt;=L400,0,IF(K408=0,Allgemein!$M$115,IF(L404=0,0,L408/L404)))</f>
        <v>0</v>
      </c>
      <c r="M409" s="33">
        <f>IF(Allgemein!$M$114&gt;=M400,0,IF(L408=0,Allgemein!$M$115,IF(M404=0,0,M408/M404)))</f>
        <v>0</v>
      </c>
      <c r="N409" s="33">
        <f>IF(Allgemein!$M$114&gt;=N400,0,IF(M408=0,Allgemein!$M$115,IF(N404=0,0,N408/N404)))</f>
        <v>0</v>
      </c>
      <c r="O409" s="33">
        <f>IF(Allgemein!$M$114&gt;=O400,0,IF(N408=0,Allgemein!$M$115,IF(O404=0,0,O408/O404)))</f>
        <v>0</v>
      </c>
      <c r="P409" s="33">
        <f>IF(Allgemein!$M$114&gt;=P400,0,IF(O408=0,Allgemein!$M$115,IF(P404=0,0,P408/P404)))</f>
        <v>0</v>
      </c>
      <c r="Q409" s="33">
        <f>IF(Allgemein!$M$114&gt;=Q400,0,IF(P408=0,Allgemein!$M$115,IF(Q404=0,0,Q408/Q404)))</f>
        <v>0</v>
      </c>
      <c r="R409" s="33">
        <f>IF(Allgemein!$M$114&gt;=R400,0,IF(Q408=0,Allgemein!$M$115,IF(R404=0,0,R408/R404)))</f>
        <v>0</v>
      </c>
      <c r="S409" s="33">
        <f>IF(Allgemein!$M$114&gt;=S400,0,IF(R408=0,Allgemein!$M$115,IF(S404=0,0,S408/S404)))</f>
        <v>0</v>
      </c>
      <c r="T409" s="33">
        <f>IF(Allgemein!$M$114&gt;=T400,0,IF(S408=0,Allgemein!$M$115,IF(T404=0,0,T408/T404)))</f>
        <v>0</v>
      </c>
      <c r="U409" s="33">
        <f>IF(Allgemein!$M$114&gt;=U400,0,IF(T408=0,Allgemein!$M$115,IF(U404=0,0,U408/U404)))</f>
        <v>0</v>
      </c>
      <c r="V409" s="33">
        <f>IF(Allgemein!$M$114&gt;=V400,0,IF(U408=0,Allgemein!$M$115,IF(V404=0,0,V408/V404)))</f>
        <v>0</v>
      </c>
      <c r="W409" s="33">
        <f>IF(Allgemein!$M$114&gt;=W400,0,IF(V408=0,Allgemein!$M$115,IF(W404=0,0,W408/W404)))</f>
        <v>0</v>
      </c>
      <c r="X409" s="33">
        <f>IF(Allgemein!$M$114&gt;=X400,0,IF(W408=0,Allgemein!$M$115,IF(X404=0,0,X408/X404)))</f>
        <v>0</v>
      </c>
      <c r="Y409" s="33">
        <f>IF(Allgemein!$M$114&gt;=Y400,0,IF(X408=0,Allgemein!$M$115,IF(Y404=0,0,Y408/Y404)))</f>
        <v>0</v>
      </c>
      <c r="Z409" s="33">
        <f>IF(Allgemein!$M$114&gt;=Z400,0,IF(Y408=0,Allgemein!$M$115,IF(Z404=0,0,Z408/Z404)))</f>
        <v>0</v>
      </c>
      <c r="AA409" s="33">
        <f>IF(Allgemein!$M$114&gt;=AA400,0,IF(Z408=0,Allgemein!$M$115,IF(AA404=0,0,AA408/AA404)))</f>
        <v>0</v>
      </c>
      <c r="AB409" s="33">
        <f>IF(Allgemein!$M$114&gt;=AB400,0,IF(AA408=0,Allgemein!$M$115,IF(AB404=0,0,AB408/AB404)))</f>
        <v>0</v>
      </c>
      <c r="AC409" s="33">
        <f>IF(Allgemein!$M$114&gt;=AC400,0,IF(AB408=0,Allgemein!$M$115,IF(AC404=0,0,AC408/AC404)))</f>
        <v>0</v>
      </c>
      <c r="AD409" s="33">
        <f>IF(Allgemein!$M$114&gt;=AD400,0,IF(AC408=0,Allgemein!$M$115,IF(AD404=0,0,AD408/AD404)))</f>
        <v>0</v>
      </c>
      <c r="AE409" s="33">
        <f>IF(Allgemein!$M$114&gt;=AE400,0,IF(AD408=0,Allgemein!$M$115,IF(AE404=0,0,AE408/AE404)))</f>
        <v>0</v>
      </c>
      <c r="AF409" s="33">
        <f>IF(Allgemein!$M$114&gt;=AF400,0,IF(AE408=0,Allgemein!$M$115,IF(AF404=0,0,AF408/AF404)))</f>
        <v>0</v>
      </c>
      <c r="AG409" s="33">
        <f>IF(Allgemein!$M$114&gt;=AG400,0,IF(AF408=0,Allgemein!$M$115,IF(AG404=0,0,AG408/AG404)))</f>
        <v>0</v>
      </c>
      <c r="AH409" s="33">
        <f>IF(Allgemein!$M$114&gt;=AH400,0,IF(AG408=0,Allgemein!$M$115,IF(AH404=0,0,AH408/AH404)))</f>
        <v>0</v>
      </c>
      <c r="BH409" s="2" t="s">
        <v>575</v>
      </c>
      <c r="BI409" s="2">
        <v>1600</v>
      </c>
      <c r="BJ409" s="2">
        <v>400</v>
      </c>
      <c r="BN409" s="2">
        <v>525</v>
      </c>
    </row>
    <row r="410" spans="2:66">
      <c r="B410" s="34"/>
      <c r="C410" s="35"/>
      <c r="BH410" s="2" t="s">
        <v>575</v>
      </c>
      <c r="BI410" s="2">
        <v>1800</v>
      </c>
      <c r="BJ410" s="2">
        <v>400</v>
      </c>
      <c r="BN410" s="2">
        <v>591</v>
      </c>
    </row>
    <row r="411" spans="2:66">
      <c r="B411" s="31" t="s">
        <v>555</v>
      </c>
      <c r="C411" s="32"/>
      <c r="D411" s="596">
        <f>D408+D405</f>
        <v>0</v>
      </c>
      <c r="E411" s="596">
        <f>IF(D408=0,E405+E408,IF(E404=0,0,IF(E404&lt;D411,E404+E405,IF(E407=0,D411,E407+E405))))</f>
        <v>0</v>
      </c>
      <c r="F411" s="596">
        <f>IF(E408=0,F405+F408,IF(F404=0,0,IF(F404&lt;E411,F404+F405,IF(F407=0,E411,F407+F405))))</f>
        <v>0</v>
      </c>
      <c r="G411" s="596">
        <f>IF(F408=0,G405+G408,IF(G404=0,0,IF(G404&lt;F411,G404+G405,IF(G407=0,F411,G407+G405))))</f>
        <v>0</v>
      </c>
      <c r="H411" s="596">
        <f>IF(G408=0,H405+H408,IF(H404=0,0,IF(H404&lt;G411,H404+H405,IF(H407=0,G411,H407+H405))))</f>
        <v>0</v>
      </c>
      <c r="I411" s="596">
        <f t="shared" ref="I411" si="1005">IF(H408=0,I405+I408,IF(I404=0,0,IF(I404&lt;H411,I404+I405,IF(I407=0,H411,I407+I405))))</f>
        <v>0</v>
      </c>
      <c r="J411" s="596">
        <f>IF(I408=0,J405+J408,IF(J404=0,0,IF(J404&lt;I411,J404+J405,IF(J407=0,I411,J407+J405))))</f>
        <v>0</v>
      </c>
      <c r="K411" s="596">
        <f t="shared" ref="K411" si="1006">IF(J408=0,K405+K408,IF(K404=0,0,IF(K404&lt;J411,K404+K405,IF(K407=0,J411,K407+K405))))</f>
        <v>0</v>
      </c>
      <c r="L411" s="596">
        <f t="shared" ref="L411" si="1007">IF(K408=0,L405+L408,IF(L404=0,0,IF(L404&lt;K411,L404+L405,IF(L407=0,K411,L407+L405))))</f>
        <v>0</v>
      </c>
      <c r="M411" s="596">
        <f t="shared" ref="M411" si="1008">IF(L408=0,M405+M408,IF(M404=0,0,IF(M404&lt;L411,M404+M405,IF(M407=0,L411,M407+M405))))</f>
        <v>0</v>
      </c>
      <c r="N411" s="596">
        <f t="shared" ref="N411" si="1009">IF(M408=0,N405+N408,IF(N404=0,0,IF(N404&lt;M411,N404+N405,IF(N407=0,M411,N407+N405))))</f>
        <v>0</v>
      </c>
      <c r="O411" s="596">
        <f t="shared" ref="O411" si="1010">IF(N408=0,O405+O408,IF(O404=0,0,IF(O404&lt;N411,O404+O405,IF(O407=0,N411,O407+O405))))</f>
        <v>0</v>
      </c>
      <c r="P411" s="596">
        <f t="shared" ref="P411" si="1011">IF(O408=0,P405+P408,IF(P404=0,0,IF(P404&lt;O411,P404+P405,IF(P407=0,O411,P407+P405))))</f>
        <v>0</v>
      </c>
      <c r="Q411" s="596">
        <f t="shared" ref="Q411" si="1012">IF(P408=0,Q405+Q408,IF(Q404=0,0,IF(Q404&lt;P411,Q404+Q405,IF(Q407=0,P411,Q407+Q405))))</f>
        <v>0</v>
      </c>
      <c r="R411" s="596">
        <f t="shared" ref="R411" si="1013">IF(Q408=0,R405+R408,IF(R404=0,0,IF(R404&lt;Q411,R404+R405,IF(R407=0,Q411,R407+R405))))</f>
        <v>0</v>
      </c>
      <c r="S411" s="596">
        <f t="shared" ref="S411" si="1014">IF(R408=0,S405+S408,IF(S404=0,0,IF(S404&lt;R411,S404+S405,IF(S407=0,R411,S407+S405))))</f>
        <v>0</v>
      </c>
      <c r="T411" s="596">
        <f t="shared" ref="T411" si="1015">IF(S408=0,T405+T408,IF(T404=0,0,IF(T404&lt;S411,T404+T405,IF(T407=0,S411,T407+T405))))</f>
        <v>0</v>
      </c>
      <c r="U411" s="596">
        <f t="shared" ref="U411" si="1016">IF(T408=0,U405+U408,IF(U404=0,0,IF(U404&lt;T411,U404+U405,IF(U407=0,T411,U407+U405))))</f>
        <v>0</v>
      </c>
      <c r="V411" s="596">
        <f t="shared" ref="V411" si="1017">IF(U408=0,V405+V408,IF(V404=0,0,IF(V404&lt;U411,V404+V405,IF(V407=0,U411,V407+V405))))</f>
        <v>0</v>
      </c>
      <c r="W411" s="596">
        <f t="shared" ref="W411" si="1018">IF(V408=0,W405+W408,IF(W404=0,0,IF(W404&lt;V411,W404+W405,IF(W407=0,V411,W407+W405))))</f>
        <v>0</v>
      </c>
      <c r="X411" s="596">
        <f t="shared" ref="X411" si="1019">IF(W408=0,X405+X408,IF(X404=0,0,IF(X404&lt;W411,X404+X405,IF(X407=0,W411,X407+X405))))</f>
        <v>0</v>
      </c>
      <c r="Y411" s="596">
        <f t="shared" ref="Y411" si="1020">IF(X408=0,Y405+Y408,IF(Y404=0,0,IF(Y404&lt;X411,Y404+Y405,IF(Y407=0,X411,Y407+Y405))))</f>
        <v>0</v>
      </c>
      <c r="Z411" s="596">
        <f t="shared" ref="Z411" si="1021">IF(Y408=0,Z405+Z408,IF(Z404=0,0,IF(Z404&lt;Y411,Z404+Z405,IF(Z407=0,Y411,Z407+Z405))))</f>
        <v>0</v>
      </c>
      <c r="AA411" s="596">
        <f t="shared" ref="AA411" si="1022">IF(Z408=0,AA405+AA408,IF(AA404=0,0,IF(AA404&lt;Z411,AA404+AA405,IF(AA407=0,Z411,AA407+AA405))))</f>
        <v>0</v>
      </c>
      <c r="AB411" s="596">
        <f t="shared" ref="AB411" si="1023">IF(AA408=0,AB405+AB408,IF(AB404=0,0,IF(AB404&lt;AA411,AB404+AB405,IF(AB407=0,AA411,AB407+AB405))))</f>
        <v>0</v>
      </c>
      <c r="AC411" s="596">
        <f t="shared" ref="AC411" si="1024">IF(AB408=0,AC405+AC408,IF(AC404=0,0,IF(AC404&lt;AB411,AC404+AC405,IF(AC407=0,AB411,AC407+AC405))))</f>
        <v>0</v>
      </c>
      <c r="AD411" s="596">
        <f t="shared" ref="AD411" si="1025">IF(AC408=0,AD405+AD408,IF(AD404=0,0,IF(AD404&lt;AC411,AD404+AD405,IF(AD407=0,AC411,AD407+AD405))))</f>
        <v>0</v>
      </c>
      <c r="AE411" s="596">
        <f t="shared" ref="AE411" si="1026">IF(AD408=0,AE405+AE408,IF(AE404=0,0,IF(AE404&lt;AD411,AE404+AE405,IF(AE407=0,AD411,AE407+AE405))))</f>
        <v>0</v>
      </c>
      <c r="AF411" s="596">
        <f t="shared" ref="AF411" si="1027">IF(AE408=0,AF405+AF408,IF(AF404=0,0,IF(AF404&lt;AE411,AF404+AF405,IF(AF407=0,AE411,AF407+AF405))))</f>
        <v>0</v>
      </c>
      <c r="AG411" s="596">
        <f t="shared" ref="AG411" si="1028">IF(AF408=0,AG405+AG408,IF(AG404=0,0,IF(AG404&lt;AF411,AG404+AG405,IF(AG407=0,AF411,AG407+AG405))))</f>
        <v>0</v>
      </c>
      <c r="AH411" s="596">
        <f t="shared" ref="AH411" si="1029">IF(AG408=0,AH405+AH408,IF(AH404=0,0,IF(AH404&lt;AG411,AH404+AH405,IF(AH407=0,AG411,AH407+AH405))))</f>
        <v>0</v>
      </c>
      <c r="BH411" s="2" t="s">
        <v>575</v>
      </c>
      <c r="BI411" s="2">
        <v>2000</v>
      </c>
      <c r="BJ411" s="2">
        <v>400</v>
      </c>
      <c r="BN411" s="2">
        <v>657</v>
      </c>
    </row>
    <row r="412" spans="2:66">
      <c r="B412" s="31" t="s">
        <v>556</v>
      </c>
      <c r="C412" s="32"/>
      <c r="D412" s="596"/>
      <c r="E412" s="596"/>
      <c r="F412" s="596"/>
      <c r="G412" s="596"/>
      <c r="H412" s="596"/>
      <c r="I412" s="596"/>
      <c r="J412" s="596"/>
      <c r="K412" s="596"/>
      <c r="L412" s="596"/>
      <c r="M412" s="596"/>
      <c r="N412" s="596"/>
      <c r="O412" s="596"/>
      <c r="P412" s="596"/>
      <c r="Q412" s="596"/>
      <c r="R412" s="596"/>
      <c r="S412" s="596"/>
      <c r="T412" s="596"/>
      <c r="U412" s="596"/>
      <c r="V412" s="596"/>
      <c r="W412" s="596"/>
      <c r="X412" s="596"/>
      <c r="Y412" s="596"/>
      <c r="Z412" s="596"/>
      <c r="AA412" s="596"/>
      <c r="AB412" s="596"/>
      <c r="AC412" s="596"/>
      <c r="AD412" s="596"/>
      <c r="AE412" s="596"/>
      <c r="AF412" s="596"/>
      <c r="AG412" s="596"/>
      <c r="AH412" s="596"/>
      <c r="BH412" s="2" t="s">
        <v>575</v>
      </c>
      <c r="BI412" s="2">
        <v>2200</v>
      </c>
      <c r="BJ412" s="2">
        <v>400</v>
      </c>
      <c r="BN412" s="2">
        <v>722</v>
      </c>
    </row>
    <row r="413" spans="2:66">
      <c r="B413" s="31" t="s">
        <v>557</v>
      </c>
      <c r="C413" s="32"/>
      <c r="D413" s="36">
        <f>D404-D408</f>
        <v>0</v>
      </c>
      <c r="E413" s="36">
        <f t="shared" ref="E413:AH413" si="1030">E404-E408</f>
        <v>0</v>
      </c>
      <c r="F413" s="36">
        <f t="shared" si="1030"/>
        <v>0</v>
      </c>
      <c r="G413" s="36">
        <f t="shared" si="1030"/>
        <v>0</v>
      </c>
      <c r="H413" s="36">
        <f t="shared" si="1030"/>
        <v>0</v>
      </c>
      <c r="I413" s="36">
        <f t="shared" si="1030"/>
        <v>0</v>
      </c>
      <c r="J413" s="36">
        <f t="shared" si="1030"/>
        <v>0</v>
      </c>
      <c r="K413" s="36">
        <f t="shared" si="1030"/>
        <v>0</v>
      </c>
      <c r="L413" s="36">
        <f t="shared" si="1030"/>
        <v>0</v>
      </c>
      <c r="M413" s="36">
        <f t="shared" si="1030"/>
        <v>0</v>
      </c>
      <c r="N413" s="36">
        <f t="shared" si="1030"/>
        <v>0</v>
      </c>
      <c r="O413" s="36">
        <f t="shared" si="1030"/>
        <v>0</v>
      </c>
      <c r="P413" s="36">
        <f t="shared" si="1030"/>
        <v>0</v>
      </c>
      <c r="Q413" s="36">
        <f t="shared" si="1030"/>
        <v>0</v>
      </c>
      <c r="R413" s="36">
        <f t="shared" si="1030"/>
        <v>0</v>
      </c>
      <c r="S413" s="36">
        <f t="shared" si="1030"/>
        <v>0</v>
      </c>
      <c r="T413" s="36">
        <f t="shared" si="1030"/>
        <v>0</v>
      </c>
      <c r="U413" s="36">
        <f t="shared" si="1030"/>
        <v>0</v>
      </c>
      <c r="V413" s="36">
        <f t="shared" si="1030"/>
        <v>0</v>
      </c>
      <c r="W413" s="36">
        <f t="shared" si="1030"/>
        <v>0</v>
      </c>
      <c r="X413" s="36">
        <f t="shared" si="1030"/>
        <v>0</v>
      </c>
      <c r="Y413" s="36">
        <f t="shared" si="1030"/>
        <v>0</v>
      </c>
      <c r="Z413" s="36">
        <f t="shared" si="1030"/>
        <v>0</v>
      </c>
      <c r="AA413" s="36">
        <f t="shared" si="1030"/>
        <v>0</v>
      </c>
      <c r="AB413" s="36">
        <f t="shared" si="1030"/>
        <v>0</v>
      </c>
      <c r="AC413" s="36">
        <f t="shared" si="1030"/>
        <v>0</v>
      </c>
      <c r="AD413" s="36">
        <f t="shared" si="1030"/>
        <v>0</v>
      </c>
      <c r="AE413" s="36">
        <f t="shared" si="1030"/>
        <v>0</v>
      </c>
      <c r="AF413" s="36">
        <f t="shared" si="1030"/>
        <v>0</v>
      </c>
      <c r="AG413" s="36">
        <f t="shared" si="1030"/>
        <v>0</v>
      </c>
      <c r="AH413" s="36">
        <f t="shared" si="1030"/>
        <v>0</v>
      </c>
      <c r="BH413" s="2" t="s">
        <v>575</v>
      </c>
      <c r="BI413" s="2">
        <v>2300</v>
      </c>
      <c r="BJ413" s="2">
        <v>400</v>
      </c>
      <c r="BN413" s="2">
        <v>846</v>
      </c>
    </row>
    <row r="414" spans="2:66" ht="17.399999999999999" thickBot="1">
      <c r="B414" s="40" t="s">
        <v>558</v>
      </c>
      <c r="C414" s="41"/>
      <c r="D414" s="42">
        <f>D411/12</f>
        <v>0</v>
      </c>
      <c r="E414" s="42">
        <f t="shared" ref="E414:AH414" si="1031">E411/12</f>
        <v>0</v>
      </c>
      <c r="F414" s="42">
        <f t="shared" si="1031"/>
        <v>0</v>
      </c>
      <c r="G414" s="42">
        <f t="shared" si="1031"/>
        <v>0</v>
      </c>
      <c r="H414" s="42">
        <f t="shared" si="1031"/>
        <v>0</v>
      </c>
      <c r="I414" s="42">
        <f t="shared" si="1031"/>
        <v>0</v>
      </c>
      <c r="J414" s="42">
        <f t="shared" si="1031"/>
        <v>0</v>
      </c>
      <c r="K414" s="42">
        <f t="shared" si="1031"/>
        <v>0</v>
      </c>
      <c r="L414" s="42">
        <f t="shared" si="1031"/>
        <v>0</v>
      </c>
      <c r="M414" s="42">
        <f t="shared" si="1031"/>
        <v>0</v>
      </c>
      <c r="N414" s="42">
        <f t="shared" si="1031"/>
        <v>0</v>
      </c>
      <c r="O414" s="42">
        <f t="shared" si="1031"/>
        <v>0</v>
      </c>
      <c r="P414" s="42">
        <f t="shared" si="1031"/>
        <v>0</v>
      </c>
      <c r="Q414" s="42">
        <f t="shared" si="1031"/>
        <v>0</v>
      </c>
      <c r="R414" s="42">
        <f t="shared" si="1031"/>
        <v>0</v>
      </c>
      <c r="S414" s="42">
        <f t="shared" si="1031"/>
        <v>0</v>
      </c>
      <c r="T414" s="42">
        <f t="shared" si="1031"/>
        <v>0</v>
      </c>
      <c r="U414" s="42">
        <f t="shared" si="1031"/>
        <v>0</v>
      </c>
      <c r="V414" s="42">
        <f t="shared" si="1031"/>
        <v>0</v>
      </c>
      <c r="W414" s="42">
        <f t="shared" si="1031"/>
        <v>0</v>
      </c>
      <c r="X414" s="42">
        <f t="shared" si="1031"/>
        <v>0</v>
      </c>
      <c r="Y414" s="42">
        <f t="shared" si="1031"/>
        <v>0</v>
      </c>
      <c r="Z414" s="42">
        <f t="shared" si="1031"/>
        <v>0</v>
      </c>
      <c r="AA414" s="42">
        <f t="shared" si="1031"/>
        <v>0</v>
      </c>
      <c r="AB414" s="42">
        <f t="shared" si="1031"/>
        <v>0</v>
      </c>
      <c r="AC414" s="42">
        <f t="shared" si="1031"/>
        <v>0</v>
      </c>
      <c r="AD414" s="42">
        <f t="shared" si="1031"/>
        <v>0</v>
      </c>
      <c r="AE414" s="42">
        <f t="shared" si="1031"/>
        <v>0</v>
      </c>
      <c r="AF414" s="42">
        <f t="shared" si="1031"/>
        <v>0</v>
      </c>
      <c r="AG414" s="42">
        <f t="shared" si="1031"/>
        <v>0</v>
      </c>
      <c r="AH414" s="42">
        <f t="shared" si="1031"/>
        <v>0</v>
      </c>
      <c r="BH414" s="2" t="s">
        <v>575</v>
      </c>
      <c r="BI414" s="2">
        <v>2600</v>
      </c>
      <c r="BJ414" s="2">
        <v>400</v>
      </c>
      <c r="BN414" s="2">
        <v>956</v>
      </c>
    </row>
    <row r="415" spans="2:66">
      <c r="BH415" s="2" t="s">
        <v>575</v>
      </c>
      <c r="BI415" s="2">
        <v>3000</v>
      </c>
      <c r="BJ415" s="2">
        <v>400</v>
      </c>
      <c r="BN415" s="2">
        <v>1103</v>
      </c>
    </row>
    <row r="416" spans="2:66" ht="17.399999999999999" thickBot="1">
      <c r="BH416" s="2" t="s">
        <v>575</v>
      </c>
      <c r="BI416" s="2">
        <v>400</v>
      </c>
      <c r="BJ416" s="2">
        <v>500</v>
      </c>
      <c r="BN416" s="2">
        <v>159</v>
      </c>
    </row>
    <row r="417" spans="2:66" ht="19.2" thickBot="1">
      <c r="B417" s="68" t="s">
        <v>580</v>
      </c>
      <c r="C417" s="4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3"/>
      <c r="AE417" s="43"/>
      <c r="AF417" s="43"/>
      <c r="AG417" s="43"/>
      <c r="AH417" s="43"/>
      <c r="BH417" s="2" t="s">
        <v>575</v>
      </c>
      <c r="BI417" s="2">
        <v>500</v>
      </c>
      <c r="BJ417" s="2">
        <v>500</v>
      </c>
      <c r="BN417" s="2">
        <v>198</v>
      </c>
    </row>
    <row r="418" spans="2:66" ht="17.399999999999999" thickBot="1">
      <c r="B418" s="56" t="s">
        <v>339</v>
      </c>
      <c r="C418" s="57"/>
      <c r="D418" s="58">
        <v>1</v>
      </c>
      <c r="E418" s="59">
        <v>2</v>
      </c>
      <c r="F418" s="59">
        <v>3</v>
      </c>
      <c r="G418" s="58">
        <v>4</v>
      </c>
      <c r="H418" s="59">
        <v>5</v>
      </c>
      <c r="I418" s="59">
        <v>6</v>
      </c>
      <c r="J418" s="58">
        <v>7</v>
      </c>
      <c r="K418" s="59">
        <v>8</v>
      </c>
      <c r="L418" s="59">
        <v>9</v>
      </c>
      <c r="M418" s="58">
        <v>10</v>
      </c>
      <c r="N418" s="59">
        <v>11</v>
      </c>
      <c r="O418" s="59">
        <v>12</v>
      </c>
      <c r="P418" s="58">
        <v>13</v>
      </c>
      <c r="Q418" s="59">
        <v>14</v>
      </c>
      <c r="R418" s="59">
        <v>15</v>
      </c>
      <c r="S418" s="58">
        <v>16</v>
      </c>
      <c r="T418" s="59">
        <v>17</v>
      </c>
      <c r="U418" s="59">
        <v>18</v>
      </c>
      <c r="V418" s="58">
        <v>19</v>
      </c>
      <c r="W418" s="59">
        <v>20</v>
      </c>
      <c r="X418" s="59">
        <v>21</v>
      </c>
      <c r="Y418" s="58">
        <v>22</v>
      </c>
      <c r="Z418" s="59">
        <v>23</v>
      </c>
      <c r="AA418" s="59">
        <v>24</v>
      </c>
      <c r="AB418" s="58">
        <v>25</v>
      </c>
      <c r="AC418" s="59">
        <v>26</v>
      </c>
      <c r="AD418" s="59">
        <v>27</v>
      </c>
      <c r="AE418" s="58">
        <v>28</v>
      </c>
      <c r="AF418" s="59">
        <v>29</v>
      </c>
      <c r="AG418" s="59">
        <v>30</v>
      </c>
      <c r="AH418" s="60">
        <v>31</v>
      </c>
      <c r="BH418" s="2" t="s">
        <v>575</v>
      </c>
      <c r="BI418" s="2">
        <v>600</v>
      </c>
      <c r="BJ418" s="2">
        <v>500</v>
      </c>
      <c r="BN418" s="2">
        <v>238</v>
      </c>
    </row>
    <row r="419" spans="2:66">
      <c r="B419" s="69" t="s">
        <v>548</v>
      </c>
      <c r="C419" s="70"/>
      <c r="D419" s="45">
        <f>SUM(D420:D422)</f>
        <v>0</v>
      </c>
      <c r="E419" s="45">
        <f t="shared" ref="E419:H419" si="1032">SUM(E420:E422)</f>
        <v>0</v>
      </c>
      <c r="F419" s="45">
        <f t="shared" si="1032"/>
        <v>0</v>
      </c>
      <c r="G419" s="45">
        <f t="shared" si="1032"/>
        <v>0</v>
      </c>
      <c r="H419" s="45">
        <f t="shared" si="1032"/>
        <v>0</v>
      </c>
      <c r="I419" s="45">
        <f>SUM(I420:I422)</f>
        <v>0</v>
      </c>
      <c r="J419" s="45">
        <f t="shared" ref="J419:AH419" si="1033">SUM(J420:J422)</f>
        <v>0</v>
      </c>
      <c r="K419" s="45">
        <f t="shared" si="1033"/>
        <v>0</v>
      </c>
      <c r="L419" s="45">
        <f t="shared" si="1033"/>
        <v>0</v>
      </c>
      <c r="M419" s="45">
        <f t="shared" si="1033"/>
        <v>0</v>
      </c>
      <c r="N419" s="45">
        <f t="shared" si="1033"/>
        <v>0</v>
      </c>
      <c r="O419" s="45">
        <f t="shared" si="1033"/>
        <v>0</v>
      </c>
      <c r="P419" s="45">
        <f t="shared" si="1033"/>
        <v>0</v>
      </c>
      <c r="Q419" s="45">
        <f t="shared" si="1033"/>
        <v>0</v>
      </c>
      <c r="R419" s="45">
        <f t="shared" si="1033"/>
        <v>0</v>
      </c>
      <c r="S419" s="45">
        <f t="shared" si="1033"/>
        <v>0</v>
      </c>
      <c r="T419" s="45">
        <f t="shared" si="1033"/>
        <v>0</v>
      </c>
      <c r="U419" s="45">
        <f t="shared" si="1033"/>
        <v>0</v>
      </c>
      <c r="V419" s="45">
        <f t="shared" si="1033"/>
        <v>0</v>
      </c>
      <c r="W419" s="45">
        <f t="shared" si="1033"/>
        <v>0</v>
      </c>
      <c r="X419" s="45">
        <f t="shared" si="1033"/>
        <v>0</v>
      </c>
      <c r="Y419" s="45">
        <f t="shared" si="1033"/>
        <v>0</v>
      </c>
      <c r="Z419" s="45">
        <f t="shared" si="1033"/>
        <v>0</v>
      </c>
      <c r="AA419" s="45">
        <f t="shared" si="1033"/>
        <v>0</v>
      </c>
      <c r="AB419" s="45">
        <f t="shared" si="1033"/>
        <v>0</v>
      </c>
      <c r="AC419" s="45">
        <f t="shared" si="1033"/>
        <v>0</v>
      </c>
      <c r="AD419" s="45">
        <f t="shared" si="1033"/>
        <v>0</v>
      </c>
      <c r="AE419" s="45">
        <f t="shared" si="1033"/>
        <v>0</v>
      </c>
      <c r="AF419" s="45">
        <f t="shared" si="1033"/>
        <v>0</v>
      </c>
      <c r="AG419" s="45">
        <f t="shared" si="1033"/>
        <v>0</v>
      </c>
      <c r="AH419" s="45">
        <f t="shared" si="1033"/>
        <v>0</v>
      </c>
      <c r="BH419" s="2" t="s">
        <v>575</v>
      </c>
      <c r="BI419" s="2">
        <v>700</v>
      </c>
      <c r="BJ419" s="2">
        <v>500</v>
      </c>
      <c r="BN419" s="2">
        <v>278</v>
      </c>
    </row>
    <row r="420" spans="2:66">
      <c r="B420" s="38" t="s">
        <v>582</v>
      </c>
      <c r="C420" s="39"/>
      <c r="D420" s="45">
        <f>D370</f>
        <v>0</v>
      </c>
      <c r="E420" s="45">
        <f>E370</f>
        <v>0</v>
      </c>
      <c r="F420" s="45">
        <f t="shared" ref="F420:AH420" si="1034">F370</f>
        <v>0</v>
      </c>
      <c r="G420" s="45">
        <f t="shared" si="1034"/>
        <v>0</v>
      </c>
      <c r="H420" s="45">
        <f t="shared" si="1034"/>
        <v>0</v>
      </c>
      <c r="I420" s="45">
        <f t="shared" si="1034"/>
        <v>0</v>
      </c>
      <c r="J420" s="45">
        <f t="shared" si="1034"/>
        <v>0</v>
      </c>
      <c r="K420" s="45">
        <f t="shared" si="1034"/>
        <v>0</v>
      </c>
      <c r="L420" s="45">
        <f t="shared" si="1034"/>
        <v>0</v>
      </c>
      <c r="M420" s="45">
        <f t="shared" si="1034"/>
        <v>0</v>
      </c>
      <c r="N420" s="45">
        <f t="shared" si="1034"/>
        <v>0</v>
      </c>
      <c r="O420" s="45">
        <f t="shared" si="1034"/>
        <v>0</v>
      </c>
      <c r="P420" s="45">
        <f t="shared" si="1034"/>
        <v>0</v>
      </c>
      <c r="Q420" s="45">
        <f t="shared" si="1034"/>
        <v>0</v>
      </c>
      <c r="R420" s="45">
        <f t="shared" si="1034"/>
        <v>0</v>
      </c>
      <c r="S420" s="45">
        <f t="shared" si="1034"/>
        <v>0</v>
      </c>
      <c r="T420" s="45">
        <f t="shared" si="1034"/>
        <v>0</v>
      </c>
      <c r="U420" s="45">
        <f t="shared" si="1034"/>
        <v>0</v>
      </c>
      <c r="V420" s="45">
        <f t="shared" si="1034"/>
        <v>0</v>
      </c>
      <c r="W420" s="45">
        <f t="shared" si="1034"/>
        <v>0</v>
      </c>
      <c r="X420" s="45">
        <f t="shared" si="1034"/>
        <v>0</v>
      </c>
      <c r="Y420" s="45">
        <f t="shared" si="1034"/>
        <v>0</v>
      </c>
      <c r="Z420" s="45">
        <f t="shared" si="1034"/>
        <v>0</v>
      </c>
      <c r="AA420" s="45">
        <f t="shared" si="1034"/>
        <v>0</v>
      </c>
      <c r="AB420" s="45">
        <f t="shared" si="1034"/>
        <v>0</v>
      </c>
      <c r="AC420" s="45">
        <f t="shared" si="1034"/>
        <v>0</v>
      </c>
      <c r="AD420" s="45">
        <f t="shared" si="1034"/>
        <v>0</v>
      </c>
      <c r="AE420" s="45">
        <f t="shared" si="1034"/>
        <v>0</v>
      </c>
      <c r="AF420" s="45">
        <f t="shared" si="1034"/>
        <v>0</v>
      </c>
      <c r="AG420" s="45">
        <f t="shared" si="1034"/>
        <v>0</v>
      </c>
      <c r="AH420" s="45">
        <f t="shared" si="1034"/>
        <v>0</v>
      </c>
      <c r="BH420" s="2" t="s">
        <v>575</v>
      </c>
      <c r="BI420" s="2">
        <v>800</v>
      </c>
      <c r="BJ420" s="2">
        <v>500</v>
      </c>
      <c r="BN420" s="2">
        <v>317</v>
      </c>
    </row>
    <row r="421" spans="2:66">
      <c r="B421" s="38" t="s">
        <v>583</v>
      </c>
      <c r="C421" s="39"/>
      <c r="D421" s="45">
        <f>D387</f>
        <v>0</v>
      </c>
      <c r="E421" s="45">
        <f t="shared" ref="E421:AH421" si="1035">E387</f>
        <v>0</v>
      </c>
      <c r="F421" s="45">
        <f t="shared" si="1035"/>
        <v>0</v>
      </c>
      <c r="G421" s="45">
        <f t="shared" si="1035"/>
        <v>0</v>
      </c>
      <c r="H421" s="45">
        <f t="shared" si="1035"/>
        <v>0</v>
      </c>
      <c r="I421" s="45">
        <f t="shared" si="1035"/>
        <v>0</v>
      </c>
      <c r="J421" s="45">
        <f t="shared" si="1035"/>
        <v>0</v>
      </c>
      <c r="K421" s="45">
        <f t="shared" si="1035"/>
        <v>0</v>
      </c>
      <c r="L421" s="45">
        <f t="shared" si="1035"/>
        <v>0</v>
      </c>
      <c r="M421" s="45">
        <f t="shared" si="1035"/>
        <v>0</v>
      </c>
      <c r="N421" s="45">
        <f t="shared" si="1035"/>
        <v>0</v>
      </c>
      <c r="O421" s="45">
        <f t="shared" si="1035"/>
        <v>0</v>
      </c>
      <c r="P421" s="45">
        <f t="shared" si="1035"/>
        <v>0</v>
      </c>
      <c r="Q421" s="45">
        <f t="shared" si="1035"/>
        <v>0</v>
      </c>
      <c r="R421" s="45">
        <f t="shared" si="1035"/>
        <v>0</v>
      </c>
      <c r="S421" s="45">
        <f t="shared" si="1035"/>
        <v>0</v>
      </c>
      <c r="T421" s="45">
        <f t="shared" si="1035"/>
        <v>0</v>
      </c>
      <c r="U421" s="45">
        <f t="shared" si="1035"/>
        <v>0</v>
      </c>
      <c r="V421" s="45">
        <f t="shared" si="1035"/>
        <v>0</v>
      </c>
      <c r="W421" s="45">
        <f t="shared" si="1035"/>
        <v>0</v>
      </c>
      <c r="X421" s="45">
        <f t="shared" si="1035"/>
        <v>0</v>
      </c>
      <c r="Y421" s="45">
        <f t="shared" si="1035"/>
        <v>0</v>
      </c>
      <c r="Z421" s="45">
        <f t="shared" si="1035"/>
        <v>0</v>
      </c>
      <c r="AA421" s="45">
        <f t="shared" si="1035"/>
        <v>0</v>
      </c>
      <c r="AB421" s="45">
        <f t="shared" si="1035"/>
        <v>0</v>
      </c>
      <c r="AC421" s="45">
        <f t="shared" si="1035"/>
        <v>0</v>
      </c>
      <c r="AD421" s="45">
        <f t="shared" si="1035"/>
        <v>0</v>
      </c>
      <c r="AE421" s="45">
        <f t="shared" si="1035"/>
        <v>0</v>
      </c>
      <c r="AF421" s="45">
        <f t="shared" si="1035"/>
        <v>0</v>
      </c>
      <c r="AG421" s="45">
        <f t="shared" si="1035"/>
        <v>0</v>
      </c>
      <c r="AH421" s="45">
        <f t="shared" si="1035"/>
        <v>0</v>
      </c>
      <c r="BH421" s="2" t="s">
        <v>575</v>
      </c>
      <c r="BI421" s="2">
        <v>900</v>
      </c>
      <c r="BJ421" s="2">
        <v>500</v>
      </c>
      <c r="BN421" s="2">
        <v>357</v>
      </c>
    </row>
    <row r="422" spans="2:66">
      <c r="B422" s="38" t="s">
        <v>584</v>
      </c>
      <c r="C422" s="39"/>
      <c r="D422" s="45">
        <f>D404</f>
        <v>0</v>
      </c>
      <c r="E422" s="45">
        <f t="shared" ref="E422:AH422" si="1036">E404</f>
        <v>0</v>
      </c>
      <c r="F422" s="45">
        <f t="shared" si="1036"/>
        <v>0</v>
      </c>
      <c r="G422" s="45">
        <f t="shared" si="1036"/>
        <v>0</v>
      </c>
      <c r="H422" s="45">
        <f t="shared" si="1036"/>
        <v>0</v>
      </c>
      <c r="I422" s="45">
        <f t="shared" si="1036"/>
        <v>0</v>
      </c>
      <c r="J422" s="45">
        <f t="shared" si="1036"/>
        <v>0</v>
      </c>
      <c r="K422" s="45">
        <f t="shared" si="1036"/>
        <v>0</v>
      </c>
      <c r="L422" s="45">
        <f t="shared" si="1036"/>
        <v>0</v>
      </c>
      <c r="M422" s="45">
        <f t="shared" si="1036"/>
        <v>0</v>
      </c>
      <c r="N422" s="45">
        <f t="shared" si="1036"/>
        <v>0</v>
      </c>
      <c r="O422" s="45">
        <f t="shared" si="1036"/>
        <v>0</v>
      </c>
      <c r="P422" s="45">
        <f t="shared" si="1036"/>
        <v>0</v>
      </c>
      <c r="Q422" s="45">
        <f t="shared" si="1036"/>
        <v>0</v>
      </c>
      <c r="R422" s="45">
        <f t="shared" si="1036"/>
        <v>0</v>
      </c>
      <c r="S422" s="45">
        <f t="shared" si="1036"/>
        <v>0</v>
      </c>
      <c r="T422" s="45">
        <f t="shared" si="1036"/>
        <v>0</v>
      </c>
      <c r="U422" s="45">
        <f t="shared" si="1036"/>
        <v>0</v>
      </c>
      <c r="V422" s="45">
        <f t="shared" si="1036"/>
        <v>0</v>
      </c>
      <c r="W422" s="45">
        <f t="shared" si="1036"/>
        <v>0</v>
      </c>
      <c r="X422" s="45">
        <f t="shared" si="1036"/>
        <v>0</v>
      </c>
      <c r="Y422" s="45">
        <f t="shared" si="1036"/>
        <v>0</v>
      </c>
      <c r="Z422" s="45">
        <f t="shared" si="1036"/>
        <v>0</v>
      </c>
      <c r="AA422" s="45">
        <f t="shared" si="1036"/>
        <v>0</v>
      </c>
      <c r="AB422" s="45">
        <f t="shared" si="1036"/>
        <v>0</v>
      </c>
      <c r="AC422" s="45">
        <f t="shared" si="1036"/>
        <v>0</v>
      </c>
      <c r="AD422" s="45">
        <f t="shared" si="1036"/>
        <v>0</v>
      </c>
      <c r="AE422" s="45">
        <f t="shared" si="1036"/>
        <v>0</v>
      </c>
      <c r="AF422" s="45">
        <f t="shared" si="1036"/>
        <v>0</v>
      </c>
      <c r="AG422" s="45">
        <f t="shared" si="1036"/>
        <v>0</v>
      </c>
      <c r="AH422" s="45">
        <f t="shared" si="1036"/>
        <v>0</v>
      </c>
      <c r="BH422" s="2" t="s">
        <v>575</v>
      </c>
      <c r="BI422" s="2">
        <v>1000</v>
      </c>
      <c r="BJ422" s="2">
        <v>500</v>
      </c>
      <c r="BN422" s="2">
        <v>396</v>
      </c>
    </row>
    <row r="423" spans="2:66">
      <c r="B423" s="46"/>
      <c r="BH423" s="2" t="s">
        <v>575</v>
      </c>
      <c r="BI423" s="2">
        <v>1100</v>
      </c>
      <c r="BJ423" s="2">
        <v>500</v>
      </c>
      <c r="BN423" s="2">
        <v>436</v>
      </c>
    </row>
    <row r="424" spans="2:66">
      <c r="B424" s="31" t="s">
        <v>549</v>
      </c>
      <c r="C424" s="32"/>
      <c r="D424" s="36">
        <f>D405+D388+D371</f>
        <v>0</v>
      </c>
      <c r="E424" s="36">
        <f t="shared" ref="E424:AH424" si="1037">E405+E388+E371</f>
        <v>0</v>
      </c>
      <c r="F424" s="36">
        <f t="shared" si="1037"/>
        <v>0</v>
      </c>
      <c r="G424" s="36">
        <f t="shared" si="1037"/>
        <v>0</v>
      </c>
      <c r="H424" s="36">
        <f t="shared" si="1037"/>
        <v>0</v>
      </c>
      <c r="I424" s="36">
        <f t="shared" si="1037"/>
        <v>0</v>
      </c>
      <c r="J424" s="36">
        <f t="shared" si="1037"/>
        <v>0</v>
      </c>
      <c r="K424" s="36">
        <f t="shared" si="1037"/>
        <v>0</v>
      </c>
      <c r="L424" s="36">
        <f t="shared" si="1037"/>
        <v>0</v>
      </c>
      <c r="M424" s="36">
        <f t="shared" si="1037"/>
        <v>0</v>
      </c>
      <c r="N424" s="36">
        <f t="shared" si="1037"/>
        <v>0</v>
      </c>
      <c r="O424" s="36">
        <f t="shared" si="1037"/>
        <v>0</v>
      </c>
      <c r="P424" s="36">
        <f t="shared" si="1037"/>
        <v>0</v>
      </c>
      <c r="Q424" s="36">
        <f t="shared" si="1037"/>
        <v>0</v>
      </c>
      <c r="R424" s="36">
        <f t="shared" si="1037"/>
        <v>0</v>
      </c>
      <c r="S424" s="36">
        <f t="shared" si="1037"/>
        <v>0</v>
      </c>
      <c r="T424" s="36">
        <f t="shared" si="1037"/>
        <v>0</v>
      </c>
      <c r="U424" s="36">
        <f t="shared" si="1037"/>
        <v>0</v>
      </c>
      <c r="V424" s="36">
        <f t="shared" si="1037"/>
        <v>0</v>
      </c>
      <c r="W424" s="36">
        <f t="shared" si="1037"/>
        <v>0</v>
      </c>
      <c r="X424" s="36">
        <f t="shared" si="1037"/>
        <v>0</v>
      </c>
      <c r="Y424" s="36">
        <f t="shared" si="1037"/>
        <v>0</v>
      </c>
      <c r="Z424" s="36">
        <f t="shared" si="1037"/>
        <v>0</v>
      </c>
      <c r="AA424" s="36">
        <f t="shared" si="1037"/>
        <v>0</v>
      </c>
      <c r="AB424" s="36">
        <f t="shared" si="1037"/>
        <v>0</v>
      </c>
      <c r="AC424" s="36">
        <f t="shared" si="1037"/>
        <v>0</v>
      </c>
      <c r="AD424" s="36">
        <f t="shared" si="1037"/>
        <v>0</v>
      </c>
      <c r="AE424" s="36">
        <f t="shared" si="1037"/>
        <v>0</v>
      </c>
      <c r="AF424" s="36">
        <f t="shared" si="1037"/>
        <v>0</v>
      </c>
      <c r="AG424" s="36">
        <f t="shared" si="1037"/>
        <v>0</v>
      </c>
      <c r="AH424" s="36">
        <f t="shared" si="1037"/>
        <v>0</v>
      </c>
      <c r="BH424" s="2" t="s">
        <v>575</v>
      </c>
      <c r="BI424" s="2">
        <v>1200</v>
      </c>
      <c r="BJ424" s="2">
        <v>500</v>
      </c>
      <c r="BN424" s="2">
        <v>476</v>
      </c>
    </row>
    <row r="425" spans="2:66">
      <c r="B425" s="48" t="s">
        <v>585</v>
      </c>
      <c r="C425" s="49"/>
      <c r="D425" s="36">
        <f>D424</f>
        <v>0</v>
      </c>
      <c r="E425" s="36">
        <f>D425+E424</f>
        <v>0</v>
      </c>
      <c r="F425" s="36">
        <f>E425+F424</f>
        <v>0</v>
      </c>
      <c r="G425" s="36">
        <f>F425+G424</f>
        <v>0</v>
      </c>
      <c r="H425" s="36">
        <f>G425+H424</f>
        <v>0</v>
      </c>
      <c r="I425" s="36">
        <f t="shared" ref="I425" si="1038">H425+I424</f>
        <v>0</v>
      </c>
      <c r="J425" s="36">
        <f>I425+J424</f>
        <v>0</v>
      </c>
      <c r="K425" s="36">
        <f t="shared" ref="K425" si="1039">J425+K424</f>
        <v>0</v>
      </c>
      <c r="L425" s="36">
        <f t="shared" ref="L425" si="1040">K425+L424</f>
        <v>0</v>
      </c>
      <c r="M425" s="36">
        <f t="shared" ref="M425" si="1041">L425+M424</f>
        <v>0</v>
      </c>
      <c r="N425" s="36">
        <f t="shared" ref="N425" si="1042">M425+N424</f>
        <v>0</v>
      </c>
      <c r="O425" s="36">
        <f t="shared" ref="O425" si="1043">N425+O424</f>
        <v>0</v>
      </c>
      <c r="P425" s="36">
        <f t="shared" ref="P425" si="1044">O425+P424</f>
        <v>0</v>
      </c>
      <c r="Q425" s="36">
        <f t="shared" ref="Q425" si="1045">P425+Q424</f>
        <v>0</v>
      </c>
      <c r="R425" s="36">
        <f t="shared" ref="R425" si="1046">Q425+R424</f>
        <v>0</v>
      </c>
      <c r="S425" s="36">
        <f t="shared" ref="S425" si="1047">R425+S424</f>
        <v>0</v>
      </c>
      <c r="T425" s="36">
        <f t="shared" ref="T425" si="1048">S425+T424</f>
        <v>0</v>
      </c>
      <c r="U425" s="36">
        <f t="shared" ref="U425" si="1049">T425+U424</f>
        <v>0</v>
      </c>
      <c r="V425" s="36">
        <f t="shared" ref="V425" si="1050">U425+V424</f>
        <v>0</v>
      </c>
      <c r="W425" s="36">
        <f t="shared" ref="W425" si="1051">V425+W424</f>
        <v>0</v>
      </c>
      <c r="X425" s="36">
        <f t="shared" ref="X425" si="1052">W425+X424</f>
        <v>0</v>
      </c>
      <c r="Y425" s="36">
        <f t="shared" ref="Y425" si="1053">X425+Y424</f>
        <v>0</v>
      </c>
      <c r="Z425" s="36">
        <f t="shared" ref="Z425" si="1054">Y425+Z424</f>
        <v>0</v>
      </c>
      <c r="AA425" s="36">
        <f t="shared" ref="AA425" si="1055">Z425+AA424</f>
        <v>0</v>
      </c>
      <c r="AB425" s="36">
        <f t="shared" ref="AB425" si="1056">AA425+AB424</f>
        <v>0</v>
      </c>
      <c r="AC425" s="36">
        <f t="shared" ref="AC425" si="1057">AB425+AC424</f>
        <v>0</v>
      </c>
      <c r="AD425" s="36">
        <f t="shared" ref="AD425" si="1058">AC425+AD424</f>
        <v>0</v>
      </c>
      <c r="AE425" s="36">
        <f t="shared" ref="AE425" si="1059">AD425+AE424</f>
        <v>0</v>
      </c>
      <c r="AF425" s="36">
        <f>AE425+AF424</f>
        <v>0</v>
      </c>
      <c r="AG425" s="36">
        <f t="shared" ref="AG425" si="1060">AF425+AG424</f>
        <v>0</v>
      </c>
      <c r="AH425" s="36">
        <f t="shared" ref="AH425" si="1061">AG425+AH424</f>
        <v>0</v>
      </c>
      <c r="BH425" s="2" t="s">
        <v>575</v>
      </c>
      <c r="BI425" s="2">
        <v>1400</v>
      </c>
      <c r="BJ425" s="2">
        <v>500</v>
      </c>
      <c r="BN425" s="2">
        <v>555</v>
      </c>
    </row>
    <row r="426" spans="2:66">
      <c r="B426" s="48" t="s">
        <v>586</v>
      </c>
      <c r="C426" s="49"/>
      <c r="D426" s="50">
        <f>IF(D419=0,0,D424/D419)</f>
        <v>0</v>
      </c>
      <c r="E426" s="50">
        <f t="shared" ref="E426:AH426" si="1062">IF(E419=0,0,E424/E419)</f>
        <v>0</v>
      </c>
      <c r="F426" s="50">
        <f t="shared" si="1062"/>
        <v>0</v>
      </c>
      <c r="G426" s="50">
        <f t="shared" si="1062"/>
        <v>0</v>
      </c>
      <c r="H426" s="50">
        <f t="shared" si="1062"/>
        <v>0</v>
      </c>
      <c r="I426" s="50">
        <f t="shared" si="1062"/>
        <v>0</v>
      </c>
      <c r="J426" s="50">
        <f t="shared" si="1062"/>
        <v>0</v>
      </c>
      <c r="K426" s="50">
        <f t="shared" si="1062"/>
        <v>0</v>
      </c>
      <c r="L426" s="50">
        <f t="shared" si="1062"/>
        <v>0</v>
      </c>
      <c r="M426" s="50">
        <f t="shared" si="1062"/>
        <v>0</v>
      </c>
      <c r="N426" s="50">
        <f t="shared" si="1062"/>
        <v>0</v>
      </c>
      <c r="O426" s="50">
        <f t="shared" si="1062"/>
        <v>0</v>
      </c>
      <c r="P426" s="50">
        <f t="shared" si="1062"/>
        <v>0</v>
      </c>
      <c r="Q426" s="50">
        <f t="shared" si="1062"/>
        <v>0</v>
      </c>
      <c r="R426" s="50">
        <f t="shared" si="1062"/>
        <v>0</v>
      </c>
      <c r="S426" s="50">
        <f t="shared" si="1062"/>
        <v>0</v>
      </c>
      <c r="T426" s="50">
        <f t="shared" si="1062"/>
        <v>0</v>
      </c>
      <c r="U426" s="50">
        <f t="shared" si="1062"/>
        <v>0</v>
      </c>
      <c r="V426" s="50">
        <f t="shared" si="1062"/>
        <v>0</v>
      </c>
      <c r="W426" s="50">
        <f t="shared" si="1062"/>
        <v>0</v>
      </c>
      <c r="X426" s="50">
        <f t="shared" si="1062"/>
        <v>0</v>
      </c>
      <c r="Y426" s="50">
        <f t="shared" si="1062"/>
        <v>0</v>
      </c>
      <c r="Z426" s="50">
        <f t="shared" si="1062"/>
        <v>0</v>
      </c>
      <c r="AA426" s="50">
        <f t="shared" si="1062"/>
        <v>0</v>
      </c>
      <c r="AB426" s="50">
        <f t="shared" si="1062"/>
        <v>0</v>
      </c>
      <c r="AC426" s="50">
        <f t="shared" si="1062"/>
        <v>0</v>
      </c>
      <c r="AD426" s="50">
        <f t="shared" si="1062"/>
        <v>0</v>
      </c>
      <c r="AE426" s="50">
        <f t="shared" si="1062"/>
        <v>0</v>
      </c>
      <c r="AF426" s="50">
        <f t="shared" si="1062"/>
        <v>0</v>
      </c>
      <c r="AG426" s="50">
        <f t="shared" si="1062"/>
        <v>0</v>
      </c>
      <c r="AH426" s="50">
        <f t="shared" si="1062"/>
        <v>0</v>
      </c>
      <c r="BH426" s="2" t="s">
        <v>575</v>
      </c>
      <c r="BI426" s="2">
        <v>1600</v>
      </c>
      <c r="BJ426" s="2">
        <v>500</v>
      </c>
      <c r="BN426" s="2">
        <v>634</v>
      </c>
    </row>
    <row r="427" spans="2:66">
      <c r="B427" s="48"/>
      <c r="C427" s="49"/>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BH427" s="2" t="s">
        <v>575</v>
      </c>
      <c r="BI427" s="2">
        <v>1800</v>
      </c>
      <c r="BJ427" s="2">
        <v>500</v>
      </c>
      <c r="BN427" s="2">
        <v>714</v>
      </c>
    </row>
    <row r="428" spans="2:66">
      <c r="B428" s="31" t="s">
        <v>587</v>
      </c>
      <c r="C428" s="32"/>
      <c r="D428" s="36">
        <f>D408+D391+D374</f>
        <v>0</v>
      </c>
      <c r="E428" s="36">
        <f t="shared" ref="E428:AH428" si="1063">E408+E391+E374</f>
        <v>0</v>
      </c>
      <c r="F428" s="36">
        <f t="shared" si="1063"/>
        <v>0</v>
      </c>
      <c r="G428" s="36">
        <f t="shared" si="1063"/>
        <v>0</v>
      </c>
      <c r="H428" s="36">
        <f t="shared" si="1063"/>
        <v>0</v>
      </c>
      <c r="I428" s="36">
        <f t="shared" si="1063"/>
        <v>0</v>
      </c>
      <c r="J428" s="36">
        <f t="shared" si="1063"/>
        <v>0</v>
      </c>
      <c r="K428" s="36">
        <f t="shared" si="1063"/>
        <v>0</v>
      </c>
      <c r="L428" s="36">
        <f t="shared" si="1063"/>
        <v>0</v>
      </c>
      <c r="M428" s="36">
        <f t="shared" si="1063"/>
        <v>0</v>
      </c>
      <c r="N428" s="36">
        <f t="shared" si="1063"/>
        <v>0</v>
      </c>
      <c r="O428" s="36">
        <f t="shared" si="1063"/>
        <v>0</v>
      </c>
      <c r="P428" s="36">
        <f t="shared" si="1063"/>
        <v>0</v>
      </c>
      <c r="Q428" s="36">
        <f t="shared" si="1063"/>
        <v>0</v>
      </c>
      <c r="R428" s="36">
        <f t="shared" si="1063"/>
        <v>0</v>
      </c>
      <c r="S428" s="36">
        <f t="shared" si="1063"/>
        <v>0</v>
      </c>
      <c r="T428" s="36">
        <f t="shared" si="1063"/>
        <v>0</v>
      </c>
      <c r="U428" s="36">
        <f t="shared" si="1063"/>
        <v>0</v>
      </c>
      <c r="V428" s="36">
        <f t="shared" si="1063"/>
        <v>0</v>
      </c>
      <c r="W428" s="36">
        <f t="shared" si="1063"/>
        <v>0</v>
      </c>
      <c r="X428" s="36">
        <f t="shared" si="1063"/>
        <v>0</v>
      </c>
      <c r="Y428" s="36">
        <f t="shared" si="1063"/>
        <v>0</v>
      </c>
      <c r="Z428" s="36">
        <f t="shared" si="1063"/>
        <v>0</v>
      </c>
      <c r="AA428" s="36">
        <f t="shared" si="1063"/>
        <v>0</v>
      </c>
      <c r="AB428" s="36">
        <f t="shared" si="1063"/>
        <v>0</v>
      </c>
      <c r="AC428" s="36">
        <f t="shared" si="1063"/>
        <v>0</v>
      </c>
      <c r="AD428" s="36">
        <f t="shared" si="1063"/>
        <v>0</v>
      </c>
      <c r="AE428" s="36">
        <f t="shared" si="1063"/>
        <v>0</v>
      </c>
      <c r="AF428" s="36">
        <f t="shared" si="1063"/>
        <v>0</v>
      </c>
      <c r="AG428" s="36">
        <f t="shared" si="1063"/>
        <v>0</v>
      </c>
      <c r="AH428" s="36">
        <f t="shared" si="1063"/>
        <v>0</v>
      </c>
      <c r="BH428" s="2" t="s">
        <v>575</v>
      </c>
      <c r="BI428" s="2">
        <v>2000</v>
      </c>
      <c r="BJ428" s="2">
        <v>500</v>
      </c>
      <c r="BN428" s="2">
        <v>793</v>
      </c>
    </row>
    <row r="429" spans="2:66">
      <c r="B429" s="38" t="s">
        <v>554</v>
      </c>
      <c r="C429" s="39"/>
      <c r="D429" s="33">
        <f>IF(D419=0,0,D428/D419)</f>
        <v>0</v>
      </c>
      <c r="E429" s="33">
        <f t="shared" ref="E429:AH429" si="1064">IF(E419=0,0,E428/E419)</f>
        <v>0</v>
      </c>
      <c r="F429" s="33">
        <f t="shared" si="1064"/>
        <v>0</v>
      </c>
      <c r="G429" s="33">
        <f t="shared" si="1064"/>
        <v>0</v>
      </c>
      <c r="H429" s="33">
        <f t="shared" si="1064"/>
        <v>0</v>
      </c>
      <c r="I429" s="33">
        <f t="shared" si="1064"/>
        <v>0</v>
      </c>
      <c r="J429" s="33">
        <f t="shared" si="1064"/>
        <v>0</v>
      </c>
      <c r="K429" s="33">
        <f t="shared" si="1064"/>
        <v>0</v>
      </c>
      <c r="L429" s="33">
        <f t="shared" si="1064"/>
        <v>0</v>
      </c>
      <c r="M429" s="33">
        <f t="shared" si="1064"/>
        <v>0</v>
      </c>
      <c r="N429" s="33">
        <f t="shared" si="1064"/>
        <v>0</v>
      </c>
      <c r="O429" s="33">
        <f t="shared" si="1064"/>
        <v>0</v>
      </c>
      <c r="P429" s="33">
        <f t="shared" si="1064"/>
        <v>0</v>
      </c>
      <c r="Q429" s="33">
        <f t="shared" si="1064"/>
        <v>0</v>
      </c>
      <c r="R429" s="33">
        <f t="shared" si="1064"/>
        <v>0</v>
      </c>
      <c r="S429" s="33">
        <f t="shared" si="1064"/>
        <v>0</v>
      </c>
      <c r="T429" s="33">
        <f t="shared" si="1064"/>
        <v>0</v>
      </c>
      <c r="U429" s="33">
        <f t="shared" si="1064"/>
        <v>0</v>
      </c>
      <c r="V429" s="33">
        <f t="shared" si="1064"/>
        <v>0</v>
      </c>
      <c r="W429" s="33">
        <f t="shared" si="1064"/>
        <v>0</v>
      </c>
      <c r="X429" s="33">
        <f t="shared" si="1064"/>
        <v>0</v>
      </c>
      <c r="Y429" s="33">
        <f t="shared" si="1064"/>
        <v>0</v>
      </c>
      <c r="Z429" s="33">
        <f t="shared" si="1064"/>
        <v>0</v>
      </c>
      <c r="AA429" s="33">
        <f t="shared" si="1064"/>
        <v>0</v>
      </c>
      <c r="AB429" s="33">
        <f t="shared" si="1064"/>
        <v>0</v>
      </c>
      <c r="AC429" s="33">
        <f t="shared" si="1064"/>
        <v>0</v>
      </c>
      <c r="AD429" s="33">
        <f t="shared" si="1064"/>
        <v>0</v>
      </c>
      <c r="AE429" s="33">
        <f t="shared" si="1064"/>
        <v>0</v>
      </c>
      <c r="AF429" s="33">
        <f t="shared" si="1064"/>
        <v>0</v>
      </c>
      <c r="AG429" s="33">
        <f t="shared" si="1064"/>
        <v>0</v>
      </c>
      <c r="AH429" s="33">
        <f t="shared" si="1064"/>
        <v>0</v>
      </c>
      <c r="BH429" s="2" t="s">
        <v>575</v>
      </c>
      <c r="BI429" s="2">
        <v>2200</v>
      </c>
      <c r="BJ429" s="2">
        <v>500</v>
      </c>
      <c r="BN429" s="2">
        <v>872</v>
      </c>
    </row>
    <row r="430" spans="2:66">
      <c r="B430" s="38"/>
      <c r="C430" s="39"/>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BH430" s="2" t="s">
        <v>575</v>
      </c>
      <c r="BI430" s="2">
        <v>2300</v>
      </c>
      <c r="BJ430" s="2">
        <v>500</v>
      </c>
      <c r="BN430" s="2">
        <v>1022</v>
      </c>
    </row>
    <row r="431" spans="2:66">
      <c r="B431" s="31" t="s">
        <v>555</v>
      </c>
      <c r="C431" s="32"/>
      <c r="D431" s="36">
        <f>D424+D428</f>
        <v>0</v>
      </c>
      <c r="E431" s="36">
        <f t="shared" ref="E431:AH431" si="1065">E424+E428</f>
        <v>0</v>
      </c>
      <c r="F431" s="36">
        <f t="shared" si="1065"/>
        <v>0</v>
      </c>
      <c r="G431" s="36">
        <f t="shared" si="1065"/>
        <v>0</v>
      </c>
      <c r="H431" s="36">
        <f t="shared" si="1065"/>
        <v>0</v>
      </c>
      <c r="I431" s="36">
        <f t="shared" si="1065"/>
        <v>0</v>
      </c>
      <c r="J431" s="36">
        <f t="shared" si="1065"/>
        <v>0</v>
      </c>
      <c r="K431" s="36">
        <f t="shared" si="1065"/>
        <v>0</v>
      </c>
      <c r="L431" s="36">
        <f t="shared" si="1065"/>
        <v>0</v>
      </c>
      <c r="M431" s="36">
        <f t="shared" si="1065"/>
        <v>0</v>
      </c>
      <c r="N431" s="36">
        <f t="shared" si="1065"/>
        <v>0</v>
      </c>
      <c r="O431" s="36">
        <f t="shared" si="1065"/>
        <v>0</v>
      </c>
      <c r="P431" s="36">
        <f t="shared" si="1065"/>
        <v>0</v>
      </c>
      <c r="Q431" s="36">
        <f t="shared" si="1065"/>
        <v>0</v>
      </c>
      <c r="R431" s="36">
        <f t="shared" si="1065"/>
        <v>0</v>
      </c>
      <c r="S431" s="36">
        <f t="shared" si="1065"/>
        <v>0</v>
      </c>
      <c r="T431" s="36">
        <f t="shared" si="1065"/>
        <v>0</v>
      </c>
      <c r="U431" s="36">
        <f t="shared" si="1065"/>
        <v>0</v>
      </c>
      <c r="V431" s="36">
        <f t="shared" si="1065"/>
        <v>0</v>
      </c>
      <c r="W431" s="36">
        <f t="shared" si="1065"/>
        <v>0</v>
      </c>
      <c r="X431" s="36">
        <f t="shared" si="1065"/>
        <v>0</v>
      </c>
      <c r="Y431" s="36">
        <f t="shared" si="1065"/>
        <v>0</v>
      </c>
      <c r="Z431" s="36">
        <f t="shared" si="1065"/>
        <v>0</v>
      </c>
      <c r="AA431" s="36">
        <f t="shared" si="1065"/>
        <v>0</v>
      </c>
      <c r="AB431" s="36">
        <f t="shared" si="1065"/>
        <v>0</v>
      </c>
      <c r="AC431" s="36">
        <f t="shared" si="1065"/>
        <v>0</v>
      </c>
      <c r="AD431" s="36">
        <f t="shared" si="1065"/>
        <v>0</v>
      </c>
      <c r="AE431" s="36">
        <f t="shared" si="1065"/>
        <v>0</v>
      </c>
      <c r="AF431" s="36">
        <f t="shared" si="1065"/>
        <v>0</v>
      </c>
      <c r="AG431" s="36">
        <f t="shared" si="1065"/>
        <v>0</v>
      </c>
      <c r="AH431" s="36">
        <f t="shared" si="1065"/>
        <v>0</v>
      </c>
      <c r="BH431" s="2" t="s">
        <v>575</v>
      </c>
      <c r="BI431" s="2">
        <v>2600</v>
      </c>
      <c r="BJ431" s="2">
        <v>500</v>
      </c>
      <c r="BN431" s="2">
        <v>1155</v>
      </c>
    </row>
    <row r="432" spans="2:66">
      <c r="B432" s="31" t="s">
        <v>557</v>
      </c>
      <c r="C432" s="32"/>
      <c r="D432" s="36">
        <f>D419-D428</f>
        <v>0</v>
      </c>
      <c r="E432" s="36">
        <f t="shared" ref="E432:AH432" si="1066">E419-E428</f>
        <v>0</v>
      </c>
      <c r="F432" s="36">
        <f t="shared" si="1066"/>
        <v>0</v>
      </c>
      <c r="G432" s="36">
        <f t="shared" si="1066"/>
        <v>0</v>
      </c>
      <c r="H432" s="36">
        <f t="shared" si="1066"/>
        <v>0</v>
      </c>
      <c r="I432" s="36">
        <f t="shared" si="1066"/>
        <v>0</v>
      </c>
      <c r="J432" s="36">
        <f t="shared" si="1066"/>
        <v>0</v>
      </c>
      <c r="K432" s="36">
        <f t="shared" si="1066"/>
        <v>0</v>
      </c>
      <c r="L432" s="36">
        <f t="shared" si="1066"/>
        <v>0</v>
      </c>
      <c r="M432" s="36">
        <f t="shared" si="1066"/>
        <v>0</v>
      </c>
      <c r="N432" s="36">
        <f t="shared" si="1066"/>
        <v>0</v>
      </c>
      <c r="O432" s="36">
        <f t="shared" si="1066"/>
        <v>0</v>
      </c>
      <c r="P432" s="36">
        <f t="shared" si="1066"/>
        <v>0</v>
      </c>
      <c r="Q432" s="36">
        <f t="shared" si="1066"/>
        <v>0</v>
      </c>
      <c r="R432" s="36">
        <f t="shared" si="1066"/>
        <v>0</v>
      </c>
      <c r="S432" s="36">
        <f t="shared" si="1066"/>
        <v>0</v>
      </c>
      <c r="T432" s="36">
        <f t="shared" si="1066"/>
        <v>0</v>
      </c>
      <c r="U432" s="36">
        <f t="shared" si="1066"/>
        <v>0</v>
      </c>
      <c r="V432" s="36">
        <f t="shared" si="1066"/>
        <v>0</v>
      </c>
      <c r="W432" s="36">
        <f t="shared" si="1066"/>
        <v>0</v>
      </c>
      <c r="X432" s="36">
        <f t="shared" si="1066"/>
        <v>0</v>
      </c>
      <c r="Y432" s="36">
        <f t="shared" si="1066"/>
        <v>0</v>
      </c>
      <c r="Z432" s="36">
        <f t="shared" si="1066"/>
        <v>0</v>
      </c>
      <c r="AA432" s="36">
        <f t="shared" si="1066"/>
        <v>0</v>
      </c>
      <c r="AB432" s="36">
        <f t="shared" si="1066"/>
        <v>0</v>
      </c>
      <c r="AC432" s="36">
        <f t="shared" si="1066"/>
        <v>0</v>
      </c>
      <c r="AD432" s="36">
        <f t="shared" si="1066"/>
        <v>0</v>
      </c>
      <c r="AE432" s="36">
        <f t="shared" si="1066"/>
        <v>0</v>
      </c>
      <c r="AF432" s="36">
        <f t="shared" si="1066"/>
        <v>0</v>
      </c>
      <c r="AG432" s="36">
        <f t="shared" si="1066"/>
        <v>0</v>
      </c>
      <c r="AH432" s="36">
        <f t="shared" si="1066"/>
        <v>0</v>
      </c>
      <c r="BH432" s="2" t="s">
        <v>575</v>
      </c>
      <c r="BI432" s="2">
        <v>3000</v>
      </c>
      <c r="BJ432" s="2">
        <v>500</v>
      </c>
      <c r="BN432" s="2">
        <v>1333</v>
      </c>
    </row>
    <row r="433" spans="2:66" ht="17.399999999999999" thickBot="1">
      <c r="B433" s="40" t="s">
        <v>558</v>
      </c>
      <c r="C433" s="41"/>
      <c r="D433" s="42">
        <f>D431/12</f>
        <v>0</v>
      </c>
      <c r="E433" s="42">
        <f t="shared" ref="E433:AH433" si="1067">E431/12</f>
        <v>0</v>
      </c>
      <c r="F433" s="42">
        <f t="shared" si="1067"/>
        <v>0</v>
      </c>
      <c r="G433" s="42">
        <f t="shared" si="1067"/>
        <v>0</v>
      </c>
      <c r="H433" s="42">
        <f t="shared" si="1067"/>
        <v>0</v>
      </c>
      <c r="I433" s="42">
        <f t="shared" si="1067"/>
        <v>0</v>
      </c>
      <c r="J433" s="42">
        <f t="shared" si="1067"/>
        <v>0</v>
      </c>
      <c r="K433" s="42">
        <f t="shared" si="1067"/>
        <v>0</v>
      </c>
      <c r="L433" s="42">
        <f t="shared" si="1067"/>
        <v>0</v>
      </c>
      <c r="M433" s="42">
        <f t="shared" si="1067"/>
        <v>0</v>
      </c>
      <c r="N433" s="42">
        <f t="shared" si="1067"/>
        <v>0</v>
      </c>
      <c r="O433" s="42">
        <f t="shared" si="1067"/>
        <v>0</v>
      </c>
      <c r="P433" s="42">
        <f t="shared" si="1067"/>
        <v>0</v>
      </c>
      <c r="Q433" s="42">
        <f t="shared" si="1067"/>
        <v>0</v>
      </c>
      <c r="R433" s="42">
        <f t="shared" si="1067"/>
        <v>0</v>
      </c>
      <c r="S433" s="42">
        <f t="shared" si="1067"/>
        <v>0</v>
      </c>
      <c r="T433" s="42">
        <f t="shared" si="1067"/>
        <v>0</v>
      </c>
      <c r="U433" s="42">
        <f t="shared" si="1067"/>
        <v>0</v>
      </c>
      <c r="V433" s="42">
        <f t="shared" si="1067"/>
        <v>0</v>
      </c>
      <c r="W433" s="42">
        <f t="shared" si="1067"/>
        <v>0</v>
      </c>
      <c r="X433" s="42">
        <f t="shared" si="1067"/>
        <v>0</v>
      </c>
      <c r="Y433" s="42">
        <f t="shared" si="1067"/>
        <v>0</v>
      </c>
      <c r="Z433" s="42">
        <f t="shared" si="1067"/>
        <v>0</v>
      </c>
      <c r="AA433" s="42">
        <f t="shared" si="1067"/>
        <v>0</v>
      </c>
      <c r="AB433" s="42">
        <f t="shared" si="1067"/>
        <v>0</v>
      </c>
      <c r="AC433" s="42">
        <f t="shared" si="1067"/>
        <v>0</v>
      </c>
      <c r="AD433" s="42">
        <f t="shared" si="1067"/>
        <v>0</v>
      </c>
      <c r="AE433" s="42">
        <f t="shared" si="1067"/>
        <v>0</v>
      </c>
      <c r="AF433" s="42">
        <f t="shared" si="1067"/>
        <v>0</v>
      </c>
      <c r="AG433" s="42">
        <f t="shared" si="1067"/>
        <v>0</v>
      </c>
      <c r="AH433" s="42">
        <f t="shared" si="1067"/>
        <v>0</v>
      </c>
      <c r="BH433" s="2" t="s">
        <v>575</v>
      </c>
      <c r="BI433" s="2">
        <v>400</v>
      </c>
      <c r="BJ433" s="2">
        <v>600</v>
      </c>
      <c r="BN433" s="2">
        <v>184</v>
      </c>
    </row>
    <row r="434" spans="2:66">
      <c r="BH434" s="2" t="s">
        <v>575</v>
      </c>
      <c r="BI434" s="2">
        <v>500</v>
      </c>
      <c r="BJ434" s="2">
        <v>600</v>
      </c>
      <c r="BN434" s="2">
        <v>231</v>
      </c>
    </row>
    <row r="435" spans="2:66" ht="29.4">
      <c r="B435" s="534" t="s">
        <v>588</v>
      </c>
      <c r="BH435" s="2" t="s">
        <v>575</v>
      </c>
      <c r="BI435" s="2">
        <v>600</v>
      </c>
      <c r="BJ435" s="2">
        <v>600</v>
      </c>
      <c r="BN435" s="2">
        <v>277</v>
      </c>
    </row>
    <row r="436" spans="2:66">
      <c r="B436" s="23" t="s">
        <v>589</v>
      </c>
      <c r="C436" s="23">
        <f>Allgemein!$C$142</f>
        <v>0.04</v>
      </c>
      <c r="E436" s="2" t="s">
        <v>590</v>
      </c>
      <c r="G436" s="2">
        <f>Allgemein!C134</f>
        <v>0</v>
      </c>
      <c r="I436" s="2" t="s">
        <v>591</v>
      </c>
      <c r="J436" s="2">
        <f>Allgemein!C132</f>
        <v>0</v>
      </c>
      <c r="M436" s="2" t="s">
        <v>592</v>
      </c>
      <c r="N436" s="23" t="e">
        <f>Allgemein!H137/100</f>
        <v>#DIV/0!</v>
      </c>
      <c r="O436" s="2" t="s">
        <v>593</v>
      </c>
      <c r="P436" s="185">
        <f>Allgemein!O38+IF(J436="Ja",Datenbank!G437,0)</f>
        <v>0</v>
      </c>
      <c r="Q436" s="2" t="s">
        <v>594</v>
      </c>
      <c r="S436" s="185" t="e">
        <f>P437-U436</f>
        <v>#DIV/0!</v>
      </c>
      <c r="T436" s="2" t="s">
        <v>235</v>
      </c>
      <c r="U436" s="2" t="e">
        <f>P436*(N436)</f>
        <v>#DIV/0!</v>
      </c>
      <c r="BH436" s="2" t="s">
        <v>575</v>
      </c>
      <c r="BI436" s="2">
        <v>700</v>
      </c>
      <c r="BJ436" s="2">
        <v>600</v>
      </c>
      <c r="BN436" s="2">
        <v>323</v>
      </c>
    </row>
    <row r="437" spans="2:66">
      <c r="B437" s="51" t="s">
        <v>595</v>
      </c>
      <c r="C437" s="23">
        <f>Allgemein!$C$140</f>
        <v>0.02</v>
      </c>
      <c r="E437" s="2" t="s">
        <v>596</v>
      </c>
      <c r="G437" s="2">
        <f>Allgemein!C135</f>
        <v>0</v>
      </c>
      <c r="I437" s="2" t="s">
        <v>597</v>
      </c>
      <c r="J437" s="2">
        <f>Allgemein!H122</f>
        <v>0</v>
      </c>
      <c r="K437" s="186" t="str">
        <f>Allgemein!H123</f>
        <v>10</v>
      </c>
      <c r="M437" s="2" t="s">
        <v>598</v>
      </c>
      <c r="N437" s="23">
        <f>Allgemein!H125/100</f>
        <v>0.6</v>
      </c>
      <c r="O437" s="2" t="s">
        <v>599</v>
      </c>
      <c r="P437" s="2">
        <f>K437*900</f>
        <v>9000</v>
      </c>
      <c r="Q437" s="2" t="s">
        <v>600</v>
      </c>
      <c r="S437" s="185" t="e">
        <f>P436-U436</f>
        <v>#DIV/0!</v>
      </c>
      <c r="AC437" s="548"/>
      <c r="BH437" s="2" t="s">
        <v>575</v>
      </c>
      <c r="BI437" s="2">
        <v>800</v>
      </c>
      <c r="BJ437" s="2">
        <v>600</v>
      </c>
      <c r="BN437" s="2">
        <v>369</v>
      </c>
    </row>
    <row r="438" spans="2:66">
      <c r="B438" s="4" t="s">
        <v>627</v>
      </c>
      <c r="C438" s="4"/>
      <c r="D438" s="4">
        <v>2025</v>
      </c>
      <c r="E438" s="4">
        <v>2026</v>
      </c>
      <c r="F438" s="4">
        <v>2027</v>
      </c>
      <c r="G438" s="4">
        <v>2028</v>
      </c>
      <c r="H438" s="4">
        <v>2029</v>
      </c>
      <c r="I438" s="4">
        <v>2030</v>
      </c>
      <c r="J438" s="4">
        <v>2031</v>
      </c>
      <c r="K438" s="4">
        <v>2032</v>
      </c>
      <c r="L438" s="4">
        <v>2033</v>
      </c>
      <c r="M438" s="4">
        <v>2034</v>
      </c>
      <c r="N438" s="4">
        <v>2035</v>
      </c>
      <c r="O438" s="4">
        <v>2036</v>
      </c>
      <c r="P438" s="4">
        <v>2037</v>
      </c>
      <c r="Q438" s="4">
        <v>2038</v>
      </c>
      <c r="R438" s="4">
        <v>2039</v>
      </c>
      <c r="S438" s="4">
        <v>2040</v>
      </c>
      <c r="T438" s="4">
        <v>2041</v>
      </c>
      <c r="U438" s="4">
        <v>2042</v>
      </c>
      <c r="V438" s="4">
        <v>2043</v>
      </c>
      <c r="W438" s="4">
        <v>2044</v>
      </c>
      <c r="X438" s="4">
        <v>2045</v>
      </c>
      <c r="Y438" s="4">
        <v>2046</v>
      </c>
      <c r="Z438" s="4">
        <v>2047</v>
      </c>
      <c r="AA438" s="4">
        <v>2048</v>
      </c>
      <c r="AB438" s="4">
        <v>2049</v>
      </c>
      <c r="AC438" s="4">
        <v>2050</v>
      </c>
      <c r="AD438" s="4">
        <v>2051</v>
      </c>
      <c r="AE438" s="4">
        <v>2052</v>
      </c>
      <c r="AF438" s="4">
        <v>2053</v>
      </c>
      <c r="AG438" s="4">
        <v>2054</v>
      </c>
      <c r="AH438" s="548"/>
      <c r="BH438" s="2" t="s">
        <v>575</v>
      </c>
      <c r="BI438" s="2">
        <v>900</v>
      </c>
      <c r="BJ438" s="2">
        <v>600</v>
      </c>
      <c r="BN438" s="2">
        <v>415</v>
      </c>
    </row>
    <row r="439" spans="2:66" ht="17.399999999999999" thickBot="1">
      <c r="B439" s="51"/>
      <c r="C439" s="23"/>
      <c r="BH439" s="2" t="s">
        <v>575</v>
      </c>
      <c r="BI439" s="2">
        <v>1000</v>
      </c>
      <c r="BJ439" s="2">
        <v>600</v>
      </c>
      <c r="BN439" s="2">
        <v>461</v>
      </c>
    </row>
    <row r="440" spans="2:66" ht="19.2" thickBot="1">
      <c r="B440" s="94" t="s">
        <v>326</v>
      </c>
      <c r="C440" s="29"/>
      <c r="D440" s="52"/>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BH440" s="2" t="s">
        <v>575</v>
      </c>
      <c r="BI440" s="2">
        <v>1100</v>
      </c>
      <c r="BJ440" s="2">
        <v>600</v>
      </c>
      <c r="BN440" s="2">
        <v>507</v>
      </c>
    </row>
    <row r="441" spans="2:66" ht="17.399999999999999" thickBot="1">
      <c r="B441" s="914"/>
      <c r="C441" s="915"/>
      <c r="D441" s="916">
        <v>1</v>
      </c>
      <c r="E441" s="917">
        <v>2</v>
      </c>
      <c r="F441" s="916">
        <v>3</v>
      </c>
      <c r="G441" s="916">
        <v>4</v>
      </c>
      <c r="H441" s="917">
        <v>5</v>
      </c>
      <c r="I441" s="916">
        <v>6</v>
      </c>
      <c r="J441" s="916">
        <v>7</v>
      </c>
      <c r="K441" s="917">
        <v>8</v>
      </c>
      <c r="L441" s="916">
        <v>9</v>
      </c>
      <c r="M441" s="916">
        <v>10</v>
      </c>
      <c r="N441" s="917">
        <v>11</v>
      </c>
      <c r="O441" s="916">
        <v>12</v>
      </c>
      <c r="P441" s="916">
        <v>13</v>
      </c>
      <c r="Q441" s="917">
        <v>14</v>
      </c>
      <c r="R441" s="916">
        <v>15</v>
      </c>
      <c r="S441" s="916">
        <v>16</v>
      </c>
      <c r="T441" s="917">
        <v>17</v>
      </c>
      <c r="U441" s="916">
        <v>18</v>
      </c>
      <c r="V441" s="916">
        <v>19</v>
      </c>
      <c r="W441" s="917">
        <v>20</v>
      </c>
      <c r="X441" s="916">
        <v>21</v>
      </c>
      <c r="Y441" s="916">
        <v>22</v>
      </c>
      <c r="Z441" s="917">
        <v>23</v>
      </c>
      <c r="AA441" s="916">
        <v>24</v>
      </c>
      <c r="AB441" s="916">
        <v>25</v>
      </c>
      <c r="AC441" s="917">
        <v>26</v>
      </c>
      <c r="AD441" s="916">
        <v>27</v>
      </c>
      <c r="AE441" s="916">
        <v>28</v>
      </c>
      <c r="AF441" s="917">
        <v>29</v>
      </c>
      <c r="AG441" s="918">
        <v>30</v>
      </c>
      <c r="AH441" s="95"/>
      <c r="AI441" s="95"/>
      <c r="AJ441" s="95"/>
      <c r="AK441" s="53"/>
      <c r="BH441" s="2" t="s">
        <v>575</v>
      </c>
      <c r="BI441" s="2">
        <v>1200</v>
      </c>
      <c r="BJ441" s="2">
        <v>600</v>
      </c>
      <c r="BN441" s="2">
        <v>553</v>
      </c>
    </row>
    <row r="442" spans="2:66">
      <c r="B442" s="63" t="s">
        <v>601</v>
      </c>
      <c r="C442" s="53"/>
      <c r="D442" s="64" t="e">
        <f>Allgemein!$O$17/Allgemein!$L$19</f>
        <v>#DIV/0!</v>
      </c>
      <c r="E442" s="64" t="e">
        <f t="shared" ref="E442" si="1068">D442*(1+$C$95)</f>
        <v>#DIV/0!</v>
      </c>
      <c r="F442" s="64" t="e">
        <f t="shared" ref="F442" si="1069">E442*(1+$C$95)</f>
        <v>#DIV/0!</v>
      </c>
      <c r="G442" s="64" t="e">
        <f t="shared" ref="G442" si="1070">F442*(1+$C$95)</f>
        <v>#DIV/0!</v>
      </c>
      <c r="H442" s="64" t="e">
        <f t="shared" ref="H442" si="1071">G442*(1+$C$95)</f>
        <v>#DIV/0!</v>
      </c>
      <c r="I442" s="64" t="e">
        <f t="shared" ref="I442" si="1072">H442*(1+$C$95)</f>
        <v>#DIV/0!</v>
      </c>
      <c r="J442" s="64" t="e">
        <f t="shared" ref="J442" si="1073">I442*(1+$C$95)</f>
        <v>#DIV/0!</v>
      </c>
      <c r="K442" s="64" t="e">
        <f t="shared" ref="K442" si="1074">J442*(1+$C$95)</f>
        <v>#DIV/0!</v>
      </c>
      <c r="L442" s="64" t="e">
        <f t="shared" ref="L442" si="1075">K442*(1+$C$95)</f>
        <v>#DIV/0!</v>
      </c>
      <c r="M442" s="64" t="e">
        <f t="shared" ref="M442" si="1076">L442*(1+$C$95)</f>
        <v>#DIV/0!</v>
      </c>
      <c r="N442" s="64" t="e">
        <f t="shared" ref="N442" si="1077">M442*(1+$C$95)</f>
        <v>#DIV/0!</v>
      </c>
      <c r="O442" s="64" t="e">
        <f t="shared" ref="O442" si="1078">N442*(1+$C$95)</f>
        <v>#DIV/0!</v>
      </c>
      <c r="P442" s="64" t="e">
        <f t="shared" ref="P442" si="1079">O442*(1+$C$95)</f>
        <v>#DIV/0!</v>
      </c>
      <c r="Q442" s="64" t="e">
        <f t="shared" ref="Q442" si="1080">P442*(1+$C$95)</f>
        <v>#DIV/0!</v>
      </c>
      <c r="R442" s="64" t="e">
        <f t="shared" ref="R442" si="1081">Q442*(1+$C$95)</f>
        <v>#DIV/0!</v>
      </c>
      <c r="S442" s="64" t="e">
        <f t="shared" ref="S442" si="1082">R442*(1+$C$95)</f>
        <v>#DIV/0!</v>
      </c>
      <c r="T442" s="64" t="e">
        <f t="shared" ref="T442" si="1083">S442*(1+$C$95)</f>
        <v>#DIV/0!</v>
      </c>
      <c r="U442" s="64" t="e">
        <f t="shared" ref="U442" si="1084">T442*(1+$C$95)</f>
        <v>#DIV/0!</v>
      </c>
      <c r="V442" s="64" t="e">
        <f t="shared" ref="V442" si="1085">U442*(1+$C$95)</f>
        <v>#DIV/0!</v>
      </c>
      <c r="W442" s="64" t="e">
        <f t="shared" ref="W442" si="1086">V442*(1+$C$95)</f>
        <v>#DIV/0!</v>
      </c>
      <c r="X442" s="64" t="e">
        <f t="shared" ref="X442" si="1087">W442*(1+$C$95)</f>
        <v>#DIV/0!</v>
      </c>
      <c r="Y442" s="64" t="e">
        <f t="shared" ref="Y442" si="1088">X442*(1+$C$95)</f>
        <v>#DIV/0!</v>
      </c>
      <c r="Z442" s="64" t="e">
        <f t="shared" ref="Z442" si="1089">Y442*(1+$C$95)</f>
        <v>#DIV/0!</v>
      </c>
      <c r="AA442" s="64" t="e">
        <f t="shared" ref="AA442" si="1090">Z442*(1+$C$95)</f>
        <v>#DIV/0!</v>
      </c>
      <c r="AB442" s="64" t="e">
        <f t="shared" ref="AB442" si="1091">AA442*(1+$C$95)</f>
        <v>#DIV/0!</v>
      </c>
      <c r="AC442" s="64" t="e">
        <f t="shared" ref="AC442" si="1092">AB442*(1+$C$95)</f>
        <v>#DIV/0!</v>
      </c>
      <c r="AD442" s="64" t="e">
        <f t="shared" ref="AD442" si="1093">AC442*(1+$C$95)</f>
        <v>#DIV/0!</v>
      </c>
      <c r="AE442" s="64" t="e">
        <f t="shared" ref="AE442" si="1094">AD442*(1+$C$95)</f>
        <v>#DIV/0!</v>
      </c>
      <c r="AF442" s="64" t="e">
        <f t="shared" ref="AF442" si="1095">AE442*(1+$C$95)</f>
        <v>#DIV/0!</v>
      </c>
      <c r="AG442" s="65" t="e">
        <f t="shared" ref="AG442" si="1096">AF442*(1+$C$95)</f>
        <v>#DIV/0!</v>
      </c>
      <c r="AK442" s="47"/>
      <c r="BH442" s="2" t="s">
        <v>575</v>
      </c>
      <c r="BI442" s="2">
        <v>1400</v>
      </c>
      <c r="BJ442" s="2">
        <v>600</v>
      </c>
      <c r="BN442" s="2">
        <v>645</v>
      </c>
    </row>
    <row r="443" spans="2:66" ht="18.600000000000001">
      <c r="B443" s="46" t="s">
        <v>602</v>
      </c>
      <c r="C443" s="47"/>
      <c r="D443" s="75">
        <f>Allgemein!O39</f>
        <v>0</v>
      </c>
      <c r="E443" s="75">
        <f>D443*(1+$C$205)</f>
        <v>0</v>
      </c>
      <c r="F443" s="75">
        <f t="shared" ref="F443" si="1097">E443*(1+$C$205)</f>
        <v>0</v>
      </c>
      <c r="G443" s="75">
        <f t="shared" ref="G443" si="1098">F443*(1+$C$205)</f>
        <v>0</v>
      </c>
      <c r="H443" s="75">
        <f t="shared" ref="H443" si="1099">G443*(1+$C$205)</f>
        <v>0</v>
      </c>
      <c r="I443" s="75">
        <f t="shared" ref="I443" si="1100">H443*(1+$C$205)</f>
        <v>0</v>
      </c>
      <c r="J443" s="75">
        <f t="shared" ref="J443" si="1101">I443*(1+$C$205)</f>
        <v>0</v>
      </c>
      <c r="K443" s="75">
        <f t="shared" ref="K443" si="1102">J443*(1+$C$205)</f>
        <v>0</v>
      </c>
      <c r="L443" s="75">
        <f t="shared" ref="L443" si="1103">K443*(1+$C$205)</f>
        <v>0</v>
      </c>
      <c r="M443" s="75">
        <f t="shared" ref="M443" si="1104">L443*(1+$C$205)</f>
        <v>0</v>
      </c>
      <c r="N443" s="75">
        <f t="shared" ref="N443" si="1105">M443*(1+$C$205)</f>
        <v>0</v>
      </c>
      <c r="O443" s="75">
        <f t="shared" ref="O443" si="1106">N443*(1+$C$205)</f>
        <v>0</v>
      </c>
      <c r="P443" s="75">
        <f t="shared" ref="P443" si="1107">O443*(1+$C$205)</f>
        <v>0</v>
      </c>
      <c r="Q443" s="75">
        <f t="shared" ref="Q443" si="1108">P443*(1+$C$205)</f>
        <v>0</v>
      </c>
      <c r="R443" s="75">
        <f t="shared" ref="R443" si="1109">Q443*(1+$C$205)</f>
        <v>0</v>
      </c>
      <c r="S443" s="75">
        <f t="shared" ref="S443" si="1110">R443*(1+$C$205)</f>
        <v>0</v>
      </c>
      <c r="T443" s="75">
        <f t="shared" ref="T443" si="1111">S443*(1+$C$205)</f>
        <v>0</v>
      </c>
      <c r="U443" s="75">
        <f t="shared" ref="U443" si="1112">T443*(1+$C$205)</f>
        <v>0</v>
      </c>
      <c r="V443" s="75">
        <f t="shared" ref="V443" si="1113">U443*(1+$C$205)</f>
        <v>0</v>
      </c>
      <c r="W443" s="75">
        <f t="shared" ref="W443" si="1114">V443*(1+$C$205)</f>
        <v>0</v>
      </c>
      <c r="X443" s="75">
        <f t="shared" ref="X443" si="1115">W443*(1+$C$205)</f>
        <v>0</v>
      </c>
      <c r="Y443" s="75">
        <f t="shared" ref="Y443" si="1116">X443*(1+$C$205)</f>
        <v>0</v>
      </c>
      <c r="Z443" s="75">
        <f t="shared" ref="Z443" si="1117">Y443*(1+$C$205)</f>
        <v>0</v>
      </c>
      <c r="AA443" s="75">
        <f t="shared" ref="AA443" si="1118">Z443*(1+$C$205)</f>
        <v>0</v>
      </c>
      <c r="AB443" s="75">
        <f t="shared" ref="AB443" si="1119">AA443*(1+$C$205)</f>
        <v>0</v>
      </c>
      <c r="AC443" s="75">
        <f t="shared" ref="AC443" si="1120">AB443*(1+$C$205)</f>
        <v>0</v>
      </c>
      <c r="AD443" s="75">
        <f t="shared" ref="AD443" si="1121">AC443*(1+$C$205)</f>
        <v>0</v>
      </c>
      <c r="AE443" s="75">
        <f t="shared" ref="AE443" si="1122">AD443*(1+$C$205)</f>
        <v>0</v>
      </c>
      <c r="AF443" s="75">
        <f t="shared" ref="AF443" si="1123">AE443*(1+$C$205)</f>
        <v>0</v>
      </c>
      <c r="AG443" s="912">
        <f t="shared" ref="AG443" si="1124">AF443*(1+$C$205)</f>
        <v>0</v>
      </c>
      <c r="AI443" s="62" t="s">
        <v>79</v>
      </c>
      <c r="AJ443" s="62" t="s">
        <v>603</v>
      </c>
      <c r="AK443" s="47"/>
      <c r="AN443" s="2" t="s">
        <v>328</v>
      </c>
      <c r="AO443" s="2" t="s">
        <v>329</v>
      </c>
      <c r="BH443" s="2" t="s">
        <v>575</v>
      </c>
      <c r="BI443" s="2">
        <v>1600</v>
      </c>
      <c r="BJ443" s="2">
        <v>600</v>
      </c>
      <c r="BN443" s="2">
        <v>738</v>
      </c>
    </row>
    <row r="444" spans="2:66" ht="18.600000000000001">
      <c r="B444" s="96" t="s">
        <v>366</v>
      </c>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79" t="s">
        <v>366</v>
      </c>
      <c r="AJ444" s="11"/>
      <c r="AK444" s="100"/>
      <c r="AM444" s="2" t="s">
        <v>150</v>
      </c>
      <c r="AO444" s="24">
        <f>Allgemein!F104</f>
        <v>0</v>
      </c>
      <c r="BH444" s="2" t="s">
        <v>575</v>
      </c>
      <c r="BI444" s="2">
        <v>1800</v>
      </c>
      <c r="BJ444" s="2">
        <v>600</v>
      </c>
      <c r="BN444" s="2">
        <v>830</v>
      </c>
    </row>
    <row r="445" spans="2:66">
      <c r="B445" s="46" t="s">
        <v>604</v>
      </c>
      <c r="D445" s="54">
        <f>Allgemein!$L$14*D443</f>
        <v>0</v>
      </c>
      <c r="E445" s="54">
        <f>Allgemein!$L$14*E443</f>
        <v>0</v>
      </c>
      <c r="F445" s="54">
        <f>Allgemein!$L$14*F443</f>
        <v>0</v>
      </c>
      <c r="G445" s="54">
        <f>Allgemein!$L$14*G443</f>
        <v>0</v>
      </c>
      <c r="H445" s="54">
        <f>Allgemein!$L$14*H443</f>
        <v>0</v>
      </c>
      <c r="I445" s="54">
        <f>Allgemein!$L$14*I443</f>
        <v>0</v>
      </c>
      <c r="J445" s="54">
        <f>Allgemein!$L$14*J443</f>
        <v>0</v>
      </c>
      <c r="K445" s="54">
        <f>Allgemein!$L$14*K443</f>
        <v>0</v>
      </c>
      <c r="L445" s="54">
        <f>Allgemein!$L$14*L443</f>
        <v>0</v>
      </c>
      <c r="M445" s="54">
        <f>Allgemein!$L$14*M443</f>
        <v>0</v>
      </c>
      <c r="N445" s="54">
        <f>Allgemein!$L$14*N443</f>
        <v>0</v>
      </c>
      <c r="O445" s="54">
        <f>Allgemein!$L$14*O443</f>
        <v>0</v>
      </c>
      <c r="P445" s="54">
        <f>Allgemein!$L$14*P443</f>
        <v>0</v>
      </c>
      <c r="Q445" s="54">
        <f>Allgemein!$L$14*Q443</f>
        <v>0</v>
      </c>
      <c r="R445" s="54">
        <f>Allgemein!$L$14*R443</f>
        <v>0</v>
      </c>
      <c r="S445" s="54">
        <f>Allgemein!$L$14*S443</f>
        <v>0</v>
      </c>
      <c r="T445" s="54">
        <f>Allgemein!$L$14*T443</f>
        <v>0</v>
      </c>
      <c r="U445" s="54">
        <f>Allgemein!$L$14*U443</f>
        <v>0</v>
      </c>
      <c r="V445" s="54">
        <f>Allgemein!$L$14*V443</f>
        <v>0</v>
      </c>
      <c r="W445" s="54">
        <f>Allgemein!$L$14*W443</f>
        <v>0</v>
      </c>
      <c r="X445" s="54">
        <f>Allgemein!$L$14*X443</f>
        <v>0</v>
      </c>
      <c r="Y445" s="54">
        <f>Allgemein!$L$14*Y443</f>
        <v>0</v>
      </c>
      <c r="Z445" s="54">
        <f>Allgemein!$L$14*Z443</f>
        <v>0</v>
      </c>
      <c r="AA445" s="54">
        <f>Allgemein!$L$14*AA443</f>
        <v>0</v>
      </c>
      <c r="AB445" s="54">
        <f>Allgemein!$L$14*AB443</f>
        <v>0</v>
      </c>
      <c r="AC445" s="54">
        <f>Allgemein!$L$14*AC443</f>
        <v>0</v>
      </c>
      <c r="AD445" s="54">
        <f>Allgemein!$L$14*AD443</f>
        <v>0</v>
      </c>
      <c r="AE445" s="54">
        <f>Allgemein!$L$14*AE443</f>
        <v>0</v>
      </c>
      <c r="AF445" s="54">
        <f>Allgemein!$L$14*AF443</f>
        <v>0</v>
      </c>
      <c r="AG445" s="54">
        <f>Allgemein!$L$14*AG443</f>
        <v>0</v>
      </c>
      <c r="AH445" s="84"/>
      <c r="AI445" s="85">
        <f>SUM(D445:AG445)</f>
        <v>0</v>
      </c>
      <c r="AJ445" s="84"/>
      <c r="AK445" s="103"/>
      <c r="AM445" s="2" t="str">
        <f>IF(AO445=0,"","Kreditkosten")</f>
        <v/>
      </c>
      <c r="AO445" s="24">
        <v>0</v>
      </c>
      <c r="AP445" s="184">
        <f>AH426</f>
        <v>0</v>
      </c>
      <c r="BH445" s="2" t="s">
        <v>575</v>
      </c>
      <c r="BI445" s="2">
        <v>2000</v>
      </c>
      <c r="BJ445" s="2">
        <v>600</v>
      </c>
      <c r="BN445" s="2">
        <v>922</v>
      </c>
    </row>
    <row r="446" spans="2:66">
      <c r="B446" s="46" t="s">
        <v>605</v>
      </c>
      <c r="D446" s="54" t="e">
        <f>Allgemein!$K$40</f>
        <v>#DIV/0!</v>
      </c>
      <c r="E446" s="54" t="e">
        <f>D446*(1+$C$321)</f>
        <v>#DIV/0!</v>
      </c>
      <c r="F446" s="54" t="e">
        <f t="shared" ref="F446:AG446" si="1125">E446*(1+$C$321)</f>
        <v>#DIV/0!</v>
      </c>
      <c r="G446" s="54" t="e">
        <f t="shared" si="1125"/>
        <v>#DIV/0!</v>
      </c>
      <c r="H446" s="54" t="e">
        <f t="shared" si="1125"/>
        <v>#DIV/0!</v>
      </c>
      <c r="I446" s="54" t="e">
        <f t="shared" si="1125"/>
        <v>#DIV/0!</v>
      </c>
      <c r="J446" s="54" t="e">
        <f t="shared" si="1125"/>
        <v>#DIV/0!</v>
      </c>
      <c r="K446" s="54" t="e">
        <f t="shared" si="1125"/>
        <v>#DIV/0!</v>
      </c>
      <c r="L446" s="54" t="e">
        <f t="shared" si="1125"/>
        <v>#DIV/0!</v>
      </c>
      <c r="M446" s="54" t="e">
        <f t="shared" si="1125"/>
        <v>#DIV/0!</v>
      </c>
      <c r="N446" s="54" t="e">
        <f t="shared" si="1125"/>
        <v>#DIV/0!</v>
      </c>
      <c r="O446" s="54" t="e">
        <f t="shared" si="1125"/>
        <v>#DIV/0!</v>
      </c>
      <c r="P446" s="54" t="e">
        <f t="shared" si="1125"/>
        <v>#DIV/0!</v>
      </c>
      <c r="Q446" s="54" t="e">
        <f t="shared" si="1125"/>
        <v>#DIV/0!</v>
      </c>
      <c r="R446" s="54" t="e">
        <f t="shared" si="1125"/>
        <v>#DIV/0!</v>
      </c>
      <c r="S446" s="54" t="e">
        <f t="shared" si="1125"/>
        <v>#DIV/0!</v>
      </c>
      <c r="T446" s="54" t="e">
        <f t="shared" si="1125"/>
        <v>#DIV/0!</v>
      </c>
      <c r="U446" s="54" t="e">
        <f t="shared" si="1125"/>
        <v>#DIV/0!</v>
      </c>
      <c r="V446" s="54" t="e">
        <f t="shared" si="1125"/>
        <v>#DIV/0!</v>
      </c>
      <c r="W446" s="54" t="e">
        <f t="shared" si="1125"/>
        <v>#DIV/0!</v>
      </c>
      <c r="X446" s="54" t="e">
        <f t="shared" si="1125"/>
        <v>#DIV/0!</v>
      </c>
      <c r="Y446" s="54" t="e">
        <f t="shared" si="1125"/>
        <v>#DIV/0!</v>
      </c>
      <c r="Z446" s="54" t="e">
        <f t="shared" si="1125"/>
        <v>#DIV/0!</v>
      </c>
      <c r="AA446" s="54" t="e">
        <f t="shared" si="1125"/>
        <v>#DIV/0!</v>
      </c>
      <c r="AB446" s="54" t="e">
        <f t="shared" si="1125"/>
        <v>#DIV/0!</v>
      </c>
      <c r="AC446" s="54" t="e">
        <f t="shared" si="1125"/>
        <v>#DIV/0!</v>
      </c>
      <c r="AD446" s="54" t="e">
        <f t="shared" si="1125"/>
        <v>#DIV/0!</v>
      </c>
      <c r="AE446" s="54" t="e">
        <f t="shared" si="1125"/>
        <v>#DIV/0!</v>
      </c>
      <c r="AF446" s="54" t="e">
        <f t="shared" si="1125"/>
        <v>#DIV/0!</v>
      </c>
      <c r="AG446" s="54" t="e">
        <f t="shared" si="1125"/>
        <v>#DIV/0!</v>
      </c>
      <c r="AH446" s="86" t="s">
        <v>369</v>
      </c>
      <c r="AI446" s="87" t="e">
        <f>SUM(D446:AG446)</f>
        <v>#DIV/0!</v>
      </c>
      <c r="AJ446" s="90"/>
      <c r="AK446" s="47"/>
      <c r="AM446" s="2" t="s">
        <v>149</v>
      </c>
      <c r="AN446" s="24" t="e">
        <f>AJ460</f>
        <v>#DIV/0!</v>
      </c>
      <c r="BH446" s="2" t="s">
        <v>575</v>
      </c>
      <c r="BI446" s="2">
        <v>2200</v>
      </c>
      <c r="BJ446" s="2">
        <v>600</v>
      </c>
      <c r="BN446" s="2">
        <v>1014</v>
      </c>
    </row>
    <row r="447" spans="2:66">
      <c r="B447" s="46" t="s">
        <v>606</v>
      </c>
      <c r="D447" s="54" t="e">
        <f t="shared" ref="D447:AG447" si="1126">D446+D445</f>
        <v>#DIV/0!</v>
      </c>
      <c r="E447" s="54" t="e">
        <f t="shared" si="1126"/>
        <v>#DIV/0!</v>
      </c>
      <c r="F447" s="54" t="e">
        <f t="shared" si="1126"/>
        <v>#DIV/0!</v>
      </c>
      <c r="G447" s="54" t="e">
        <f t="shared" si="1126"/>
        <v>#DIV/0!</v>
      </c>
      <c r="H447" s="54" t="e">
        <f t="shared" si="1126"/>
        <v>#DIV/0!</v>
      </c>
      <c r="I447" s="54" t="e">
        <f t="shared" si="1126"/>
        <v>#DIV/0!</v>
      </c>
      <c r="J447" s="54" t="e">
        <f t="shared" si="1126"/>
        <v>#DIV/0!</v>
      </c>
      <c r="K447" s="54" t="e">
        <f t="shared" si="1126"/>
        <v>#DIV/0!</v>
      </c>
      <c r="L447" s="54" t="e">
        <f t="shared" si="1126"/>
        <v>#DIV/0!</v>
      </c>
      <c r="M447" s="54" t="e">
        <f t="shared" si="1126"/>
        <v>#DIV/0!</v>
      </c>
      <c r="N447" s="54" t="e">
        <f t="shared" si="1126"/>
        <v>#DIV/0!</v>
      </c>
      <c r="O447" s="54" t="e">
        <f t="shared" si="1126"/>
        <v>#DIV/0!</v>
      </c>
      <c r="P447" s="54" t="e">
        <f t="shared" si="1126"/>
        <v>#DIV/0!</v>
      </c>
      <c r="Q447" s="54" t="e">
        <f t="shared" si="1126"/>
        <v>#DIV/0!</v>
      </c>
      <c r="R447" s="54" t="e">
        <f t="shared" si="1126"/>
        <v>#DIV/0!</v>
      </c>
      <c r="S447" s="54" t="e">
        <f t="shared" si="1126"/>
        <v>#DIV/0!</v>
      </c>
      <c r="T447" s="54" t="e">
        <f t="shared" si="1126"/>
        <v>#DIV/0!</v>
      </c>
      <c r="U447" s="54" t="e">
        <f t="shared" si="1126"/>
        <v>#DIV/0!</v>
      </c>
      <c r="V447" s="54" t="e">
        <f t="shared" si="1126"/>
        <v>#DIV/0!</v>
      </c>
      <c r="W447" s="54" t="e">
        <f t="shared" si="1126"/>
        <v>#DIV/0!</v>
      </c>
      <c r="X447" s="54" t="e">
        <f t="shared" si="1126"/>
        <v>#DIV/0!</v>
      </c>
      <c r="Y447" s="54" t="e">
        <f t="shared" si="1126"/>
        <v>#DIV/0!</v>
      </c>
      <c r="Z447" s="54" t="e">
        <f t="shared" si="1126"/>
        <v>#DIV/0!</v>
      </c>
      <c r="AA447" s="54" t="e">
        <f t="shared" si="1126"/>
        <v>#DIV/0!</v>
      </c>
      <c r="AB447" s="54" t="e">
        <f t="shared" si="1126"/>
        <v>#DIV/0!</v>
      </c>
      <c r="AC447" s="54" t="e">
        <f t="shared" si="1126"/>
        <v>#DIV/0!</v>
      </c>
      <c r="AD447" s="54" t="e">
        <f t="shared" si="1126"/>
        <v>#DIV/0!</v>
      </c>
      <c r="AE447" s="54" t="e">
        <f t="shared" si="1126"/>
        <v>#DIV/0!</v>
      </c>
      <c r="AF447" s="54" t="e">
        <f t="shared" si="1126"/>
        <v>#DIV/0!</v>
      </c>
      <c r="AG447" s="54" t="e">
        <f t="shared" si="1126"/>
        <v>#DIV/0!</v>
      </c>
      <c r="AH447" s="88"/>
      <c r="AI447" s="89" t="e">
        <f>SUM(D447:AG447)</f>
        <v>#DIV/0!</v>
      </c>
      <c r="AJ447" s="90"/>
      <c r="AK447" s="47"/>
      <c r="AN447" s="24"/>
    </row>
    <row r="448" spans="2:66">
      <c r="B448" s="895" t="s">
        <v>607</v>
      </c>
      <c r="D448" s="54" t="e">
        <f>D447/12</f>
        <v>#DIV/0!</v>
      </c>
      <c r="E448" s="54" t="e">
        <f>E447/12</f>
        <v>#DIV/0!</v>
      </c>
      <c r="F448" s="54" t="e">
        <f>F447/12</f>
        <v>#DIV/0!</v>
      </c>
      <c r="G448" s="54" t="e">
        <f t="shared" ref="G448" si="1127">G447/12</f>
        <v>#DIV/0!</v>
      </c>
      <c r="H448" s="54" t="e">
        <f t="shared" ref="H448" si="1128">H447/12</f>
        <v>#DIV/0!</v>
      </c>
      <c r="I448" s="54" t="e">
        <f t="shared" ref="I448" si="1129">I447/12</f>
        <v>#DIV/0!</v>
      </c>
      <c r="J448" s="54" t="e">
        <f t="shared" ref="J448" si="1130">J447/12</f>
        <v>#DIV/0!</v>
      </c>
      <c r="K448" s="54" t="e">
        <f t="shared" ref="K448" si="1131">K447/12</f>
        <v>#DIV/0!</v>
      </c>
      <c r="L448" s="54" t="e">
        <f t="shared" ref="L448" si="1132">L447/12</f>
        <v>#DIV/0!</v>
      </c>
      <c r="M448" s="54" t="e">
        <f t="shared" ref="M448" si="1133">M447/12</f>
        <v>#DIV/0!</v>
      </c>
      <c r="N448" s="54" t="e">
        <f t="shared" ref="N448" si="1134">N447/12</f>
        <v>#DIV/0!</v>
      </c>
      <c r="O448" s="54" t="e">
        <f t="shared" ref="O448" si="1135">O447/12</f>
        <v>#DIV/0!</v>
      </c>
      <c r="P448" s="54" t="e">
        <f t="shared" ref="P448" si="1136">P447/12</f>
        <v>#DIV/0!</v>
      </c>
      <c r="Q448" s="54" t="e">
        <f t="shared" ref="Q448" si="1137">Q447/12</f>
        <v>#DIV/0!</v>
      </c>
      <c r="R448" s="54" t="e">
        <f t="shared" ref="R448" si="1138">R447/12</f>
        <v>#DIV/0!</v>
      </c>
      <c r="S448" s="54" t="e">
        <f t="shared" ref="S448" si="1139">S447/12</f>
        <v>#DIV/0!</v>
      </c>
      <c r="T448" s="54" t="e">
        <f t="shared" ref="T448" si="1140">T447/12</f>
        <v>#DIV/0!</v>
      </c>
      <c r="U448" s="54" t="e">
        <f t="shared" ref="U448" si="1141">U447/12</f>
        <v>#DIV/0!</v>
      </c>
      <c r="V448" s="54" t="e">
        <f t="shared" ref="V448" si="1142">V447/12</f>
        <v>#DIV/0!</v>
      </c>
      <c r="W448" s="54" t="e">
        <f t="shared" ref="W448" si="1143">W447/12</f>
        <v>#DIV/0!</v>
      </c>
      <c r="X448" s="54" t="e">
        <f t="shared" ref="X448" si="1144">X447/12</f>
        <v>#DIV/0!</v>
      </c>
      <c r="Y448" s="54" t="e">
        <f t="shared" ref="Y448" si="1145">Y447/12</f>
        <v>#DIV/0!</v>
      </c>
      <c r="Z448" s="54" t="e">
        <f t="shared" ref="Z448" si="1146">Z447/12</f>
        <v>#DIV/0!</v>
      </c>
      <c r="AA448" s="54" t="e">
        <f t="shared" ref="AA448" si="1147">AA447/12</f>
        <v>#DIV/0!</v>
      </c>
      <c r="AB448" s="54" t="e">
        <f t="shared" ref="AB448" si="1148">AB447/12</f>
        <v>#DIV/0!</v>
      </c>
      <c r="AC448" s="54" t="e">
        <f t="shared" ref="AC448" si="1149">AC447/12</f>
        <v>#DIV/0!</v>
      </c>
      <c r="AD448" s="54" t="e">
        <f t="shared" ref="AD448" si="1150">AD447/12</f>
        <v>#DIV/0!</v>
      </c>
      <c r="AE448" s="54" t="e">
        <f t="shared" ref="AE448" si="1151">AE447/12</f>
        <v>#DIV/0!</v>
      </c>
      <c r="AF448" s="54" t="e">
        <f t="shared" ref="AF448" si="1152">AF447/12</f>
        <v>#DIV/0!</v>
      </c>
      <c r="AG448" s="54" t="e">
        <f t="shared" ref="AG448" si="1153">AG447/12</f>
        <v>#DIV/0!</v>
      </c>
      <c r="AJ448" s="88"/>
      <c r="AK448" s="98"/>
      <c r="AM448" s="2" t="s">
        <v>189</v>
      </c>
      <c r="AN448" s="24">
        <f>Allgemein!$N$118</f>
        <v>0</v>
      </c>
      <c r="BH448" s="2" t="s">
        <v>575</v>
      </c>
      <c r="BI448" s="2">
        <v>2300</v>
      </c>
      <c r="BJ448" s="2">
        <v>600</v>
      </c>
      <c r="BN448" s="2">
        <v>1186</v>
      </c>
    </row>
    <row r="449" spans="2:66" ht="18.600000000000001">
      <c r="B449" s="96" t="s">
        <v>398</v>
      </c>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80" t="s">
        <v>398</v>
      </c>
      <c r="AJ449" s="11"/>
      <c r="AK449" s="100"/>
      <c r="AM449" s="2" t="s">
        <v>63</v>
      </c>
      <c r="AN449" s="109">
        <f>Allgemein!P122</f>
        <v>0</v>
      </c>
      <c r="BH449" s="2" t="s">
        <v>575</v>
      </c>
      <c r="BI449" s="2">
        <v>2600</v>
      </c>
      <c r="BJ449" s="2">
        <v>600</v>
      </c>
      <c r="BN449" s="2">
        <v>1341</v>
      </c>
    </row>
    <row r="450" spans="2:66">
      <c r="B450" s="46" t="s">
        <v>608</v>
      </c>
      <c r="D450" s="66">
        <f>$G437*Datenbank!D443</f>
        <v>0</v>
      </c>
      <c r="E450" s="66">
        <f>$G437*Datenbank!E443</f>
        <v>0</v>
      </c>
      <c r="F450" s="66">
        <f>$G437*Datenbank!F443</f>
        <v>0</v>
      </c>
      <c r="G450" s="66">
        <f>$G437*Datenbank!G443</f>
        <v>0</v>
      </c>
      <c r="H450" s="66">
        <f>$G437*Datenbank!H443</f>
        <v>0</v>
      </c>
      <c r="I450" s="66">
        <f>$G437*Datenbank!I443</f>
        <v>0</v>
      </c>
      <c r="J450" s="66">
        <f>$G437*Datenbank!J443</f>
        <v>0</v>
      </c>
      <c r="K450" s="66">
        <f>$G437*Datenbank!K443</f>
        <v>0</v>
      </c>
      <c r="L450" s="66">
        <f>$G437*Datenbank!L443</f>
        <v>0</v>
      </c>
      <c r="M450" s="66">
        <f>$G437*Datenbank!M443</f>
        <v>0</v>
      </c>
      <c r="N450" s="66">
        <f>$G437*Datenbank!N443</f>
        <v>0</v>
      </c>
      <c r="O450" s="66">
        <f>$G437*Datenbank!O443</f>
        <v>0</v>
      </c>
      <c r="P450" s="66">
        <f>$G437*Datenbank!P443</f>
        <v>0</v>
      </c>
      <c r="Q450" s="66">
        <f>$G437*Datenbank!Q443</f>
        <v>0</v>
      </c>
      <c r="R450" s="66">
        <f>$G437*Datenbank!R443</f>
        <v>0</v>
      </c>
      <c r="S450" s="66">
        <f>$G437*Datenbank!S443</f>
        <v>0</v>
      </c>
      <c r="T450" s="66">
        <f>$G437*Datenbank!T443</f>
        <v>0</v>
      </c>
      <c r="U450" s="66">
        <f>$G437*Datenbank!U443</f>
        <v>0</v>
      </c>
      <c r="V450" s="66">
        <f>$G437*Datenbank!V443</f>
        <v>0</v>
      </c>
      <c r="W450" s="66">
        <f>$G437*Datenbank!W443</f>
        <v>0</v>
      </c>
      <c r="X450" s="66">
        <f>$G437*Datenbank!X443</f>
        <v>0</v>
      </c>
      <c r="Y450" s="66">
        <f>$G437*Datenbank!Y443</f>
        <v>0</v>
      </c>
      <c r="Z450" s="66">
        <f>$G437*Datenbank!Z443</f>
        <v>0</v>
      </c>
      <c r="AA450" s="66">
        <f>$G437*Datenbank!AA443</f>
        <v>0</v>
      </c>
      <c r="AB450" s="66">
        <f>$G437*Datenbank!AB443</f>
        <v>0</v>
      </c>
      <c r="AC450" s="66">
        <f>$G437*Datenbank!AC443</f>
        <v>0</v>
      </c>
      <c r="AD450" s="66">
        <f>$G437*Datenbank!AD443</f>
        <v>0</v>
      </c>
      <c r="AE450" s="66">
        <f>$G437*Datenbank!AE443</f>
        <v>0</v>
      </c>
      <c r="AF450" s="66">
        <f>$G437*Datenbank!AF443</f>
        <v>0</v>
      </c>
      <c r="AG450" s="66">
        <f>$G437*Datenbank!AG443</f>
        <v>0</v>
      </c>
      <c r="AH450" s="84"/>
      <c r="AI450" s="85">
        <f>SUM(D450:AG450)</f>
        <v>0</v>
      </c>
      <c r="AJ450" s="84"/>
      <c r="AK450" s="103"/>
      <c r="AM450" s="12" t="s">
        <v>185</v>
      </c>
      <c r="AN450" s="117">
        <f>Allgemein!L123</f>
        <v>0</v>
      </c>
      <c r="AO450" s="12"/>
      <c r="BH450" s="2" t="s">
        <v>575</v>
      </c>
      <c r="BI450" s="2">
        <v>3000</v>
      </c>
      <c r="BJ450" s="2">
        <v>600</v>
      </c>
      <c r="BN450" s="2">
        <v>1547</v>
      </c>
    </row>
    <row r="451" spans="2:66">
      <c r="B451" s="46" t="s">
        <v>609</v>
      </c>
      <c r="D451" s="55" t="e">
        <f>$G436*Datenbank!D442</f>
        <v>#DIV/0!</v>
      </c>
      <c r="E451" s="55" t="e">
        <f>$G436*Datenbank!E442</f>
        <v>#DIV/0!</v>
      </c>
      <c r="F451" s="55" t="e">
        <f>$G436*Datenbank!F442</f>
        <v>#DIV/0!</v>
      </c>
      <c r="G451" s="55" t="e">
        <f>$G436*Datenbank!G442</f>
        <v>#DIV/0!</v>
      </c>
      <c r="H451" s="55" t="e">
        <f>$G436*Datenbank!H442</f>
        <v>#DIV/0!</v>
      </c>
      <c r="I451" s="55" t="e">
        <f>$G436*Datenbank!I442</f>
        <v>#DIV/0!</v>
      </c>
      <c r="J451" s="55" t="e">
        <f>$G436*Datenbank!J442</f>
        <v>#DIV/0!</v>
      </c>
      <c r="K451" s="55" t="e">
        <f>$G436*Datenbank!K442</f>
        <v>#DIV/0!</v>
      </c>
      <c r="L451" s="55" t="e">
        <f>$G436*Datenbank!L442</f>
        <v>#DIV/0!</v>
      </c>
      <c r="M451" s="55" t="e">
        <f>$G436*Datenbank!M442</f>
        <v>#DIV/0!</v>
      </c>
      <c r="N451" s="55" t="e">
        <f>$G436*Datenbank!N442</f>
        <v>#DIV/0!</v>
      </c>
      <c r="O451" s="55" t="e">
        <f>$G436*Datenbank!O442</f>
        <v>#DIV/0!</v>
      </c>
      <c r="P451" s="55" t="e">
        <f>$G436*Datenbank!P442</f>
        <v>#DIV/0!</v>
      </c>
      <c r="Q451" s="55" t="e">
        <f>$G436*Datenbank!Q442</f>
        <v>#DIV/0!</v>
      </c>
      <c r="R451" s="55" t="e">
        <f>$G436*Datenbank!R442</f>
        <v>#DIV/0!</v>
      </c>
      <c r="S451" s="55" t="e">
        <f>$G436*Datenbank!S442</f>
        <v>#DIV/0!</v>
      </c>
      <c r="T451" s="55" t="e">
        <f>$G436*Datenbank!T442</f>
        <v>#DIV/0!</v>
      </c>
      <c r="U451" s="55" t="e">
        <f>$G436*Datenbank!U442</f>
        <v>#DIV/0!</v>
      </c>
      <c r="V451" s="55" t="e">
        <f>$G436*Datenbank!V442</f>
        <v>#DIV/0!</v>
      </c>
      <c r="W451" s="55" t="e">
        <f>$G436*Datenbank!W442</f>
        <v>#DIV/0!</v>
      </c>
      <c r="X451" s="55" t="e">
        <f>$G436*Datenbank!X442</f>
        <v>#DIV/0!</v>
      </c>
      <c r="Y451" s="55" t="e">
        <f>$G436*Datenbank!Y442</f>
        <v>#DIV/0!</v>
      </c>
      <c r="Z451" s="55" t="e">
        <f>$G436*Datenbank!Z442</f>
        <v>#DIV/0!</v>
      </c>
      <c r="AA451" s="55" t="e">
        <f>$G436*Datenbank!AA442</f>
        <v>#DIV/0!</v>
      </c>
      <c r="AB451" s="55" t="e">
        <f>$G436*Datenbank!AB442</f>
        <v>#DIV/0!</v>
      </c>
      <c r="AC451" s="55" t="e">
        <f>$G436*Datenbank!AC442</f>
        <v>#DIV/0!</v>
      </c>
      <c r="AD451" s="55" t="e">
        <f>$G436*Datenbank!AD442</f>
        <v>#DIV/0!</v>
      </c>
      <c r="AE451" s="55" t="e">
        <f>$G436*Datenbank!AE442</f>
        <v>#DIV/0!</v>
      </c>
      <c r="AF451" s="55" t="e">
        <f>$G436*Datenbank!AF442</f>
        <v>#DIV/0!</v>
      </c>
      <c r="AG451" s="55" t="e">
        <f>$G436*Datenbank!AG442</f>
        <v>#DIV/0!</v>
      </c>
      <c r="AH451" s="90"/>
      <c r="AI451" s="87" t="e">
        <f t="shared" ref="AI451" si="1154">SUM(D451:AG451)</f>
        <v>#DIV/0!</v>
      </c>
      <c r="AJ451" s="90"/>
      <c r="AK451" s="47"/>
      <c r="AM451" s="2" t="s">
        <v>79</v>
      </c>
      <c r="AN451" s="24" t="e">
        <f>SUM(AN446:AN450)</f>
        <v>#DIV/0!</v>
      </c>
      <c r="AO451" s="24">
        <f>SUM(AO444:AO450)</f>
        <v>0</v>
      </c>
      <c r="BH451" s="2" t="s">
        <v>575</v>
      </c>
      <c r="BI451" s="2">
        <v>400</v>
      </c>
      <c r="BJ451" s="2">
        <v>900</v>
      </c>
      <c r="BN451" s="2">
        <v>255</v>
      </c>
    </row>
    <row r="452" spans="2:66">
      <c r="B452" s="46" t="s">
        <v>610</v>
      </c>
      <c r="C452" s="2" t="str">
        <f>IF(J436="Ja","mit WP","ohne WP")</f>
        <v>ohne WP</v>
      </c>
      <c r="D452" s="54" t="e">
        <f>IF($J436="Ja",D450,D451)</f>
        <v>#DIV/0!</v>
      </c>
      <c r="E452" s="54" t="e">
        <f>IF($J436="Ja",E450,E451)</f>
        <v>#DIV/0!</v>
      </c>
      <c r="F452" s="54" t="e">
        <f>IF($J436="Ja",F450,F451)</f>
        <v>#DIV/0!</v>
      </c>
      <c r="G452" s="54" t="e">
        <f>IF($J436="Ja",G450,G451)</f>
        <v>#DIV/0!</v>
      </c>
      <c r="H452" s="54" t="e">
        <f t="shared" ref="H452:AG452" si="1155">IF($J436="Ja",H450,H451)</f>
        <v>#DIV/0!</v>
      </c>
      <c r="I452" s="54" t="e">
        <f t="shared" si="1155"/>
        <v>#DIV/0!</v>
      </c>
      <c r="J452" s="54" t="e">
        <f t="shared" si="1155"/>
        <v>#DIV/0!</v>
      </c>
      <c r="K452" s="54" t="e">
        <f t="shared" si="1155"/>
        <v>#DIV/0!</v>
      </c>
      <c r="L452" s="54" t="e">
        <f t="shared" si="1155"/>
        <v>#DIV/0!</v>
      </c>
      <c r="M452" s="54" t="e">
        <f t="shared" si="1155"/>
        <v>#DIV/0!</v>
      </c>
      <c r="N452" s="54" t="e">
        <f t="shared" si="1155"/>
        <v>#DIV/0!</v>
      </c>
      <c r="O452" s="54" t="e">
        <f t="shared" si="1155"/>
        <v>#DIV/0!</v>
      </c>
      <c r="P452" s="54" t="e">
        <f t="shared" si="1155"/>
        <v>#DIV/0!</v>
      </c>
      <c r="Q452" s="54" t="e">
        <f t="shared" si="1155"/>
        <v>#DIV/0!</v>
      </c>
      <c r="R452" s="54" t="e">
        <f t="shared" si="1155"/>
        <v>#DIV/0!</v>
      </c>
      <c r="S452" s="54" t="e">
        <f t="shared" si="1155"/>
        <v>#DIV/0!</v>
      </c>
      <c r="T452" s="54" t="e">
        <f t="shared" si="1155"/>
        <v>#DIV/0!</v>
      </c>
      <c r="U452" s="54" t="e">
        <f t="shared" si="1155"/>
        <v>#DIV/0!</v>
      </c>
      <c r="V452" s="54" t="e">
        <f t="shared" si="1155"/>
        <v>#DIV/0!</v>
      </c>
      <c r="W452" s="54" t="e">
        <f t="shared" si="1155"/>
        <v>#DIV/0!</v>
      </c>
      <c r="X452" s="54" t="e">
        <f t="shared" si="1155"/>
        <v>#DIV/0!</v>
      </c>
      <c r="Y452" s="54" t="e">
        <f t="shared" si="1155"/>
        <v>#DIV/0!</v>
      </c>
      <c r="Z452" s="54" t="e">
        <f t="shared" si="1155"/>
        <v>#DIV/0!</v>
      </c>
      <c r="AA452" s="54" t="e">
        <f t="shared" si="1155"/>
        <v>#DIV/0!</v>
      </c>
      <c r="AB452" s="54" t="e">
        <f t="shared" si="1155"/>
        <v>#DIV/0!</v>
      </c>
      <c r="AC452" s="54" t="e">
        <f t="shared" si="1155"/>
        <v>#DIV/0!</v>
      </c>
      <c r="AD452" s="54" t="e">
        <f t="shared" si="1155"/>
        <v>#DIV/0!</v>
      </c>
      <c r="AE452" s="54" t="e">
        <f t="shared" si="1155"/>
        <v>#DIV/0!</v>
      </c>
      <c r="AF452" s="54" t="e">
        <f t="shared" si="1155"/>
        <v>#DIV/0!</v>
      </c>
      <c r="AG452" s="54" t="e">
        <f t="shared" si="1155"/>
        <v>#DIV/0!</v>
      </c>
      <c r="AH452" s="90"/>
      <c r="AI452" s="87" t="e">
        <f>SUM(D452:AG452)</f>
        <v>#DIV/0!</v>
      </c>
      <c r="AJ452" s="90"/>
      <c r="AK452" s="101"/>
      <c r="BH452" s="2" t="s">
        <v>575</v>
      </c>
      <c r="BI452" s="2">
        <v>500</v>
      </c>
      <c r="BJ452" s="2">
        <v>900</v>
      </c>
      <c r="BN452" s="2">
        <v>318</v>
      </c>
    </row>
    <row r="453" spans="2:66">
      <c r="B453" s="46" t="s">
        <v>611</v>
      </c>
      <c r="D453" s="54" t="e">
        <f>D445+D452</f>
        <v>#DIV/0!</v>
      </c>
      <c r="E453" s="54" t="e">
        <f t="shared" ref="E453:AG453" si="1156">E445+E452</f>
        <v>#DIV/0!</v>
      </c>
      <c r="F453" s="54" t="e">
        <f t="shared" si="1156"/>
        <v>#DIV/0!</v>
      </c>
      <c r="G453" s="54" t="e">
        <f t="shared" si="1156"/>
        <v>#DIV/0!</v>
      </c>
      <c r="H453" s="54" t="e">
        <f t="shared" si="1156"/>
        <v>#DIV/0!</v>
      </c>
      <c r="I453" s="54" t="e">
        <f t="shared" si="1156"/>
        <v>#DIV/0!</v>
      </c>
      <c r="J453" s="54" t="e">
        <f t="shared" si="1156"/>
        <v>#DIV/0!</v>
      </c>
      <c r="K453" s="54" t="e">
        <f t="shared" si="1156"/>
        <v>#DIV/0!</v>
      </c>
      <c r="L453" s="54" t="e">
        <f t="shared" si="1156"/>
        <v>#DIV/0!</v>
      </c>
      <c r="M453" s="54" t="e">
        <f t="shared" si="1156"/>
        <v>#DIV/0!</v>
      </c>
      <c r="N453" s="54" t="e">
        <f t="shared" si="1156"/>
        <v>#DIV/0!</v>
      </c>
      <c r="O453" s="54" t="e">
        <f t="shared" si="1156"/>
        <v>#DIV/0!</v>
      </c>
      <c r="P453" s="54" t="e">
        <f t="shared" si="1156"/>
        <v>#DIV/0!</v>
      </c>
      <c r="Q453" s="54" t="e">
        <f t="shared" si="1156"/>
        <v>#DIV/0!</v>
      </c>
      <c r="R453" s="54" t="e">
        <f t="shared" si="1156"/>
        <v>#DIV/0!</v>
      </c>
      <c r="S453" s="54" t="e">
        <f t="shared" si="1156"/>
        <v>#DIV/0!</v>
      </c>
      <c r="T453" s="54" t="e">
        <f t="shared" si="1156"/>
        <v>#DIV/0!</v>
      </c>
      <c r="U453" s="54" t="e">
        <f t="shared" si="1156"/>
        <v>#DIV/0!</v>
      </c>
      <c r="V453" s="54" t="e">
        <f t="shared" si="1156"/>
        <v>#DIV/0!</v>
      </c>
      <c r="W453" s="54" t="e">
        <f t="shared" si="1156"/>
        <v>#DIV/0!</v>
      </c>
      <c r="X453" s="54" t="e">
        <f t="shared" si="1156"/>
        <v>#DIV/0!</v>
      </c>
      <c r="Y453" s="54" t="e">
        <f t="shared" si="1156"/>
        <v>#DIV/0!</v>
      </c>
      <c r="Z453" s="54" t="e">
        <f t="shared" si="1156"/>
        <v>#DIV/0!</v>
      </c>
      <c r="AA453" s="54" t="e">
        <f t="shared" si="1156"/>
        <v>#DIV/0!</v>
      </c>
      <c r="AB453" s="54" t="e">
        <f t="shared" si="1156"/>
        <v>#DIV/0!</v>
      </c>
      <c r="AC453" s="54" t="e">
        <f t="shared" si="1156"/>
        <v>#DIV/0!</v>
      </c>
      <c r="AD453" s="54" t="e">
        <f t="shared" si="1156"/>
        <v>#DIV/0!</v>
      </c>
      <c r="AE453" s="54" t="e">
        <f t="shared" si="1156"/>
        <v>#DIV/0!</v>
      </c>
      <c r="AF453" s="54" t="e">
        <f t="shared" si="1156"/>
        <v>#DIV/0!</v>
      </c>
      <c r="AG453" s="54" t="e">
        <f t="shared" si="1156"/>
        <v>#DIV/0!</v>
      </c>
      <c r="AH453" s="90"/>
      <c r="AI453" s="87" t="e">
        <f>SUM(D453:AG453)</f>
        <v>#DIV/0!</v>
      </c>
      <c r="AJ453" s="91" t="e">
        <f>AI447-AI453</f>
        <v>#DIV/0!</v>
      </c>
      <c r="AK453" s="47"/>
      <c r="AM453" s="2" t="s">
        <v>612</v>
      </c>
      <c r="AN453" s="24" t="e">
        <f>AN451-AO451</f>
        <v>#DIV/0!</v>
      </c>
      <c r="BH453" s="2" t="s">
        <v>575</v>
      </c>
      <c r="BI453" s="2">
        <v>600</v>
      </c>
      <c r="BJ453" s="2">
        <v>900</v>
      </c>
      <c r="BN453" s="2">
        <v>382</v>
      </c>
    </row>
    <row r="454" spans="2:66">
      <c r="B454" s="46" t="s">
        <v>613</v>
      </c>
      <c r="D454" s="55" t="e">
        <f>$S436*Allgemein!$H$140</f>
        <v>#DIV/0!</v>
      </c>
      <c r="E454" s="55" t="e">
        <f>$S436*Allgemein!$H$140</f>
        <v>#DIV/0!</v>
      </c>
      <c r="F454" s="55" t="e">
        <f>$S436*Allgemein!$H$140</f>
        <v>#DIV/0!</v>
      </c>
      <c r="G454" s="55" t="e">
        <f>$S436*Allgemein!$H$140</f>
        <v>#DIV/0!</v>
      </c>
      <c r="H454" s="55" t="e">
        <f>$S436*Allgemein!$H$140</f>
        <v>#DIV/0!</v>
      </c>
      <c r="I454" s="55" t="e">
        <f>$S436*Allgemein!$H$140</f>
        <v>#DIV/0!</v>
      </c>
      <c r="J454" s="55" t="e">
        <f>$S436*Allgemein!$H$140</f>
        <v>#DIV/0!</v>
      </c>
      <c r="K454" s="55" t="e">
        <f>$S436*Allgemein!$H$140</f>
        <v>#DIV/0!</v>
      </c>
      <c r="L454" s="55" t="e">
        <f>$S436*Allgemein!$H$140</f>
        <v>#DIV/0!</v>
      </c>
      <c r="M454" s="55" t="e">
        <f>$S436*Allgemein!$H$140</f>
        <v>#DIV/0!</v>
      </c>
      <c r="N454" s="55" t="e">
        <f>$S436*Allgemein!$H$140</f>
        <v>#DIV/0!</v>
      </c>
      <c r="O454" s="55" t="e">
        <f>$S436*Allgemein!$H$140</f>
        <v>#DIV/0!</v>
      </c>
      <c r="P454" s="55" t="e">
        <f>$S436*Allgemein!$H$140</f>
        <v>#DIV/0!</v>
      </c>
      <c r="Q454" s="55" t="e">
        <f>$S436*Allgemein!$H$140</f>
        <v>#DIV/0!</v>
      </c>
      <c r="R454" s="55" t="e">
        <f>$S436*Allgemein!$H$140</f>
        <v>#DIV/0!</v>
      </c>
      <c r="S454" s="55" t="e">
        <f>$S436*Allgemein!$H$140</f>
        <v>#DIV/0!</v>
      </c>
      <c r="T454" s="55" t="e">
        <f>$S436*Allgemein!$H$140</f>
        <v>#DIV/0!</v>
      </c>
      <c r="U454" s="55" t="e">
        <f>$S436*Allgemein!$H$140</f>
        <v>#DIV/0!</v>
      </c>
      <c r="V454" s="55" t="e">
        <f>$S436*Allgemein!$H$140</f>
        <v>#DIV/0!</v>
      </c>
      <c r="W454" s="55" t="e">
        <f>$S436*Allgemein!$H$140</f>
        <v>#DIV/0!</v>
      </c>
      <c r="X454" s="55" t="e">
        <f>$S436*Allgemein!$H$141</f>
        <v>#DIV/0!</v>
      </c>
      <c r="Y454" s="55" t="e">
        <f>$S436*Allgemein!$H$141</f>
        <v>#DIV/0!</v>
      </c>
      <c r="Z454" s="55" t="e">
        <f>$S436*Allgemein!$H$141</f>
        <v>#DIV/0!</v>
      </c>
      <c r="AA454" s="55" t="e">
        <f>$S436*Allgemein!$H$141</f>
        <v>#DIV/0!</v>
      </c>
      <c r="AB454" s="55" t="e">
        <f>$S436*Allgemein!$H$141</f>
        <v>#DIV/0!</v>
      </c>
      <c r="AC454" s="55" t="e">
        <f>$S436*Allgemein!$H$141</f>
        <v>#DIV/0!</v>
      </c>
      <c r="AD454" s="55" t="e">
        <f>$S436*Allgemein!$H$141</f>
        <v>#DIV/0!</v>
      </c>
      <c r="AE454" s="55" t="e">
        <f>$S436*Allgemein!$H$141</f>
        <v>#DIV/0!</v>
      </c>
      <c r="AF454" s="55" t="e">
        <f>$S436*Allgemein!$H$141</f>
        <v>#DIV/0!</v>
      </c>
      <c r="AG454" s="55" t="e">
        <f>$S436*Allgemein!$H$141</f>
        <v>#DIV/0!</v>
      </c>
      <c r="AH454" s="90"/>
      <c r="AI454" s="87" t="e">
        <f>SUM(D454:AG454)</f>
        <v>#DIV/0!</v>
      </c>
      <c r="AJ454" s="90"/>
      <c r="AK454" s="47"/>
      <c r="BH454" s="2" t="s">
        <v>575</v>
      </c>
      <c r="BI454" s="2">
        <v>700</v>
      </c>
      <c r="BJ454" s="2">
        <v>900</v>
      </c>
      <c r="BN454" s="2">
        <v>445</v>
      </c>
    </row>
    <row r="455" spans="2:66">
      <c r="B455" s="46" t="s">
        <v>614</v>
      </c>
      <c r="D455" s="54" t="e">
        <f>$S437*Datenbank!D443+IF($J436="Nein",Datenbank!D452,0)</f>
        <v>#DIV/0!</v>
      </c>
      <c r="E455" s="54" t="e">
        <f>$S437*Datenbank!E443+IF($J436="Nein",Datenbank!E452,0)</f>
        <v>#DIV/0!</v>
      </c>
      <c r="F455" s="54" t="e">
        <f>$S437*Datenbank!F443+IF($J436="Nein",Datenbank!F452,0)</f>
        <v>#DIV/0!</v>
      </c>
      <c r="G455" s="54" t="e">
        <f>$S437*Datenbank!G443+IF($J436="Nein",Datenbank!G452,0)</f>
        <v>#DIV/0!</v>
      </c>
      <c r="H455" s="54" t="e">
        <f>$S437*Datenbank!H443+IF($J436="Nein",Datenbank!H452,0)</f>
        <v>#DIV/0!</v>
      </c>
      <c r="I455" s="54" t="e">
        <f>$S437*Datenbank!I443+IF($J436="Nein",Datenbank!I452,0)</f>
        <v>#DIV/0!</v>
      </c>
      <c r="J455" s="54" t="e">
        <f>$S437*Datenbank!J443+IF($J436="Nein",Datenbank!J452,0)</f>
        <v>#DIV/0!</v>
      </c>
      <c r="K455" s="54" t="e">
        <f>$S437*Datenbank!K443+IF($J436="Nein",Datenbank!K452,0)</f>
        <v>#DIV/0!</v>
      </c>
      <c r="L455" s="54" t="e">
        <f>$S437*Datenbank!L443+IF($J436="Nein",Datenbank!L452,0)</f>
        <v>#DIV/0!</v>
      </c>
      <c r="M455" s="54" t="e">
        <f>$S437*Datenbank!M443+IF($J436="Nein",Datenbank!M452,0)</f>
        <v>#DIV/0!</v>
      </c>
      <c r="N455" s="54" t="e">
        <f>$S437*Datenbank!N443+IF($J436="Nein",Datenbank!N452,0)</f>
        <v>#DIV/0!</v>
      </c>
      <c r="O455" s="54" t="e">
        <f>$S437*Datenbank!O443+IF($J436="Nein",Datenbank!O452,0)</f>
        <v>#DIV/0!</v>
      </c>
      <c r="P455" s="54" t="e">
        <f>$S437*Datenbank!P443+IF($J436="Nein",Datenbank!P452,0)</f>
        <v>#DIV/0!</v>
      </c>
      <c r="Q455" s="54" t="e">
        <f>$S437*Datenbank!Q443+IF($J436="Nein",Datenbank!Q452,0)</f>
        <v>#DIV/0!</v>
      </c>
      <c r="R455" s="54" t="e">
        <f>$S437*Datenbank!R443+IF($J436="Nein",Datenbank!R452,0)</f>
        <v>#DIV/0!</v>
      </c>
      <c r="S455" s="54" t="e">
        <f>$S437*Datenbank!S443+IF($J436="Nein",Datenbank!S452,0)</f>
        <v>#DIV/0!</v>
      </c>
      <c r="T455" s="54" t="e">
        <f>$S437*Datenbank!T443+IF($J436="Nein",Datenbank!T452,0)</f>
        <v>#DIV/0!</v>
      </c>
      <c r="U455" s="54" t="e">
        <f>$S437*Datenbank!U443+IF($J436="Nein",Datenbank!U452,0)</f>
        <v>#DIV/0!</v>
      </c>
      <c r="V455" s="54" t="e">
        <f>$S437*Datenbank!V443+IF($J436="Nein",Datenbank!V452,0)</f>
        <v>#DIV/0!</v>
      </c>
      <c r="W455" s="54" t="e">
        <f>$S437*Datenbank!W443+IF($J436="Nein",Datenbank!W452,0)</f>
        <v>#DIV/0!</v>
      </c>
      <c r="X455" s="54" t="e">
        <f>$S437*Datenbank!X443+IF($J436="Nein",Datenbank!X452,0)</f>
        <v>#DIV/0!</v>
      </c>
      <c r="Y455" s="54" t="e">
        <f>$S437*Datenbank!Y443+IF($J436="Nein",Datenbank!Y452,0)</f>
        <v>#DIV/0!</v>
      </c>
      <c r="Z455" s="54" t="e">
        <f>$S437*Datenbank!Z443+IF($J436="Nein",Datenbank!Z452,0)</f>
        <v>#DIV/0!</v>
      </c>
      <c r="AA455" s="54" t="e">
        <f>$S437*Datenbank!AA443+IF($J436="Nein",Datenbank!AA452,0)</f>
        <v>#DIV/0!</v>
      </c>
      <c r="AB455" s="54" t="e">
        <f>$S437*Datenbank!AB443+IF($J436="Nein",Datenbank!AB452,0)</f>
        <v>#DIV/0!</v>
      </c>
      <c r="AC455" s="54" t="e">
        <f>$S437*Datenbank!AC443+IF($J436="Nein",Datenbank!AC452,0)</f>
        <v>#DIV/0!</v>
      </c>
      <c r="AD455" s="54" t="e">
        <f>$S437*Datenbank!AD443+IF($J436="Nein",Datenbank!AD452,0)</f>
        <v>#DIV/0!</v>
      </c>
      <c r="AE455" s="54" t="e">
        <f>$S437*Datenbank!AE443+IF($J436="Nein",Datenbank!AE452,0)</f>
        <v>#DIV/0!</v>
      </c>
      <c r="AF455" s="54" t="e">
        <f>$S437*Datenbank!AF443+IF($J436="Nein",Datenbank!AF452,0)</f>
        <v>#DIV/0!</v>
      </c>
      <c r="AG455" s="54" t="e">
        <f>$S437*Datenbank!AG443+IF($J436="Nein",Datenbank!AG452,0)</f>
        <v>#DIV/0!</v>
      </c>
      <c r="AH455" s="90"/>
      <c r="AI455" s="87" t="e">
        <f>SUM(D455:AG455)</f>
        <v>#DIV/0!</v>
      </c>
      <c r="AJ455" s="91" t="e">
        <f>AI447-AI455</f>
        <v>#DIV/0!</v>
      </c>
      <c r="AK455" s="47"/>
      <c r="BH455" s="2" t="s">
        <v>575</v>
      </c>
      <c r="BI455" s="2">
        <v>800</v>
      </c>
      <c r="BJ455" s="2">
        <v>900</v>
      </c>
      <c r="BN455" s="2">
        <v>509</v>
      </c>
    </row>
    <row r="456" spans="2:66">
      <c r="B456" s="46" t="s">
        <v>615</v>
      </c>
      <c r="D456" s="25" t="e">
        <f>D455-D454</f>
        <v>#DIV/0!</v>
      </c>
      <c r="E456" s="25" t="e">
        <f t="shared" ref="E456:AG456" si="1157">E455-E454</f>
        <v>#DIV/0!</v>
      </c>
      <c r="F456" s="25" t="e">
        <f t="shared" si="1157"/>
        <v>#DIV/0!</v>
      </c>
      <c r="G456" s="25" t="e">
        <f t="shared" si="1157"/>
        <v>#DIV/0!</v>
      </c>
      <c r="H456" s="25" t="e">
        <f t="shared" si="1157"/>
        <v>#DIV/0!</v>
      </c>
      <c r="I456" s="25" t="e">
        <f t="shared" si="1157"/>
        <v>#DIV/0!</v>
      </c>
      <c r="J456" s="25" t="e">
        <f t="shared" si="1157"/>
        <v>#DIV/0!</v>
      </c>
      <c r="K456" s="25" t="e">
        <f t="shared" si="1157"/>
        <v>#DIV/0!</v>
      </c>
      <c r="L456" s="25" t="e">
        <f t="shared" si="1157"/>
        <v>#DIV/0!</v>
      </c>
      <c r="M456" s="25" t="e">
        <f t="shared" si="1157"/>
        <v>#DIV/0!</v>
      </c>
      <c r="N456" s="25" t="e">
        <f t="shared" si="1157"/>
        <v>#DIV/0!</v>
      </c>
      <c r="O456" s="25" t="e">
        <f t="shared" si="1157"/>
        <v>#DIV/0!</v>
      </c>
      <c r="P456" s="25" t="e">
        <f t="shared" si="1157"/>
        <v>#DIV/0!</v>
      </c>
      <c r="Q456" s="25" t="e">
        <f t="shared" si="1157"/>
        <v>#DIV/0!</v>
      </c>
      <c r="R456" s="25" t="e">
        <f t="shared" si="1157"/>
        <v>#DIV/0!</v>
      </c>
      <c r="S456" s="25" t="e">
        <f t="shared" si="1157"/>
        <v>#DIV/0!</v>
      </c>
      <c r="T456" s="25" t="e">
        <f t="shared" si="1157"/>
        <v>#DIV/0!</v>
      </c>
      <c r="U456" s="25" t="e">
        <f t="shared" si="1157"/>
        <v>#DIV/0!</v>
      </c>
      <c r="V456" s="25" t="e">
        <f t="shared" si="1157"/>
        <v>#DIV/0!</v>
      </c>
      <c r="W456" s="25" t="e">
        <f t="shared" si="1157"/>
        <v>#DIV/0!</v>
      </c>
      <c r="X456" s="25" t="e">
        <f t="shared" si="1157"/>
        <v>#DIV/0!</v>
      </c>
      <c r="Y456" s="25" t="e">
        <f t="shared" si="1157"/>
        <v>#DIV/0!</v>
      </c>
      <c r="Z456" s="25" t="e">
        <f t="shared" si="1157"/>
        <v>#DIV/0!</v>
      </c>
      <c r="AA456" s="25" t="e">
        <f t="shared" si="1157"/>
        <v>#DIV/0!</v>
      </c>
      <c r="AB456" s="25" t="e">
        <f t="shared" si="1157"/>
        <v>#DIV/0!</v>
      </c>
      <c r="AC456" s="25" t="e">
        <f t="shared" si="1157"/>
        <v>#DIV/0!</v>
      </c>
      <c r="AD456" s="25" t="e">
        <f t="shared" si="1157"/>
        <v>#DIV/0!</v>
      </c>
      <c r="AE456" s="25" t="e">
        <f t="shared" si="1157"/>
        <v>#DIV/0!</v>
      </c>
      <c r="AF456" s="25" t="e">
        <f t="shared" si="1157"/>
        <v>#DIV/0!</v>
      </c>
      <c r="AG456" s="25" t="e">
        <f t="shared" si="1157"/>
        <v>#DIV/0!</v>
      </c>
      <c r="AH456" s="106"/>
      <c r="AI456" s="93" t="e">
        <f>AI455-AI454</f>
        <v>#DIV/0!</v>
      </c>
      <c r="AJ456" s="106" t="e">
        <f>AI447-AI456</f>
        <v>#DIV/0!</v>
      </c>
      <c r="AK456" s="98"/>
      <c r="BH456" s="2" t="s">
        <v>575</v>
      </c>
      <c r="BI456" s="2">
        <v>900</v>
      </c>
      <c r="BJ456" s="2">
        <v>900</v>
      </c>
      <c r="BN456" s="2">
        <v>573</v>
      </c>
    </row>
    <row r="457" spans="2:66">
      <c r="B457" s="46" t="s">
        <v>616</v>
      </c>
      <c r="D457" s="25" t="e">
        <f>IF($J437="Ja",D456,D452+D445)</f>
        <v>#DIV/0!</v>
      </c>
      <c r="E457" s="25" t="e">
        <f t="shared" ref="E457:AG457" si="1158">IF($J437="Ja",E456,E452+E445)</f>
        <v>#DIV/0!</v>
      </c>
      <c r="F457" s="25" t="e">
        <f t="shared" si="1158"/>
        <v>#DIV/0!</v>
      </c>
      <c r="G457" s="25" t="e">
        <f t="shared" si="1158"/>
        <v>#DIV/0!</v>
      </c>
      <c r="H457" s="25" t="e">
        <f t="shared" si="1158"/>
        <v>#DIV/0!</v>
      </c>
      <c r="I457" s="25" t="e">
        <f t="shared" si="1158"/>
        <v>#DIV/0!</v>
      </c>
      <c r="J457" s="25" t="e">
        <f t="shared" si="1158"/>
        <v>#DIV/0!</v>
      </c>
      <c r="K457" s="25" t="e">
        <f t="shared" si="1158"/>
        <v>#DIV/0!</v>
      </c>
      <c r="L457" s="25" t="e">
        <f t="shared" si="1158"/>
        <v>#DIV/0!</v>
      </c>
      <c r="M457" s="25" t="e">
        <f t="shared" si="1158"/>
        <v>#DIV/0!</v>
      </c>
      <c r="N457" s="25" t="e">
        <f t="shared" si="1158"/>
        <v>#DIV/0!</v>
      </c>
      <c r="O457" s="25" t="e">
        <f t="shared" si="1158"/>
        <v>#DIV/0!</v>
      </c>
      <c r="P457" s="25" t="e">
        <f t="shared" si="1158"/>
        <v>#DIV/0!</v>
      </c>
      <c r="Q457" s="25" t="e">
        <f t="shared" si="1158"/>
        <v>#DIV/0!</v>
      </c>
      <c r="R457" s="25" t="e">
        <f t="shared" si="1158"/>
        <v>#DIV/0!</v>
      </c>
      <c r="S457" s="25" t="e">
        <f t="shared" si="1158"/>
        <v>#DIV/0!</v>
      </c>
      <c r="T457" s="25" t="e">
        <f t="shared" si="1158"/>
        <v>#DIV/0!</v>
      </c>
      <c r="U457" s="25" t="e">
        <f t="shared" si="1158"/>
        <v>#DIV/0!</v>
      </c>
      <c r="V457" s="25" t="e">
        <f t="shared" si="1158"/>
        <v>#DIV/0!</v>
      </c>
      <c r="W457" s="25" t="e">
        <f t="shared" si="1158"/>
        <v>#DIV/0!</v>
      </c>
      <c r="X457" s="25" t="e">
        <f t="shared" si="1158"/>
        <v>#DIV/0!</v>
      </c>
      <c r="Y457" s="25" t="e">
        <f t="shared" si="1158"/>
        <v>#DIV/0!</v>
      </c>
      <c r="Z457" s="25" t="e">
        <f t="shared" si="1158"/>
        <v>#DIV/0!</v>
      </c>
      <c r="AA457" s="25" t="e">
        <f t="shared" si="1158"/>
        <v>#DIV/0!</v>
      </c>
      <c r="AB457" s="25" t="e">
        <f t="shared" si="1158"/>
        <v>#DIV/0!</v>
      </c>
      <c r="AC457" s="25" t="e">
        <f t="shared" si="1158"/>
        <v>#DIV/0!</v>
      </c>
      <c r="AD457" s="25" t="e">
        <f t="shared" si="1158"/>
        <v>#DIV/0!</v>
      </c>
      <c r="AE457" s="25" t="e">
        <f t="shared" si="1158"/>
        <v>#DIV/0!</v>
      </c>
      <c r="AF457" s="25" t="e">
        <f t="shared" si="1158"/>
        <v>#DIV/0!</v>
      </c>
      <c r="AG457" s="25" t="e">
        <f t="shared" si="1158"/>
        <v>#DIV/0!</v>
      </c>
      <c r="AH457" s="91"/>
      <c r="AI457" s="85"/>
      <c r="AJ457" s="91"/>
      <c r="AK457" s="47"/>
      <c r="BH457" s="2" t="s">
        <v>575</v>
      </c>
      <c r="BI457" s="2">
        <v>1000</v>
      </c>
      <c r="BJ457" s="2">
        <v>900</v>
      </c>
      <c r="BN457" s="2">
        <v>636</v>
      </c>
    </row>
    <row r="458" spans="2:66">
      <c r="B458" s="46" t="s">
        <v>630</v>
      </c>
      <c r="D458" s="25" t="e">
        <f>D457/12</f>
        <v>#DIV/0!</v>
      </c>
      <c r="E458" s="25" t="e">
        <f t="shared" ref="E458:AG458" si="1159">E457/12</f>
        <v>#DIV/0!</v>
      </c>
      <c r="F458" s="25" t="e">
        <f t="shared" si="1159"/>
        <v>#DIV/0!</v>
      </c>
      <c r="G458" s="25" t="e">
        <f t="shared" si="1159"/>
        <v>#DIV/0!</v>
      </c>
      <c r="H458" s="25" t="e">
        <f t="shared" si="1159"/>
        <v>#DIV/0!</v>
      </c>
      <c r="I458" s="25" t="e">
        <f t="shared" si="1159"/>
        <v>#DIV/0!</v>
      </c>
      <c r="J458" s="25" t="e">
        <f t="shared" si="1159"/>
        <v>#DIV/0!</v>
      </c>
      <c r="K458" s="25" t="e">
        <f t="shared" si="1159"/>
        <v>#DIV/0!</v>
      </c>
      <c r="L458" s="25" t="e">
        <f t="shared" si="1159"/>
        <v>#DIV/0!</v>
      </c>
      <c r="M458" s="25" t="e">
        <f t="shared" si="1159"/>
        <v>#DIV/0!</v>
      </c>
      <c r="N458" s="25" t="e">
        <f t="shared" si="1159"/>
        <v>#DIV/0!</v>
      </c>
      <c r="O458" s="25" t="e">
        <f t="shared" si="1159"/>
        <v>#DIV/0!</v>
      </c>
      <c r="P458" s="25" t="e">
        <f t="shared" si="1159"/>
        <v>#DIV/0!</v>
      </c>
      <c r="Q458" s="25" t="e">
        <f t="shared" si="1159"/>
        <v>#DIV/0!</v>
      </c>
      <c r="R458" s="25" t="e">
        <f t="shared" si="1159"/>
        <v>#DIV/0!</v>
      </c>
      <c r="S458" s="25" t="e">
        <f t="shared" si="1159"/>
        <v>#DIV/0!</v>
      </c>
      <c r="T458" s="25" t="e">
        <f t="shared" si="1159"/>
        <v>#DIV/0!</v>
      </c>
      <c r="U458" s="25" t="e">
        <f t="shared" si="1159"/>
        <v>#DIV/0!</v>
      </c>
      <c r="V458" s="25" t="e">
        <f t="shared" si="1159"/>
        <v>#DIV/0!</v>
      </c>
      <c r="W458" s="25" t="e">
        <f t="shared" si="1159"/>
        <v>#DIV/0!</v>
      </c>
      <c r="X458" s="25" t="e">
        <f t="shared" si="1159"/>
        <v>#DIV/0!</v>
      </c>
      <c r="Y458" s="25" t="e">
        <f t="shared" si="1159"/>
        <v>#DIV/0!</v>
      </c>
      <c r="Z458" s="25" t="e">
        <f t="shared" si="1159"/>
        <v>#DIV/0!</v>
      </c>
      <c r="AA458" s="25" t="e">
        <f t="shared" si="1159"/>
        <v>#DIV/0!</v>
      </c>
      <c r="AB458" s="25" t="e">
        <f t="shared" si="1159"/>
        <v>#DIV/0!</v>
      </c>
      <c r="AC458" s="25" t="e">
        <f t="shared" si="1159"/>
        <v>#DIV/0!</v>
      </c>
      <c r="AD458" s="25" t="e">
        <f t="shared" si="1159"/>
        <v>#DIV/0!</v>
      </c>
      <c r="AE458" s="25" t="e">
        <f t="shared" si="1159"/>
        <v>#DIV/0!</v>
      </c>
      <c r="AF458" s="25" t="e">
        <f t="shared" si="1159"/>
        <v>#DIV/0!</v>
      </c>
      <c r="AG458" s="25" t="e">
        <f t="shared" si="1159"/>
        <v>#DIV/0!</v>
      </c>
      <c r="AH458" s="91"/>
      <c r="AI458" s="93"/>
      <c r="AJ458" s="91"/>
      <c r="AK458" s="47"/>
    </row>
    <row r="459" spans="2:66" ht="18.600000000000001">
      <c r="B459" s="46" t="s">
        <v>618</v>
      </c>
      <c r="D459" s="54" t="e">
        <f t="shared" ref="D459:AG459" si="1160">IF($J437="Ja",D447-D455+D454,D446-D452)</f>
        <v>#DIV/0!</v>
      </c>
      <c r="E459" s="54" t="e">
        <f t="shared" si="1160"/>
        <v>#DIV/0!</v>
      </c>
      <c r="F459" s="54" t="e">
        <f t="shared" si="1160"/>
        <v>#DIV/0!</v>
      </c>
      <c r="G459" s="54" t="e">
        <f t="shared" si="1160"/>
        <v>#DIV/0!</v>
      </c>
      <c r="H459" s="54" t="e">
        <f t="shared" si="1160"/>
        <v>#DIV/0!</v>
      </c>
      <c r="I459" s="54" t="e">
        <f t="shared" si="1160"/>
        <v>#DIV/0!</v>
      </c>
      <c r="J459" s="54" t="e">
        <f t="shared" si="1160"/>
        <v>#DIV/0!</v>
      </c>
      <c r="K459" s="54" t="e">
        <f t="shared" si="1160"/>
        <v>#DIV/0!</v>
      </c>
      <c r="L459" s="54" t="e">
        <f t="shared" si="1160"/>
        <v>#DIV/0!</v>
      </c>
      <c r="M459" s="54" t="e">
        <f t="shared" si="1160"/>
        <v>#DIV/0!</v>
      </c>
      <c r="N459" s="54" t="e">
        <f t="shared" si="1160"/>
        <v>#DIV/0!</v>
      </c>
      <c r="O459" s="54" t="e">
        <f t="shared" si="1160"/>
        <v>#DIV/0!</v>
      </c>
      <c r="P459" s="54" t="e">
        <f t="shared" si="1160"/>
        <v>#DIV/0!</v>
      </c>
      <c r="Q459" s="54" t="e">
        <f t="shared" si="1160"/>
        <v>#DIV/0!</v>
      </c>
      <c r="R459" s="54" t="e">
        <f t="shared" si="1160"/>
        <v>#DIV/0!</v>
      </c>
      <c r="S459" s="54" t="e">
        <f t="shared" si="1160"/>
        <v>#DIV/0!</v>
      </c>
      <c r="T459" s="54" t="e">
        <f t="shared" si="1160"/>
        <v>#DIV/0!</v>
      </c>
      <c r="U459" s="54" t="e">
        <f t="shared" si="1160"/>
        <v>#DIV/0!</v>
      </c>
      <c r="V459" s="54" t="e">
        <f t="shared" si="1160"/>
        <v>#DIV/0!</v>
      </c>
      <c r="W459" s="54" t="e">
        <f t="shared" si="1160"/>
        <v>#DIV/0!</v>
      </c>
      <c r="X459" s="54" t="e">
        <f t="shared" si="1160"/>
        <v>#DIV/0!</v>
      </c>
      <c r="Y459" s="54" t="e">
        <f t="shared" si="1160"/>
        <v>#DIV/0!</v>
      </c>
      <c r="Z459" s="54" t="e">
        <f t="shared" si="1160"/>
        <v>#DIV/0!</v>
      </c>
      <c r="AA459" s="54" t="e">
        <f t="shared" si="1160"/>
        <v>#DIV/0!</v>
      </c>
      <c r="AB459" s="54" t="e">
        <f t="shared" si="1160"/>
        <v>#DIV/0!</v>
      </c>
      <c r="AC459" s="54" t="e">
        <f t="shared" si="1160"/>
        <v>#DIV/0!</v>
      </c>
      <c r="AD459" s="54" t="e">
        <f t="shared" si="1160"/>
        <v>#DIV/0!</v>
      </c>
      <c r="AE459" s="54" t="e">
        <f t="shared" si="1160"/>
        <v>#DIV/0!</v>
      </c>
      <c r="AF459" s="54" t="e">
        <f t="shared" si="1160"/>
        <v>#DIV/0!</v>
      </c>
      <c r="AG459" s="54" t="e">
        <f t="shared" si="1160"/>
        <v>#DIV/0!</v>
      </c>
      <c r="AH459" s="92" t="s">
        <v>619</v>
      </c>
      <c r="AI459" s="3" t="s">
        <v>348</v>
      </c>
      <c r="AJ459" s="107" t="s">
        <v>620</v>
      </c>
      <c r="AK459" s="97" t="str">
        <f>IF(Allgemein!J455="Ja","mit PV","ohne PV")</f>
        <v>ohne PV</v>
      </c>
      <c r="BH459" s="2" t="s">
        <v>575</v>
      </c>
      <c r="BI459" s="2">
        <v>1100</v>
      </c>
      <c r="BJ459" s="2">
        <v>900</v>
      </c>
      <c r="BN459" s="2">
        <v>700</v>
      </c>
    </row>
    <row r="460" spans="2:66">
      <c r="B460" s="46" t="s">
        <v>621</v>
      </c>
      <c r="D460" s="54" t="e">
        <f>D459/12</f>
        <v>#DIV/0!</v>
      </c>
      <c r="E460" s="54" t="e">
        <f>E459/12</f>
        <v>#DIV/0!</v>
      </c>
      <c r="F460" s="54" t="e">
        <f>F459/12</f>
        <v>#DIV/0!</v>
      </c>
      <c r="G460" s="54" t="e">
        <f t="shared" ref="G460:AG460" si="1161">G459/12</f>
        <v>#DIV/0!</v>
      </c>
      <c r="H460" s="54" t="e">
        <f t="shared" si="1161"/>
        <v>#DIV/0!</v>
      </c>
      <c r="I460" s="54" t="e">
        <f t="shared" si="1161"/>
        <v>#DIV/0!</v>
      </c>
      <c r="J460" s="54" t="e">
        <f t="shared" si="1161"/>
        <v>#DIV/0!</v>
      </c>
      <c r="K460" s="54" t="e">
        <f t="shared" si="1161"/>
        <v>#DIV/0!</v>
      </c>
      <c r="L460" s="54" t="e">
        <f t="shared" si="1161"/>
        <v>#DIV/0!</v>
      </c>
      <c r="M460" s="54" t="e">
        <f t="shared" si="1161"/>
        <v>#DIV/0!</v>
      </c>
      <c r="N460" s="54" t="e">
        <f t="shared" si="1161"/>
        <v>#DIV/0!</v>
      </c>
      <c r="O460" s="54" t="e">
        <f t="shared" si="1161"/>
        <v>#DIV/0!</v>
      </c>
      <c r="P460" s="54" t="e">
        <f t="shared" si="1161"/>
        <v>#DIV/0!</v>
      </c>
      <c r="Q460" s="54" t="e">
        <f t="shared" si="1161"/>
        <v>#DIV/0!</v>
      </c>
      <c r="R460" s="54" t="e">
        <f t="shared" si="1161"/>
        <v>#DIV/0!</v>
      </c>
      <c r="S460" s="54" t="e">
        <f t="shared" si="1161"/>
        <v>#DIV/0!</v>
      </c>
      <c r="T460" s="54" t="e">
        <f t="shared" si="1161"/>
        <v>#DIV/0!</v>
      </c>
      <c r="U460" s="54" t="e">
        <f t="shared" si="1161"/>
        <v>#DIV/0!</v>
      </c>
      <c r="V460" s="54" t="e">
        <f t="shared" si="1161"/>
        <v>#DIV/0!</v>
      </c>
      <c r="W460" s="54" t="e">
        <f t="shared" si="1161"/>
        <v>#DIV/0!</v>
      </c>
      <c r="X460" s="54" t="e">
        <f t="shared" si="1161"/>
        <v>#DIV/0!</v>
      </c>
      <c r="Y460" s="54" t="e">
        <f t="shared" si="1161"/>
        <v>#DIV/0!</v>
      </c>
      <c r="Z460" s="54" t="e">
        <f t="shared" si="1161"/>
        <v>#DIV/0!</v>
      </c>
      <c r="AA460" s="54" t="e">
        <f t="shared" si="1161"/>
        <v>#DIV/0!</v>
      </c>
      <c r="AB460" s="54" t="e">
        <f t="shared" si="1161"/>
        <v>#DIV/0!</v>
      </c>
      <c r="AC460" s="54" t="e">
        <f t="shared" si="1161"/>
        <v>#DIV/0!</v>
      </c>
      <c r="AD460" s="54" t="e">
        <f t="shared" si="1161"/>
        <v>#DIV/0!</v>
      </c>
      <c r="AE460" s="54" t="e">
        <f t="shared" si="1161"/>
        <v>#DIV/0!</v>
      </c>
      <c r="AF460" s="54" t="e">
        <f t="shared" si="1161"/>
        <v>#DIV/0!</v>
      </c>
      <c r="AG460" s="108" t="e">
        <f t="shared" si="1161"/>
        <v>#DIV/0!</v>
      </c>
      <c r="AI460" s="89" t="e">
        <f>IF($J437="Ja",Datenbank!AI456,AI453)</f>
        <v>#DIV/0!</v>
      </c>
      <c r="AJ460" s="105" t="e">
        <f>SUM(D459:AG459)</f>
        <v>#DIV/0!</v>
      </c>
      <c r="AK460" s="104" t="str">
        <f>IF(Allgemein!F458="Ja","mit WP","ohne WP")</f>
        <v>ohne WP</v>
      </c>
      <c r="BH460" s="2" t="s">
        <v>575</v>
      </c>
      <c r="BI460" s="2">
        <v>1200</v>
      </c>
      <c r="BJ460" s="2">
        <v>900</v>
      </c>
      <c r="BN460" s="2">
        <v>764</v>
      </c>
    </row>
    <row r="461" spans="2:66" ht="18.600000000000001">
      <c r="B461" s="99" t="s">
        <v>631</v>
      </c>
      <c r="C461" s="81"/>
      <c r="D461" s="82"/>
      <c r="E461" s="83"/>
      <c r="F461" s="83"/>
      <c r="G461" s="83"/>
      <c r="H461" s="83"/>
      <c r="I461" s="83"/>
      <c r="J461" s="83"/>
      <c r="K461" s="83"/>
      <c r="L461" s="83"/>
      <c r="M461" s="83"/>
      <c r="N461" s="83"/>
      <c r="O461" s="83"/>
      <c r="P461" s="83"/>
      <c r="Q461" s="83"/>
      <c r="R461" s="83"/>
      <c r="S461" s="83"/>
      <c r="T461" s="83"/>
      <c r="U461" s="83"/>
      <c r="V461" s="83"/>
      <c r="W461" s="83"/>
      <c r="X461" s="83"/>
      <c r="Y461" s="83"/>
      <c r="Z461" s="83"/>
      <c r="AA461" s="83"/>
      <c r="AB461" s="83"/>
      <c r="AC461" s="83"/>
      <c r="AD461" s="83"/>
      <c r="AE461" s="83"/>
      <c r="AF461" s="83"/>
      <c r="AG461" s="83"/>
      <c r="AH461" s="11"/>
      <c r="AI461" s="80" t="s">
        <v>622</v>
      </c>
      <c r="AJ461" s="11"/>
      <c r="AK461" s="100"/>
      <c r="BH461" s="2" t="s">
        <v>575</v>
      </c>
      <c r="BI461" s="2">
        <v>1400</v>
      </c>
      <c r="BJ461" s="2">
        <v>900</v>
      </c>
      <c r="BN461" s="2">
        <v>891</v>
      </c>
    </row>
    <row r="462" spans="2:66">
      <c r="B462" s="46" t="s">
        <v>623</v>
      </c>
      <c r="D462" s="77">
        <f t="shared" ref="D462:AG462" si="1162">D431</f>
        <v>0</v>
      </c>
      <c r="E462" s="77">
        <f t="shared" si="1162"/>
        <v>0</v>
      </c>
      <c r="F462" s="77">
        <f t="shared" si="1162"/>
        <v>0</v>
      </c>
      <c r="G462" s="77">
        <f t="shared" si="1162"/>
        <v>0</v>
      </c>
      <c r="H462" s="77">
        <f t="shared" si="1162"/>
        <v>0</v>
      </c>
      <c r="I462" s="77">
        <f t="shared" si="1162"/>
        <v>0</v>
      </c>
      <c r="J462" s="77">
        <f t="shared" si="1162"/>
        <v>0</v>
      </c>
      <c r="K462" s="77">
        <f t="shared" si="1162"/>
        <v>0</v>
      </c>
      <c r="L462" s="77">
        <f t="shared" si="1162"/>
        <v>0</v>
      </c>
      <c r="M462" s="77">
        <f t="shared" si="1162"/>
        <v>0</v>
      </c>
      <c r="N462" s="77">
        <f t="shared" si="1162"/>
        <v>0</v>
      </c>
      <c r="O462" s="77">
        <f t="shared" si="1162"/>
        <v>0</v>
      </c>
      <c r="P462" s="77">
        <f t="shared" si="1162"/>
        <v>0</v>
      </c>
      <c r="Q462" s="77">
        <f t="shared" si="1162"/>
        <v>0</v>
      </c>
      <c r="R462" s="77">
        <f t="shared" si="1162"/>
        <v>0</v>
      </c>
      <c r="S462" s="77">
        <f t="shared" si="1162"/>
        <v>0</v>
      </c>
      <c r="T462" s="77">
        <f t="shared" si="1162"/>
        <v>0</v>
      </c>
      <c r="U462" s="77">
        <f t="shared" si="1162"/>
        <v>0</v>
      </c>
      <c r="V462" s="77">
        <f t="shared" si="1162"/>
        <v>0</v>
      </c>
      <c r="W462" s="77">
        <f t="shared" si="1162"/>
        <v>0</v>
      </c>
      <c r="X462" s="77">
        <f t="shared" si="1162"/>
        <v>0</v>
      </c>
      <c r="Y462" s="77">
        <f t="shared" si="1162"/>
        <v>0</v>
      </c>
      <c r="Z462" s="77">
        <f t="shared" si="1162"/>
        <v>0</v>
      </c>
      <c r="AA462" s="77">
        <f t="shared" si="1162"/>
        <v>0</v>
      </c>
      <c r="AB462" s="77">
        <f t="shared" si="1162"/>
        <v>0</v>
      </c>
      <c r="AC462" s="77">
        <f t="shared" si="1162"/>
        <v>0</v>
      </c>
      <c r="AD462" s="77">
        <f t="shared" si="1162"/>
        <v>0</v>
      </c>
      <c r="AE462" s="77">
        <f t="shared" si="1162"/>
        <v>0</v>
      </c>
      <c r="AF462" s="77">
        <f t="shared" si="1162"/>
        <v>0</v>
      </c>
      <c r="AG462" s="77">
        <f t="shared" si="1162"/>
        <v>0</v>
      </c>
      <c r="AH462" s="84"/>
      <c r="AI462" s="85">
        <f>SUM(D462:AG462)</f>
        <v>0</v>
      </c>
      <c r="AJ462" s="84"/>
      <c r="AK462" s="116"/>
      <c r="BH462" s="2" t="s">
        <v>575</v>
      </c>
      <c r="BI462" s="2">
        <v>1600</v>
      </c>
      <c r="BJ462" s="2">
        <v>900</v>
      </c>
      <c r="BN462" s="2">
        <v>1018</v>
      </c>
    </row>
    <row r="463" spans="2:66">
      <c r="B463" s="46" t="s">
        <v>628</v>
      </c>
      <c r="D463" s="77">
        <f>D462/12</f>
        <v>0</v>
      </c>
      <c r="E463" s="77">
        <f>E462/12</f>
        <v>0</v>
      </c>
      <c r="F463" s="77">
        <f t="shared" ref="F463:AG463" si="1163">F462/12</f>
        <v>0</v>
      </c>
      <c r="G463" s="77">
        <f t="shared" si="1163"/>
        <v>0</v>
      </c>
      <c r="H463" s="77">
        <f t="shared" si="1163"/>
        <v>0</v>
      </c>
      <c r="I463" s="77">
        <f t="shared" si="1163"/>
        <v>0</v>
      </c>
      <c r="J463" s="77">
        <f t="shared" si="1163"/>
        <v>0</v>
      </c>
      <c r="K463" s="77">
        <f t="shared" si="1163"/>
        <v>0</v>
      </c>
      <c r="L463" s="77">
        <f t="shared" si="1163"/>
        <v>0</v>
      </c>
      <c r="M463" s="77">
        <f t="shared" si="1163"/>
        <v>0</v>
      </c>
      <c r="N463" s="77">
        <f t="shared" si="1163"/>
        <v>0</v>
      </c>
      <c r="O463" s="77">
        <f t="shared" si="1163"/>
        <v>0</v>
      </c>
      <c r="P463" s="77">
        <f t="shared" si="1163"/>
        <v>0</v>
      </c>
      <c r="Q463" s="77">
        <f t="shared" si="1163"/>
        <v>0</v>
      </c>
      <c r="R463" s="77">
        <f t="shared" si="1163"/>
        <v>0</v>
      </c>
      <c r="S463" s="77">
        <f t="shared" si="1163"/>
        <v>0</v>
      </c>
      <c r="T463" s="77">
        <f t="shared" si="1163"/>
        <v>0</v>
      </c>
      <c r="U463" s="77">
        <f t="shared" si="1163"/>
        <v>0</v>
      </c>
      <c r="V463" s="77">
        <f t="shared" si="1163"/>
        <v>0</v>
      </c>
      <c r="W463" s="77">
        <f t="shared" si="1163"/>
        <v>0</v>
      </c>
      <c r="X463" s="77">
        <f t="shared" si="1163"/>
        <v>0</v>
      </c>
      <c r="Y463" s="77">
        <f t="shared" si="1163"/>
        <v>0</v>
      </c>
      <c r="Z463" s="77">
        <f t="shared" si="1163"/>
        <v>0</v>
      </c>
      <c r="AA463" s="77">
        <f t="shared" si="1163"/>
        <v>0</v>
      </c>
      <c r="AB463" s="77">
        <f t="shared" si="1163"/>
        <v>0</v>
      </c>
      <c r="AC463" s="77">
        <f t="shared" si="1163"/>
        <v>0</v>
      </c>
      <c r="AD463" s="77">
        <f t="shared" si="1163"/>
        <v>0</v>
      </c>
      <c r="AE463" s="77">
        <f t="shared" si="1163"/>
        <v>0</v>
      </c>
      <c r="AF463" s="77">
        <f t="shared" si="1163"/>
        <v>0</v>
      </c>
      <c r="AG463" s="77">
        <f t="shared" si="1163"/>
        <v>0</v>
      </c>
      <c r="AH463" s="90"/>
      <c r="AI463" s="87"/>
      <c r="AJ463" s="90"/>
      <c r="AK463" s="116"/>
    </row>
    <row r="464" spans="2:66">
      <c r="B464" s="46" t="s">
        <v>632</v>
      </c>
      <c r="D464" s="77" t="e">
        <f>D463+D458</f>
        <v>#DIV/0!</v>
      </c>
      <c r="E464" s="77" t="e">
        <f t="shared" ref="E464:AG464" si="1164">E463+E458</f>
        <v>#DIV/0!</v>
      </c>
      <c r="F464" s="77" t="e">
        <f t="shared" si="1164"/>
        <v>#DIV/0!</v>
      </c>
      <c r="G464" s="77" t="e">
        <f t="shared" si="1164"/>
        <v>#DIV/0!</v>
      </c>
      <c r="H464" s="77" t="e">
        <f t="shared" si="1164"/>
        <v>#DIV/0!</v>
      </c>
      <c r="I464" s="77" t="e">
        <f t="shared" si="1164"/>
        <v>#DIV/0!</v>
      </c>
      <c r="J464" s="77" t="e">
        <f t="shared" si="1164"/>
        <v>#DIV/0!</v>
      </c>
      <c r="K464" s="77" t="e">
        <f t="shared" si="1164"/>
        <v>#DIV/0!</v>
      </c>
      <c r="L464" s="77" t="e">
        <f t="shared" si="1164"/>
        <v>#DIV/0!</v>
      </c>
      <c r="M464" s="77" t="e">
        <f t="shared" si="1164"/>
        <v>#DIV/0!</v>
      </c>
      <c r="N464" s="77" t="e">
        <f t="shared" si="1164"/>
        <v>#DIV/0!</v>
      </c>
      <c r="O464" s="77" t="e">
        <f t="shared" si="1164"/>
        <v>#DIV/0!</v>
      </c>
      <c r="P464" s="77" t="e">
        <f t="shared" si="1164"/>
        <v>#DIV/0!</v>
      </c>
      <c r="Q464" s="77" t="e">
        <f t="shared" si="1164"/>
        <v>#DIV/0!</v>
      </c>
      <c r="R464" s="77" t="e">
        <f t="shared" si="1164"/>
        <v>#DIV/0!</v>
      </c>
      <c r="S464" s="77" t="e">
        <f t="shared" si="1164"/>
        <v>#DIV/0!</v>
      </c>
      <c r="T464" s="77" t="e">
        <f t="shared" si="1164"/>
        <v>#DIV/0!</v>
      </c>
      <c r="U464" s="77" t="e">
        <f t="shared" si="1164"/>
        <v>#DIV/0!</v>
      </c>
      <c r="V464" s="77" t="e">
        <f t="shared" si="1164"/>
        <v>#DIV/0!</v>
      </c>
      <c r="W464" s="77" t="e">
        <f t="shared" si="1164"/>
        <v>#DIV/0!</v>
      </c>
      <c r="X464" s="77" t="e">
        <f t="shared" si="1164"/>
        <v>#DIV/0!</v>
      </c>
      <c r="Y464" s="77" t="e">
        <f t="shared" si="1164"/>
        <v>#DIV/0!</v>
      </c>
      <c r="Z464" s="77" t="e">
        <f t="shared" si="1164"/>
        <v>#DIV/0!</v>
      </c>
      <c r="AA464" s="77" t="e">
        <f t="shared" si="1164"/>
        <v>#DIV/0!</v>
      </c>
      <c r="AB464" s="77" t="e">
        <f t="shared" si="1164"/>
        <v>#DIV/0!</v>
      </c>
      <c r="AC464" s="77" t="e">
        <f t="shared" si="1164"/>
        <v>#DIV/0!</v>
      </c>
      <c r="AD464" s="77" t="e">
        <f t="shared" si="1164"/>
        <v>#DIV/0!</v>
      </c>
      <c r="AE464" s="77" t="e">
        <f t="shared" si="1164"/>
        <v>#DIV/0!</v>
      </c>
      <c r="AF464" s="77" t="e">
        <f t="shared" si="1164"/>
        <v>#DIV/0!</v>
      </c>
      <c r="AG464" s="77" t="e">
        <f t="shared" si="1164"/>
        <v>#DIV/0!</v>
      </c>
      <c r="AH464" s="90"/>
      <c r="AI464" s="87"/>
      <c r="AJ464" s="90"/>
      <c r="AK464" s="116"/>
    </row>
    <row r="465" spans="2:66">
      <c r="B465" s="46" t="s">
        <v>633</v>
      </c>
      <c r="D465" s="77" t="e">
        <f t="shared" ref="D465:AG465" si="1165">D448+$C$479</f>
        <v>#DIV/0!</v>
      </c>
      <c r="E465" s="77" t="e">
        <f t="shared" si="1165"/>
        <v>#DIV/0!</v>
      </c>
      <c r="F465" s="77" t="e">
        <f t="shared" si="1165"/>
        <v>#DIV/0!</v>
      </c>
      <c r="G465" s="77" t="e">
        <f t="shared" si="1165"/>
        <v>#DIV/0!</v>
      </c>
      <c r="H465" s="77" t="e">
        <f t="shared" si="1165"/>
        <v>#DIV/0!</v>
      </c>
      <c r="I465" s="77" t="e">
        <f t="shared" si="1165"/>
        <v>#DIV/0!</v>
      </c>
      <c r="J465" s="77" t="e">
        <f t="shared" si="1165"/>
        <v>#DIV/0!</v>
      </c>
      <c r="K465" s="77" t="e">
        <f t="shared" si="1165"/>
        <v>#DIV/0!</v>
      </c>
      <c r="L465" s="77" t="e">
        <f t="shared" si="1165"/>
        <v>#DIV/0!</v>
      </c>
      <c r="M465" s="77" t="e">
        <f t="shared" si="1165"/>
        <v>#DIV/0!</v>
      </c>
      <c r="N465" s="77" t="e">
        <f t="shared" si="1165"/>
        <v>#DIV/0!</v>
      </c>
      <c r="O465" s="77" t="e">
        <f t="shared" si="1165"/>
        <v>#DIV/0!</v>
      </c>
      <c r="P465" s="77" t="e">
        <f t="shared" si="1165"/>
        <v>#DIV/0!</v>
      </c>
      <c r="Q465" s="77" t="e">
        <f t="shared" si="1165"/>
        <v>#DIV/0!</v>
      </c>
      <c r="R465" s="77" t="e">
        <f t="shared" si="1165"/>
        <v>#DIV/0!</v>
      </c>
      <c r="S465" s="77" t="e">
        <f t="shared" si="1165"/>
        <v>#DIV/0!</v>
      </c>
      <c r="T465" s="77" t="e">
        <f t="shared" si="1165"/>
        <v>#DIV/0!</v>
      </c>
      <c r="U465" s="77" t="e">
        <f t="shared" si="1165"/>
        <v>#DIV/0!</v>
      </c>
      <c r="V465" s="77" t="e">
        <f t="shared" si="1165"/>
        <v>#DIV/0!</v>
      </c>
      <c r="W465" s="77" t="e">
        <f t="shared" si="1165"/>
        <v>#DIV/0!</v>
      </c>
      <c r="X465" s="77" t="e">
        <f t="shared" si="1165"/>
        <v>#DIV/0!</v>
      </c>
      <c r="Y465" s="77" t="e">
        <f t="shared" si="1165"/>
        <v>#DIV/0!</v>
      </c>
      <c r="Z465" s="77" t="e">
        <f t="shared" si="1165"/>
        <v>#DIV/0!</v>
      </c>
      <c r="AA465" s="77" t="e">
        <f t="shared" si="1165"/>
        <v>#DIV/0!</v>
      </c>
      <c r="AB465" s="77" t="e">
        <f t="shared" si="1165"/>
        <v>#DIV/0!</v>
      </c>
      <c r="AC465" s="77" t="e">
        <f t="shared" si="1165"/>
        <v>#DIV/0!</v>
      </c>
      <c r="AD465" s="77" t="e">
        <f t="shared" si="1165"/>
        <v>#DIV/0!</v>
      </c>
      <c r="AE465" s="77" t="e">
        <f t="shared" si="1165"/>
        <v>#DIV/0!</v>
      </c>
      <c r="AF465" s="77" t="e">
        <f t="shared" si="1165"/>
        <v>#DIV/0!</v>
      </c>
      <c r="AG465" s="77" t="e">
        <f t="shared" si="1165"/>
        <v>#DIV/0!</v>
      </c>
      <c r="AH465" s="90"/>
      <c r="AI465" s="87"/>
      <c r="AJ465" s="90"/>
      <c r="AK465" s="116"/>
    </row>
    <row r="466" spans="2:66" ht="18.600000000000001">
      <c r="B466" s="99" t="s">
        <v>634</v>
      </c>
      <c r="C466" s="81"/>
      <c r="D466" s="82"/>
      <c r="E466" s="83"/>
      <c r="F466" s="83"/>
      <c r="G466" s="83"/>
      <c r="H466" s="83"/>
      <c r="I466" s="83"/>
      <c r="J466" s="83"/>
      <c r="K466" s="83"/>
      <c r="L466" s="83"/>
      <c r="M466" s="83"/>
      <c r="N466" s="83"/>
      <c r="O466" s="83"/>
      <c r="P466" s="83"/>
      <c r="Q466" s="83"/>
      <c r="R466" s="83"/>
      <c r="S466" s="83"/>
      <c r="T466" s="83"/>
      <c r="U466" s="83"/>
      <c r="V466" s="83"/>
      <c r="W466" s="83"/>
      <c r="X466" s="83"/>
      <c r="Y466" s="83"/>
      <c r="Z466" s="83"/>
      <c r="AA466" s="83"/>
      <c r="AB466" s="83"/>
      <c r="AC466" s="83"/>
      <c r="AD466" s="83"/>
      <c r="AE466" s="83"/>
      <c r="AF466" s="83"/>
      <c r="AG466" s="83"/>
      <c r="BH466" s="2" t="s">
        <v>575</v>
      </c>
      <c r="BI466" s="2">
        <v>1800</v>
      </c>
      <c r="BJ466" s="2">
        <v>900</v>
      </c>
      <c r="BN466" s="2">
        <v>1145</v>
      </c>
    </row>
    <row r="467" spans="2:66">
      <c r="B467" s="2" t="s">
        <v>635</v>
      </c>
      <c r="D467" s="921">
        <f>$E$498</f>
        <v>0</v>
      </c>
      <c r="E467" s="921">
        <f t="shared" ref="E467:AG467" si="1166">$E$498</f>
        <v>0</v>
      </c>
      <c r="F467" s="921">
        <f t="shared" si="1166"/>
        <v>0</v>
      </c>
      <c r="G467" s="921">
        <f t="shared" si="1166"/>
        <v>0</v>
      </c>
      <c r="H467" s="921">
        <f t="shared" si="1166"/>
        <v>0</v>
      </c>
      <c r="I467" s="921">
        <f t="shared" si="1166"/>
        <v>0</v>
      </c>
      <c r="J467" s="921">
        <f t="shared" si="1166"/>
        <v>0</v>
      </c>
      <c r="K467" s="921">
        <f t="shared" si="1166"/>
        <v>0</v>
      </c>
      <c r="L467" s="921">
        <f t="shared" si="1166"/>
        <v>0</v>
      </c>
      <c r="M467" s="921">
        <f t="shared" si="1166"/>
        <v>0</v>
      </c>
      <c r="N467" s="921">
        <f t="shared" si="1166"/>
        <v>0</v>
      </c>
      <c r="O467" s="921">
        <f t="shared" si="1166"/>
        <v>0</v>
      </c>
      <c r="P467" s="921">
        <f t="shared" si="1166"/>
        <v>0</v>
      </c>
      <c r="Q467" s="921">
        <f t="shared" si="1166"/>
        <v>0</v>
      </c>
      <c r="R467" s="921">
        <f t="shared" si="1166"/>
        <v>0</v>
      </c>
      <c r="S467" s="921">
        <f t="shared" si="1166"/>
        <v>0</v>
      </c>
      <c r="T467" s="921">
        <f t="shared" si="1166"/>
        <v>0</v>
      </c>
      <c r="U467" s="921">
        <f t="shared" si="1166"/>
        <v>0</v>
      </c>
      <c r="V467" s="921">
        <f t="shared" si="1166"/>
        <v>0</v>
      </c>
      <c r="W467" s="921">
        <f t="shared" si="1166"/>
        <v>0</v>
      </c>
      <c r="X467" s="921">
        <f t="shared" si="1166"/>
        <v>0</v>
      </c>
      <c r="Y467" s="921">
        <f t="shared" si="1166"/>
        <v>0</v>
      </c>
      <c r="Z467" s="921">
        <f t="shared" si="1166"/>
        <v>0</v>
      </c>
      <c r="AA467" s="921">
        <f t="shared" si="1166"/>
        <v>0</v>
      </c>
      <c r="AB467" s="921">
        <f t="shared" si="1166"/>
        <v>0</v>
      </c>
      <c r="AC467" s="921">
        <f t="shared" si="1166"/>
        <v>0</v>
      </c>
      <c r="AD467" s="921">
        <f t="shared" si="1166"/>
        <v>0</v>
      </c>
      <c r="AE467" s="921">
        <f t="shared" si="1166"/>
        <v>0</v>
      </c>
      <c r="AF467" s="921">
        <f t="shared" si="1166"/>
        <v>0</v>
      </c>
      <c r="AG467" s="921">
        <f t="shared" si="1166"/>
        <v>0</v>
      </c>
      <c r="BH467" s="2" t="s">
        <v>575</v>
      </c>
      <c r="BI467" s="2">
        <v>2000</v>
      </c>
      <c r="BJ467" s="2">
        <v>900</v>
      </c>
      <c r="BN467" s="2">
        <v>1273</v>
      </c>
    </row>
    <row r="468" spans="2:66">
      <c r="BH468" s="2" t="s">
        <v>575</v>
      </c>
      <c r="BI468" s="2">
        <v>2200</v>
      </c>
      <c r="BJ468" s="2">
        <v>900</v>
      </c>
      <c r="BN468" s="2">
        <v>1400</v>
      </c>
    </row>
    <row r="469" spans="2:66">
      <c r="BH469" s="2" t="s">
        <v>575</v>
      </c>
      <c r="BI469" s="2">
        <v>2300</v>
      </c>
      <c r="BJ469" s="2">
        <v>900</v>
      </c>
      <c r="BN469" s="2">
        <v>1679</v>
      </c>
    </row>
    <row r="470" spans="2:66">
      <c r="BH470" s="2" t="s">
        <v>575</v>
      </c>
      <c r="BI470" s="2">
        <v>2600</v>
      </c>
      <c r="BJ470" s="2">
        <v>900</v>
      </c>
      <c r="BN470" s="2">
        <v>1898</v>
      </c>
    </row>
    <row r="471" spans="2:66">
      <c r="AH471" s="4"/>
      <c r="AI471" s="4"/>
      <c r="AJ471" s="4"/>
      <c r="AK471" s="4"/>
      <c r="AL471" s="4"/>
      <c r="AP471" s="4"/>
      <c r="AQ471" s="4"/>
      <c r="AR471" s="4"/>
      <c r="AS471" s="4"/>
      <c r="AT471" s="4"/>
      <c r="AU471" s="4"/>
      <c r="AV471" s="4"/>
      <c r="AW471" s="4"/>
      <c r="AX471" s="4"/>
      <c r="AY471" s="4"/>
      <c r="AZ471" s="4"/>
      <c r="BA471" s="4"/>
      <c r="BH471" s="2" t="s">
        <v>575</v>
      </c>
      <c r="BI471" s="2">
        <v>3000</v>
      </c>
      <c r="BJ471" s="2">
        <v>900</v>
      </c>
      <c r="BN471" s="2">
        <v>2189</v>
      </c>
    </row>
    <row r="472" spans="2:66">
      <c r="B472" s="67" t="s">
        <v>603</v>
      </c>
      <c r="D472" s="78" t="e">
        <f t="shared" ref="D472:AG472" si="1167">D459</f>
        <v>#DIV/0!</v>
      </c>
      <c r="E472" s="78" t="e">
        <f t="shared" si="1167"/>
        <v>#DIV/0!</v>
      </c>
      <c r="F472" s="78" t="e">
        <f t="shared" si="1167"/>
        <v>#DIV/0!</v>
      </c>
      <c r="G472" s="78" t="e">
        <f t="shared" si="1167"/>
        <v>#DIV/0!</v>
      </c>
      <c r="H472" s="78" t="e">
        <f t="shared" si="1167"/>
        <v>#DIV/0!</v>
      </c>
      <c r="I472" s="78" t="e">
        <f t="shared" si="1167"/>
        <v>#DIV/0!</v>
      </c>
      <c r="J472" s="78" t="e">
        <f t="shared" si="1167"/>
        <v>#DIV/0!</v>
      </c>
      <c r="K472" s="78" t="e">
        <f t="shared" si="1167"/>
        <v>#DIV/0!</v>
      </c>
      <c r="L472" s="78" t="e">
        <f t="shared" si="1167"/>
        <v>#DIV/0!</v>
      </c>
      <c r="M472" s="78" t="e">
        <f t="shared" si="1167"/>
        <v>#DIV/0!</v>
      </c>
      <c r="N472" s="78" t="e">
        <f t="shared" si="1167"/>
        <v>#DIV/0!</v>
      </c>
      <c r="O472" s="78" t="e">
        <f t="shared" si="1167"/>
        <v>#DIV/0!</v>
      </c>
      <c r="P472" s="78" t="e">
        <f t="shared" si="1167"/>
        <v>#DIV/0!</v>
      </c>
      <c r="Q472" s="78" t="e">
        <f t="shared" si="1167"/>
        <v>#DIV/0!</v>
      </c>
      <c r="R472" s="78" t="e">
        <f t="shared" si="1167"/>
        <v>#DIV/0!</v>
      </c>
      <c r="S472" s="78" t="e">
        <f t="shared" si="1167"/>
        <v>#DIV/0!</v>
      </c>
      <c r="T472" s="78" t="e">
        <f t="shared" si="1167"/>
        <v>#DIV/0!</v>
      </c>
      <c r="U472" s="78" t="e">
        <f t="shared" si="1167"/>
        <v>#DIV/0!</v>
      </c>
      <c r="V472" s="78" t="e">
        <f t="shared" si="1167"/>
        <v>#DIV/0!</v>
      </c>
      <c r="W472" s="78" t="e">
        <f t="shared" si="1167"/>
        <v>#DIV/0!</v>
      </c>
      <c r="X472" s="78" t="e">
        <f t="shared" si="1167"/>
        <v>#DIV/0!</v>
      </c>
      <c r="Y472" s="78" t="e">
        <f t="shared" si="1167"/>
        <v>#DIV/0!</v>
      </c>
      <c r="Z472" s="78" t="e">
        <f t="shared" si="1167"/>
        <v>#DIV/0!</v>
      </c>
      <c r="AA472" s="78" t="e">
        <f t="shared" si="1167"/>
        <v>#DIV/0!</v>
      </c>
      <c r="AB472" s="78" t="e">
        <f t="shared" si="1167"/>
        <v>#DIV/0!</v>
      </c>
      <c r="AC472" s="78" t="e">
        <f t="shared" si="1167"/>
        <v>#DIV/0!</v>
      </c>
      <c r="AD472" s="78" t="e">
        <f t="shared" si="1167"/>
        <v>#DIV/0!</v>
      </c>
      <c r="AE472" s="78" t="e">
        <f t="shared" si="1167"/>
        <v>#DIV/0!</v>
      </c>
      <c r="AF472" s="78" t="e">
        <f t="shared" si="1167"/>
        <v>#DIV/0!</v>
      </c>
      <c r="AG472" s="78" t="e">
        <f t="shared" si="1167"/>
        <v>#DIV/0!</v>
      </c>
      <c r="AH472" s="90"/>
      <c r="AI472" s="87" t="e">
        <f>SUM(D472:AG472)</f>
        <v>#DIV/0!</v>
      </c>
      <c r="AJ472" s="90"/>
      <c r="AK472" s="102"/>
      <c r="BH472" s="2" t="s">
        <v>574</v>
      </c>
      <c r="BI472" s="2">
        <v>400</v>
      </c>
      <c r="BJ472" s="2">
        <v>300</v>
      </c>
      <c r="BN472" s="2">
        <v>69</v>
      </c>
    </row>
    <row r="473" spans="2:66">
      <c r="B473" s="46" t="s">
        <v>625</v>
      </c>
      <c r="D473" s="25" t="e">
        <f t="shared" ref="D473:AG473" si="1168">D472-D462</f>
        <v>#DIV/0!</v>
      </c>
      <c r="E473" s="25" t="e">
        <f t="shared" si="1168"/>
        <v>#DIV/0!</v>
      </c>
      <c r="F473" s="25" t="e">
        <f t="shared" si="1168"/>
        <v>#DIV/0!</v>
      </c>
      <c r="G473" s="25" t="e">
        <f t="shared" si="1168"/>
        <v>#DIV/0!</v>
      </c>
      <c r="H473" s="25" t="e">
        <f t="shared" si="1168"/>
        <v>#DIV/0!</v>
      </c>
      <c r="I473" s="25" t="e">
        <f t="shared" si="1168"/>
        <v>#DIV/0!</v>
      </c>
      <c r="J473" s="25" t="e">
        <f t="shared" si="1168"/>
        <v>#DIV/0!</v>
      </c>
      <c r="K473" s="25" t="e">
        <f t="shared" si="1168"/>
        <v>#DIV/0!</v>
      </c>
      <c r="L473" s="25" t="e">
        <f t="shared" si="1168"/>
        <v>#DIV/0!</v>
      </c>
      <c r="M473" s="25" t="e">
        <f t="shared" si="1168"/>
        <v>#DIV/0!</v>
      </c>
      <c r="N473" s="25" t="e">
        <f t="shared" si="1168"/>
        <v>#DIV/0!</v>
      </c>
      <c r="O473" s="25" t="e">
        <f t="shared" si="1168"/>
        <v>#DIV/0!</v>
      </c>
      <c r="P473" s="25" t="e">
        <f t="shared" si="1168"/>
        <v>#DIV/0!</v>
      </c>
      <c r="Q473" s="25" t="e">
        <f t="shared" si="1168"/>
        <v>#DIV/0!</v>
      </c>
      <c r="R473" s="25" t="e">
        <f t="shared" si="1168"/>
        <v>#DIV/0!</v>
      </c>
      <c r="S473" s="25" t="e">
        <f t="shared" si="1168"/>
        <v>#DIV/0!</v>
      </c>
      <c r="T473" s="25" t="e">
        <f t="shared" si="1168"/>
        <v>#DIV/0!</v>
      </c>
      <c r="U473" s="25" t="e">
        <f t="shared" si="1168"/>
        <v>#DIV/0!</v>
      </c>
      <c r="V473" s="25" t="e">
        <f t="shared" si="1168"/>
        <v>#DIV/0!</v>
      </c>
      <c r="W473" s="25" t="e">
        <f t="shared" si="1168"/>
        <v>#DIV/0!</v>
      </c>
      <c r="X473" s="25" t="e">
        <f t="shared" si="1168"/>
        <v>#DIV/0!</v>
      </c>
      <c r="Y473" s="25" t="e">
        <f t="shared" si="1168"/>
        <v>#DIV/0!</v>
      </c>
      <c r="Z473" s="25" t="e">
        <f t="shared" si="1168"/>
        <v>#DIV/0!</v>
      </c>
      <c r="AA473" s="25" t="e">
        <f t="shared" si="1168"/>
        <v>#DIV/0!</v>
      </c>
      <c r="AB473" s="25" t="e">
        <f t="shared" si="1168"/>
        <v>#DIV/0!</v>
      </c>
      <c r="AC473" s="25" t="e">
        <f t="shared" si="1168"/>
        <v>#DIV/0!</v>
      </c>
      <c r="AD473" s="25" t="e">
        <f t="shared" si="1168"/>
        <v>#DIV/0!</v>
      </c>
      <c r="AE473" s="25" t="e">
        <f t="shared" si="1168"/>
        <v>#DIV/0!</v>
      </c>
      <c r="AF473" s="25" t="e">
        <f t="shared" si="1168"/>
        <v>#DIV/0!</v>
      </c>
      <c r="AG473" s="25" t="e">
        <f t="shared" si="1168"/>
        <v>#DIV/0!</v>
      </c>
      <c r="AH473" s="90"/>
      <c r="AI473" s="87" t="e">
        <f>SUM(D473:AG473)</f>
        <v>#DIV/0!</v>
      </c>
      <c r="AJ473" s="90"/>
      <c r="AK473" s="47"/>
      <c r="BH473" s="2" t="s">
        <v>574</v>
      </c>
      <c r="BI473" s="2">
        <v>500</v>
      </c>
      <c r="BJ473" s="2">
        <v>300</v>
      </c>
      <c r="BN473" s="2">
        <v>87</v>
      </c>
    </row>
    <row r="474" spans="2:66" ht="17.399999999999999" thickBot="1">
      <c r="B474" s="906" t="s">
        <v>626</v>
      </c>
      <c r="C474" s="907"/>
      <c r="D474" s="908" t="e">
        <f>D473/12</f>
        <v>#DIV/0!</v>
      </c>
      <c r="E474" s="908" t="e">
        <f t="shared" ref="E474:AG474" si="1169">E473/12</f>
        <v>#DIV/0!</v>
      </c>
      <c r="F474" s="908" t="e">
        <f t="shared" si="1169"/>
        <v>#DIV/0!</v>
      </c>
      <c r="G474" s="908" t="e">
        <f t="shared" si="1169"/>
        <v>#DIV/0!</v>
      </c>
      <c r="H474" s="908" t="e">
        <f t="shared" si="1169"/>
        <v>#DIV/0!</v>
      </c>
      <c r="I474" s="908" t="e">
        <f t="shared" si="1169"/>
        <v>#DIV/0!</v>
      </c>
      <c r="J474" s="908" t="e">
        <f t="shared" si="1169"/>
        <v>#DIV/0!</v>
      </c>
      <c r="K474" s="908" t="e">
        <f t="shared" si="1169"/>
        <v>#DIV/0!</v>
      </c>
      <c r="L474" s="908" t="e">
        <f t="shared" si="1169"/>
        <v>#DIV/0!</v>
      </c>
      <c r="M474" s="908" t="e">
        <f t="shared" si="1169"/>
        <v>#DIV/0!</v>
      </c>
      <c r="N474" s="908" t="e">
        <f t="shared" si="1169"/>
        <v>#DIV/0!</v>
      </c>
      <c r="O474" s="908" t="e">
        <f t="shared" si="1169"/>
        <v>#DIV/0!</v>
      </c>
      <c r="P474" s="908" t="e">
        <f t="shared" si="1169"/>
        <v>#DIV/0!</v>
      </c>
      <c r="Q474" s="908" t="e">
        <f t="shared" si="1169"/>
        <v>#DIV/0!</v>
      </c>
      <c r="R474" s="908" t="e">
        <f t="shared" si="1169"/>
        <v>#DIV/0!</v>
      </c>
      <c r="S474" s="908" t="e">
        <f t="shared" si="1169"/>
        <v>#DIV/0!</v>
      </c>
      <c r="T474" s="908" t="e">
        <f t="shared" si="1169"/>
        <v>#DIV/0!</v>
      </c>
      <c r="U474" s="908" t="e">
        <f t="shared" si="1169"/>
        <v>#DIV/0!</v>
      </c>
      <c r="V474" s="908" t="e">
        <f t="shared" si="1169"/>
        <v>#DIV/0!</v>
      </c>
      <c r="W474" s="908" t="e">
        <f t="shared" si="1169"/>
        <v>#DIV/0!</v>
      </c>
      <c r="X474" s="908" t="e">
        <f t="shared" si="1169"/>
        <v>#DIV/0!</v>
      </c>
      <c r="Y474" s="908" t="e">
        <f t="shared" si="1169"/>
        <v>#DIV/0!</v>
      </c>
      <c r="Z474" s="908" t="e">
        <f t="shared" si="1169"/>
        <v>#DIV/0!</v>
      </c>
      <c r="AA474" s="908" t="e">
        <f t="shared" si="1169"/>
        <v>#DIV/0!</v>
      </c>
      <c r="AB474" s="908" t="e">
        <f t="shared" si="1169"/>
        <v>#DIV/0!</v>
      </c>
      <c r="AC474" s="908" t="e">
        <f t="shared" si="1169"/>
        <v>#DIV/0!</v>
      </c>
      <c r="AD474" s="908" t="e">
        <f t="shared" si="1169"/>
        <v>#DIV/0!</v>
      </c>
      <c r="AE474" s="908" t="e">
        <f t="shared" si="1169"/>
        <v>#DIV/0!</v>
      </c>
      <c r="AF474" s="908" t="e">
        <f t="shared" si="1169"/>
        <v>#DIV/0!</v>
      </c>
      <c r="AG474" s="908" t="e">
        <f t="shared" si="1169"/>
        <v>#DIV/0!</v>
      </c>
      <c r="AH474" s="909"/>
      <c r="AI474" s="910"/>
      <c r="AJ474" s="909"/>
      <c r="AK474" s="911"/>
      <c r="AN474" s="24"/>
      <c r="BH474" s="2" t="s">
        <v>574</v>
      </c>
      <c r="BI474" s="2">
        <v>600</v>
      </c>
      <c r="BJ474" s="2">
        <v>300</v>
      </c>
      <c r="BN474" s="2">
        <v>104</v>
      </c>
    </row>
    <row r="475" spans="2:66" ht="13.5" customHeight="1">
      <c r="B475" s="515"/>
      <c r="BH475" s="2" t="s">
        <v>574</v>
      </c>
      <c r="BI475" s="2">
        <v>700</v>
      </c>
      <c r="BJ475" s="2">
        <v>300</v>
      </c>
      <c r="BN475" s="2">
        <v>121</v>
      </c>
    </row>
    <row r="476" spans="2:66" ht="18.600000000000001">
      <c r="N476" s="54"/>
      <c r="O476" s="54"/>
      <c r="P476" s="54"/>
      <c r="Q476" s="54"/>
      <c r="R476" s="54"/>
      <c r="S476" s="54"/>
      <c r="T476" s="54"/>
      <c r="U476" s="54"/>
      <c r="V476" s="54"/>
      <c r="W476" s="54"/>
      <c r="X476" s="54"/>
      <c r="Y476" s="54"/>
      <c r="Z476" s="54"/>
      <c r="AA476" s="54"/>
      <c r="AB476" s="54"/>
      <c r="AC476" s="54"/>
      <c r="AD476" s="54"/>
      <c r="AE476" s="54"/>
      <c r="AF476" s="54"/>
      <c r="AG476" s="54"/>
      <c r="AH476" s="62"/>
      <c r="AI476" s="3"/>
      <c r="AJ476" s="3"/>
      <c r="AK476" s="3"/>
      <c r="BH476" s="2" t="s">
        <v>574</v>
      </c>
      <c r="BI476" s="2">
        <v>800</v>
      </c>
      <c r="BJ476" s="2">
        <v>300</v>
      </c>
      <c r="BN476" s="2">
        <v>138</v>
      </c>
    </row>
    <row r="477" spans="2:66">
      <c r="N477" s="54"/>
      <c r="O477" s="54"/>
      <c r="P477" s="54"/>
      <c r="Q477" s="54"/>
      <c r="R477" s="54"/>
      <c r="S477" s="54"/>
      <c r="T477" s="54"/>
      <c r="U477" s="54"/>
      <c r="V477" s="54"/>
      <c r="W477" s="54"/>
      <c r="X477" s="54"/>
      <c r="Y477" s="54"/>
      <c r="Z477" s="54"/>
      <c r="AA477" s="54"/>
      <c r="AB477" s="54"/>
      <c r="AC477" s="54"/>
      <c r="AD477" s="54"/>
      <c r="AE477" s="54"/>
      <c r="AF477" s="54"/>
      <c r="AG477" s="54"/>
      <c r="AH477" s="549"/>
      <c r="AI477" s="24"/>
      <c r="AN477" s="24"/>
      <c r="BH477" s="2" t="s">
        <v>574</v>
      </c>
      <c r="BI477" s="2">
        <v>900</v>
      </c>
      <c r="BJ477" s="2">
        <v>300</v>
      </c>
      <c r="BN477" s="2">
        <v>156</v>
      </c>
    </row>
    <row r="478" spans="2:66">
      <c r="B478" s="3" t="s">
        <v>201</v>
      </c>
      <c r="C478" s="2">
        <f>Allgemein!K104</f>
        <v>0</v>
      </c>
      <c r="D478" s="54"/>
      <c r="E478" s="54" t="s">
        <v>115</v>
      </c>
      <c r="F478" s="54">
        <f>C478</f>
        <v>0</v>
      </c>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c r="AG478" s="54"/>
      <c r="AI478" s="550"/>
      <c r="AN478" s="24"/>
      <c r="BH478" s="2" t="s">
        <v>574</v>
      </c>
      <c r="BI478" s="2">
        <v>1000</v>
      </c>
      <c r="BJ478" s="2">
        <v>300</v>
      </c>
      <c r="BN478" s="2">
        <v>173</v>
      </c>
    </row>
    <row r="479" spans="2:66" ht="18.600000000000001">
      <c r="B479" s="2" t="s">
        <v>636</v>
      </c>
      <c r="C479" s="185">
        <f>C478*(F479+F480)/12</f>
        <v>0</v>
      </c>
      <c r="D479" s="54"/>
      <c r="E479" s="54" t="s">
        <v>637</v>
      </c>
      <c r="F479" s="919">
        <v>0.04</v>
      </c>
      <c r="AI479" s="541"/>
      <c r="AN479" s="109"/>
      <c r="BH479" s="2" t="s">
        <v>574</v>
      </c>
      <c r="BI479" s="2">
        <v>1100</v>
      </c>
      <c r="BJ479" s="2">
        <v>300</v>
      </c>
      <c r="BN479" s="2">
        <v>190</v>
      </c>
    </row>
    <row r="480" spans="2:66">
      <c r="E480" s="54" t="s">
        <v>638</v>
      </c>
      <c r="F480" s="920">
        <v>1.7999999999999999E-2</v>
      </c>
      <c r="G480" s="540"/>
      <c r="H480" s="540"/>
      <c r="I480" s="540"/>
      <c r="J480" s="540"/>
      <c r="K480" s="540"/>
      <c r="L480" s="540"/>
      <c r="M480" s="540"/>
      <c r="N480" s="540"/>
      <c r="O480" s="540"/>
      <c r="P480" s="540"/>
      <c r="Q480" s="540"/>
      <c r="R480" s="540"/>
      <c r="S480" s="540"/>
      <c r="T480" s="540"/>
      <c r="U480" s="540"/>
      <c r="V480" s="540"/>
      <c r="W480" s="540"/>
      <c r="X480" s="540"/>
      <c r="Y480" s="540"/>
      <c r="Z480" s="540"/>
      <c r="AA480" s="540"/>
      <c r="AB480" s="540"/>
      <c r="AC480" s="540"/>
      <c r="AD480" s="540"/>
      <c r="AE480" s="540"/>
      <c r="AF480" s="540"/>
      <c r="AG480" s="540"/>
      <c r="AI480" s="24"/>
      <c r="AN480" s="24"/>
      <c r="BH480" s="2" t="s">
        <v>574</v>
      </c>
      <c r="BI480" s="2">
        <v>1200</v>
      </c>
      <c r="BJ480" s="2">
        <v>300</v>
      </c>
      <c r="BN480" s="2">
        <v>208</v>
      </c>
    </row>
    <row r="481" spans="2:66">
      <c r="E481" s="54" t="s">
        <v>639</v>
      </c>
      <c r="F481" s="54" t="s">
        <v>640</v>
      </c>
      <c r="G481" s="540"/>
      <c r="H481" s="540"/>
      <c r="I481" s="540"/>
      <c r="J481" s="540"/>
      <c r="K481" s="540"/>
      <c r="L481" s="540"/>
      <c r="M481" s="540"/>
      <c r="N481" s="540"/>
      <c r="O481" s="540"/>
      <c r="P481" s="540"/>
      <c r="Q481" s="540"/>
      <c r="R481" s="540"/>
      <c r="S481" s="540"/>
      <c r="T481" s="540"/>
      <c r="U481" s="540"/>
      <c r="V481" s="540"/>
      <c r="W481" s="540"/>
      <c r="X481" s="540"/>
      <c r="Y481" s="540"/>
      <c r="Z481" s="540"/>
      <c r="AA481" s="540"/>
      <c r="AB481" s="540"/>
      <c r="AC481" s="540"/>
      <c r="AD481" s="540"/>
      <c r="AE481" s="540"/>
      <c r="AF481" s="540"/>
      <c r="AG481" s="540"/>
      <c r="AI481" s="24"/>
      <c r="AN481" s="24"/>
      <c r="AO481" s="24"/>
      <c r="BH481" s="2" t="s">
        <v>574</v>
      </c>
      <c r="BI481" s="2">
        <v>1400</v>
      </c>
      <c r="BJ481" s="2">
        <v>300</v>
      </c>
      <c r="BN481" s="2">
        <v>242</v>
      </c>
    </row>
    <row r="482" spans="2:66">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c r="AG482" s="54"/>
      <c r="AI482" s="24"/>
      <c r="AK482" s="3"/>
      <c r="BH482" s="2" t="s">
        <v>574</v>
      </c>
      <c r="BI482" s="2">
        <v>1600</v>
      </c>
      <c r="BJ482" s="2">
        <v>300</v>
      </c>
      <c r="BN482" s="2">
        <v>277</v>
      </c>
    </row>
    <row r="483" spans="2:66" ht="18.600000000000001">
      <c r="D483" s="539"/>
      <c r="E483" s="539"/>
      <c r="F483" s="539"/>
      <c r="G483" s="539"/>
      <c r="H483" s="539"/>
      <c r="I483" s="539"/>
      <c r="J483" s="539"/>
      <c r="K483" s="539"/>
      <c r="L483" s="539"/>
      <c r="M483" s="539"/>
      <c r="N483" s="539"/>
      <c r="O483" s="539"/>
      <c r="P483" s="539"/>
      <c r="Q483" s="539"/>
      <c r="R483" s="539"/>
      <c r="S483" s="539"/>
      <c r="T483" s="539"/>
      <c r="U483" s="539"/>
      <c r="V483" s="539"/>
      <c r="W483" s="539"/>
      <c r="X483" s="539"/>
      <c r="Y483" s="539"/>
      <c r="Z483" s="539"/>
      <c r="AA483" s="539"/>
      <c r="AB483" s="539"/>
      <c r="AC483" s="539"/>
      <c r="AD483" s="539"/>
      <c r="AE483" s="539"/>
      <c r="AF483" s="539"/>
      <c r="AG483" s="539"/>
      <c r="AI483" s="62"/>
      <c r="AJ483" s="62"/>
      <c r="BH483" s="2" t="s">
        <v>574</v>
      </c>
      <c r="BI483" s="2">
        <v>1800</v>
      </c>
      <c r="BJ483" s="2">
        <v>300</v>
      </c>
      <c r="BN483" s="2">
        <v>311</v>
      </c>
    </row>
    <row r="484" spans="2:66" ht="18.600000000000001">
      <c r="B484" s="62"/>
      <c r="AI484" s="62"/>
      <c r="AO484" s="24"/>
      <c r="BH484" s="2" t="s">
        <v>574</v>
      </c>
      <c r="BI484" s="2">
        <v>2000</v>
      </c>
      <c r="BJ484" s="2">
        <v>300</v>
      </c>
      <c r="BN484" s="2">
        <v>346</v>
      </c>
    </row>
    <row r="485" spans="2:66">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c r="AI485" s="24"/>
      <c r="AO485" s="24"/>
      <c r="AP485" s="184"/>
      <c r="BH485" s="2" t="s">
        <v>574</v>
      </c>
      <c r="BI485" s="2">
        <v>2200</v>
      </c>
      <c r="BJ485" s="2">
        <v>300</v>
      </c>
      <c r="BN485" s="2">
        <v>381</v>
      </c>
    </row>
    <row r="486" spans="2:66">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c r="AG486" s="54"/>
      <c r="AH486" s="549"/>
      <c r="AI486" s="24"/>
      <c r="AN486" s="24"/>
      <c r="BH486" s="2" t="s">
        <v>574</v>
      </c>
      <c r="BI486" s="2">
        <v>2300</v>
      </c>
      <c r="BJ486" s="2">
        <v>300</v>
      </c>
      <c r="BN486" s="2">
        <v>398</v>
      </c>
    </row>
    <row r="487" spans="2:66">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c r="AG487" s="54"/>
      <c r="AI487" s="550"/>
      <c r="AN487" s="24"/>
      <c r="BH487" s="2" t="s">
        <v>574</v>
      </c>
      <c r="BI487" s="2">
        <v>2600</v>
      </c>
      <c r="BJ487" s="2">
        <v>300</v>
      </c>
      <c r="BN487" s="2">
        <v>450</v>
      </c>
    </row>
    <row r="488" spans="2:66" ht="18.600000000000001">
      <c r="B488" s="62"/>
      <c r="AI488" s="541"/>
      <c r="AN488" s="109"/>
      <c r="BH488" s="2" t="s">
        <v>574</v>
      </c>
      <c r="BI488" s="2">
        <v>3000</v>
      </c>
      <c r="BJ488" s="2">
        <v>300</v>
      </c>
      <c r="BN488" s="2">
        <v>519</v>
      </c>
    </row>
    <row r="489" spans="2:66">
      <c r="B489" s="2" t="str">
        <f>Allgemein!J123</f>
        <v>Wertsteigerung:</v>
      </c>
      <c r="E489" s="922">
        <f>Allgemein!L123</f>
        <v>0</v>
      </c>
      <c r="O489" s="540"/>
      <c r="P489" s="540"/>
      <c r="Q489" s="540"/>
      <c r="R489" s="540"/>
      <c r="S489" s="540"/>
      <c r="T489" s="540"/>
      <c r="U489" s="540"/>
      <c r="V489" s="540"/>
      <c r="W489" s="540"/>
      <c r="X489" s="540"/>
      <c r="Y489" s="540"/>
      <c r="Z489" s="540"/>
      <c r="AA489" s="540"/>
      <c r="AB489" s="540"/>
      <c r="AC489" s="540"/>
      <c r="AD489" s="540"/>
      <c r="AE489" s="540"/>
      <c r="AF489" s="540"/>
      <c r="AG489" s="540"/>
      <c r="AI489" s="24"/>
      <c r="AN489" s="24"/>
      <c r="BH489" s="2" t="s">
        <v>574</v>
      </c>
      <c r="BI489" s="2">
        <v>400</v>
      </c>
      <c r="BJ489" s="2">
        <v>400</v>
      </c>
      <c r="BN489" s="2">
        <v>91</v>
      </c>
    </row>
    <row r="490" spans="2:66">
      <c r="O490" s="540"/>
      <c r="P490" s="540"/>
      <c r="Q490" s="540"/>
      <c r="R490" s="540"/>
      <c r="S490" s="540"/>
      <c r="T490" s="540"/>
      <c r="U490" s="540"/>
      <c r="V490" s="540"/>
      <c r="W490" s="540"/>
      <c r="X490" s="540"/>
      <c r="Y490" s="540"/>
      <c r="Z490" s="540"/>
      <c r="AA490" s="540"/>
      <c r="AB490" s="540"/>
      <c r="AC490" s="540"/>
      <c r="AD490" s="540"/>
      <c r="AE490" s="540"/>
      <c r="AF490" s="540"/>
      <c r="AG490" s="540"/>
      <c r="AI490" s="24"/>
      <c r="AN490" s="24"/>
      <c r="AO490" s="24"/>
      <c r="BH490" s="2" t="s">
        <v>574</v>
      </c>
      <c r="BI490" s="2">
        <v>500</v>
      </c>
      <c r="BJ490" s="2">
        <v>400</v>
      </c>
      <c r="BN490" s="2">
        <v>114</v>
      </c>
    </row>
    <row r="491" spans="2:66">
      <c r="O491" s="54"/>
      <c r="P491" s="54"/>
      <c r="Q491" s="54"/>
      <c r="R491" s="54"/>
      <c r="S491" s="54"/>
      <c r="T491" s="54"/>
      <c r="U491" s="54"/>
      <c r="V491" s="54"/>
      <c r="W491" s="54"/>
      <c r="X491" s="54"/>
      <c r="Y491" s="54"/>
      <c r="Z491" s="54"/>
      <c r="AA491" s="54"/>
      <c r="AB491" s="54"/>
      <c r="AC491" s="54"/>
      <c r="AD491" s="54"/>
      <c r="AE491" s="54"/>
      <c r="AF491" s="54"/>
      <c r="AG491" s="54"/>
      <c r="AI491" s="24"/>
      <c r="AK491" s="3"/>
      <c r="BH491" s="2" t="s">
        <v>574</v>
      </c>
      <c r="BI491" s="2">
        <v>600</v>
      </c>
      <c r="BJ491" s="2">
        <v>400</v>
      </c>
      <c r="BN491" s="2">
        <v>136</v>
      </c>
    </row>
    <row r="492" spans="2:66">
      <c r="B492" s="2" t="str">
        <f>Allgemein!J122</f>
        <v>Kosten:</v>
      </c>
      <c r="E492" s="922">
        <f>Allgemein!L122</f>
        <v>0</v>
      </c>
      <c r="O492" s="54"/>
      <c r="P492" s="54"/>
      <c r="Q492" s="54"/>
      <c r="R492" s="54"/>
      <c r="S492" s="54"/>
      <c r="T492" s="54"/>
      <c r="U492" s="54"/>
      <c r="V492" s="54"/>
      <c r="W492" s="54"/>
      <c r="X492" s="54"/>
      <c r="Y492" s="54"/>
      <c r="Z492" s="54"/>
      <c r="AA492" s="54"/>
      <c r="AB492" s="54"/>
      <c r="AC492" s="54"/>
      <c r="AD492" s="54"/>
      <c r="AE492" s="54"/>
      <c r="AF492" s="54"/>
      <c r="AG492" s="54"/>
      <c r="AI492" s="24"/>
      <c r="AJ492" s="24"/>
      <c r="AN492" s="24"/>
      <c r="BH492" s="2" t="s">
        <v>574</v>
      </c>
      <c r="BI492" s="2">
        <v>700</v>
      </c>
      <c r="BJ492" s="2">
        <v>400</v>
      </c>
      <c r="BN492" s="2">
        <v>159</v>
      </c>
    </row>
    <row r="493" spans="2:66">
      <c r="B493" s="2" t="str">
        <f>Allgemein!O123</f>
        <v>Förderung:</v>
      </c>
      <c r="E493" s="922">
        <f>Allgemein!P123</f>
        <v>0</v>
      </c>
      <c r="O493" s="540"/>
      <c r="P493" s="540"/>
      <c r="Q493" s="540"/>
      <c r="R493" s="540"/>
      <c r="S493" s="540"/>
      <c r="T493" s="540"/>
      <c r="U493" s="540"/>
      <c r="V493" s="540"/>
      <c r="W493" s="540"/>
      <c r="X493" s="540"/>
      <c r="Y493" s="540"/>
      <c r="Z493" s="540"/>
      <c r="AA493" s="540"/>
      <c r="AB493" s="540"/>
      <c r="AC493" s="540"/>
      <c r="AD493" s="540"/>
      <c r="AE493" s="540"/>
      <c r="AF493" s="540"/>
      <c r="AG493" s="540"/>
      <c r="AI493" s="24"/>
      <c r="BH493" s="2" t="s">
        <v>574</v>
      </c>
      <c r="BI493" s="2">
        <v>800</v>
      </c>
      <c r="BJ493" s="2">
        <v>400</v>
      </c>
      <c r="BN493" s="2">
        <v>182</v>
      </c>
    </row>
    <row r="494" spans="2:66">
      <c r="B494" s="2" t="str">
        <f>Allgemein!O122</f>
        <v>Sowieso-Kosten:</v>
      </c>
      <c r="E494" s="922">
        <f>Allgemein!P122</f>
        <v>0</v>
      </c>
      <c r="O494" s="54"/>
      <c r="P494" s="54"/>
      <c r="Q494" s="54"/>
      <c r="R494" s="54"/>
      <c r="S494" s="54"/>
      <c r="T494" s="54"/>
      <c r="U494" s="54"/>
      <c r="V494" s="54"/>
      <c r="W494" s="54"/>
      <c r="X494" s="54"/>
      <c r="Y494" s="54"/>
      <c r="Z494" s="54"/>
      <c r="AA494" s="54"/>
      <c r="AB494" s="54"/>
      <c r="AC494" s="54"/>
      <c r="AD494" s="54"/>
      <c r="AE494" s="54"/>
      <c r="AF494" s="54"/>
      <c r="AG494" s="54"/>
      <c r="AI494" s="24"/>
      <c r="AJ494" s="24"/>
      <c r="BH494" s="2" t="s">
        <v>574</v>
      </c>
      <c r="BI494" s="2">
        <v>900</v>
      </c>
      <c r="BJ494" s="2">
        <v>400</v>
      </c>
      <c r="BN494" s="2">
        <v>204</v>
      </c>
    </row>
    <row r="495" spans="2:66">
      <c r="O495" s="25"/>
      <c r="P495" s="25"/>
      <c r="Q495" s="25"/>
      <c r="R495" s="25"/>
      <c r="S495" s="25"/>
      <c r="T495" s="25"/>
      <c r="U495" s="25"/>
      <c r="V495" s="25"/>
      <c r="W495" s="25"/>
      <c r="X495" s="25"/>
      <c r="Y495" s="25"/>
      <c r="Z495" s="25"/>
      <c r="AA495" s="25"/>
      <c r="AB495" s="25"/>
      <c r="AC495" s="25"/>
      <c r="AD495" s="25"/>
      <c r="AE495" s="25"/>
      <c r="AF495" s="25"/>
      <c r="AG495" s="25"/>
      <c r="AH495" s="24"/>
      <c r="AI495" s="24"/>
      <c r="AJ495" s="24"/>
      <c r="BH495" s="2" t="s">
        <v>574</v>
      </c>
      <c r="BI495" s="2">
        <v>1000</v>
      </c>
      <c r="BJ495" s="2">
        <v>400</v>
      </c>
      <c r="BN495" s="2">
        <v>227</v>
      </c>
    </row>
    <row r="496" spans="2:66">
      <c r="B496" s="2" t="s">
        <v>641</v>
      </c>
      <c r="E496" s="922">
        <f>E492-E493-E494</f>
        <v>0</v>
      </c>
      <c r="G496" s="2" t="s">
        <v>115</v>
      </c>
      <c r="H496" s="183">
        <v>0.04</v>
      </c>
      <c r="J496" s="2" t="s">
        <v>638</v>
      </c>
      <c r="K496" s="23">
        <v>1.7999999999999999E-2</v>
      </c>
      <c r="M496" s="2" t="s">
        <v>642</v>
      </c>
      <c r="O496" s="25"/>
      <c r="P496" s="25"/>
      <c r="Q496" s="25"/>
      <c r="R496" s="25"/>
      <c r="S496" s="25"/>
      <c r="T496" s="25"/>
      <c r="U496" s="25"/>
      <c r="V496" s="25"/>
      <c r="W496" s="25"/>
      <c r="X496" s="25"/>
      <c r="Y496" s="25"/>
      <c r="Z496" s="25"/>
      <c r="AA496" s="25"/>
      <c r="AB496" s="25"/>
      <c r="AC496" s="25"/>
      <c r="AD496" s="25"/>
      <c r="AE496" s="25"/>
      <c r="AF496" s="25"/>
      <c r="AG496" s="25"/>
      <c r="AH496" s="24"/>
      <c r="AI496" s="24"/>
      <c r="AJ496" s="24"/>
      <c r="BH496" s="2" t="s">
        <v>574</v>
      </c>
      <c r="BI496" s="2">
        <v>1100</v>
      </c>
      <c r="BJ496" s="2">
        <v>400</v>
      </c>
      <c r="BN496" s="2">
        <v>250</v>
      </c>
    </row>
    <row r="497" spans="2:66" ht="18.600000000000001">
      <c r="O497" s="54"/>
      <c r="P497" s="54"/>
      <c r="Q497" s="54"/>
      <c r="R497" s="54"/>
      <c r="S497" s="54"/>
      <c r="T497" s="54"/>
      <c r="U497" s="54"/>
      <c r="V497" s="54"/>
      <c r="W497" s="54"/>
      <c r="X497" s="54"/>
      <c r="Y497" s="54"/>
      <c r="Z497" s="54"/>
      <c r="AA497" s="54"/>
      <c r="AB497" s="54"/>
      <c r="AC497" s="54"/>
      <c r="AD497" s="54"/>
      <c r="AE497" s="54"/>
      <c r="AF497" s="54"/>
      <c r="AG497" s="54"/>
      <c r="AH497" s="62"/>
      <c r="AI497" s="3"/>
      <c r="AJ497" s="3"/>
      <c r="AK497" s="3"/>
      <c r="BH497" s="2" t="s">
        <v>574</v>
      </c>
      <c r="BI497" s="2">
        <v>1200</v>
      </c>
      <c r="BJ497" s="2">
        <v>400</v>
      </c>
      <c r="BN497" s="2">
        <v>272</v>
      </c>
    </row>
    <row r="498" spans="2:66">
      <c r="D498" s="2" t="s">
        <v>643</v>
      </c>
      <c r="E498" s="921">
        <f>E496*(H496+K496)/12</f>
        <v>0</v>
      </c>
      <c r="O498" s="54"/>
      <c r="P498" s="54"/>
      <c r="Q498" s="54"/>
      <c r="R498" s="54"/>
      <c r="S498" s="54"/>
      <c r="T498" s="54"/>
      <c r="U498" s="54"/>
      <c r="V498" s="54"/>
      <c r="W498" s="54"/>
      <c r="X498" s="54"/>
      <c r="Y498" s="54"/>
      <c r="Z498" s="54"/>
      <c r="AA498" s="54"/>
      <c r="AB498" s="54"/>
      <c r="AC498" s="54"/>
      <c r="AD498" s="54"/>
      <c r="AE498" s="54"/>
      <c r="AF498" s="54"/>
      <c r="AG498" s="54"/>
      <c r="AI498" s="550"/>
      <c r="AJ498" s="550"/>
      <c r="AK498" s="3"/>
      <c r="BH498" s="2" t="s">
        <v>574</v>
      </c>
      <c r="BI498" s="2">
        <v>1400</v>
      </c>
      <c r="BJ498" s="2">
        <v>400</v>
      </c>
      <c r="BN498" s="2">
        <v>318</v>
      </c>
    </row>
    <row r="499" spans="2:66" ht="18.600000000000001">
      <c r="AI499" s="541"/>
      <c r="BH499" s="2" t="s">
        <v>574</v>
      </c>
      <c r="BI499" s="2">
        <v>1600</v>
      </c>
      <c r="BJ499" s="2">
        <v>400</v>
      </c>
      <c r="BN499" s="2">
        <v>363</v>
      </c>
    </row>
    <row r="500" spans="2:66">
      <c r="C500" s="2" t="s">
        <v>644</v>
      </c>
      <c r="E500" s="922" t="e">
        <f>Datenbank!D460</f>
        <v>#DIV/0!</v>
      </c>
      <c r="O500" s="77"/>
      <c r="P500" s="77"/>
      <c r="Q500" s="77"/>
      <c r="R500" s="77"/>
      <c r="S500" s="77"/>
      <c r="T500" s="77"/>
      <c r="U500" s="77"/>
      <c r="V500" s="77"/>
      <c r="W500" s="77"/>
      <c r="X500" s="77"/>
      <c r="Y500" s="77"/>
      <c r="Z500" s="77"/>
      <c r="AA500" s="77"/>
      <c r="AB500" s="77"/>
      <c r="AC500" s="77"/>
      <c r="AD500" s="77"/>
      <c r="AE500" s="77"/>
      <c r="AF500" s="77"/>
      <c r="AG500" s="77"/>
      <c r="AI500" s="24"/>
      <c r="AK500" s="24"/>
      <c r="BH500" s="2" t="s">
        <v>574</v>
      </c>
      <c r="BI500" s="2">
        <v>1800</v>
      </c>
      <c r="BJ500" s="2">
        <v>400</v>
      </c>
      <c r="BN500" s="2">
        <v>409</v>
      </c>
    </row>
    <row r="501" spans="2:66">
      <c r="O501" s="553"/>
      <c r="P501" s="553"/>
      <c r="Q501" s="553"/>
      <c r="R501" s="553"/>
      <c r="S501" s="553"/>
      <c r="T501" s="553"/>
      <c r="U501" s="553"/>
      <c r="V501" s="553"/>
      <c r="W501" s="553"/>
      <c r="X501" s="553"/>
      <c r="Y501" s="553"/>
      <c r="Z501" s="553"/>
      <c r="AA501" s="553"/>
      <c r="AB501" s="553"/>
      <c r="AC501" s="553"/>
      <c r="AD501" s="553"/>
      <c r="AE501" s="553"/>
      <c r="AF501" s="553"/>
      <c r="AG501" s="553"/>
      <c r="AI501" s="24"/>
      <c r="AK501" s="552"/>
      <c r="BH501" s="2" t="s">
        <v>574</v>
      </c>
      <c r="BI501" s="2">
        <v>2000</v>
      </c>
      <c r="BJ501" s="2">
        <v>400</v>
      </c>
      <c r="BN501" s="2">
        <v>454</v>
      </c>
    </row>
    <row r="502" spans="2:66">
      <c r="B502" s="2" t="s">
        <v>645</v>
      </c>
      <c r="E502" s="921" t="e">
        <f>E498-E500</f>
        <v>#DIV/0!</v>
      </c>
      <c r="O502" s="24"/>
      <c r="P502" s="24"/>
      <c r="Q502" s="24"/>
      <c r="R502" s="24"/>
      <c r="S502" s="24"/>
      <c r="T502" s="24"/>
      <c r="U502" s="24"/>
      <c r="V502" s="24"/>
      <c r="W502" s="24"/>
      <c r="X502" s="24"/>
      <c r="Y502" s="24"/>
      <c r="Z502" s="24"/>
      <c r="AA502" s="24"/>
      <c r="AB502" s="24"/>
      <c r="AC502" s="24"/>
      <c r="AD502" s="24"/>
      <c r="AE502" s="24"/>
      <c r="AF502" s="24"/>
      <c r="AG502" s="24"/>
      <c r="AI502" s="24"/>
      <c r="BH502" s="2" t="s">
        <v>574</v>
      </c>
      <c r="BI502" s="2">
        <v>2200</v>
      </c>
      <c r="BJ502" s="2">
        <v>400</v>
      </c>
      <c r="BN502" s="2">
        <v>500</v>
      </c>
    </row>
    <row r="503" spans="2:66">
      <c r="D503" s="54"/>
      <c r="E503" s="54"/>
      <c r="F503" s="54"/>
      <c r="G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c r="BH503" s="2" t="s">
        <v>574</v>
      </c>
      <c r="BI503" s="2">
        <v>2300</v>
      </c>
      <c r="BJ503" s="2">
        <v>400</v>
      </c>
      <c r="BN503" s="2">
        <v>522</v>
      </c>
    </row>
    <row r="504" spans="2:66" ht="18.600000000000001">
      <c r="B504" s="541"/>
      <c r="C504" s="551"/>
      <c r="D504" s="6"/>
      <c r="AI504" s="541"/>
      <c r="BH504" s="2" t="s">
        <v>574</v>
      </c>
      <c r="BI504" s="2">
        <v>2600</v>
      </c>
      <c r="BJ504" s="2">
        <v>400</v>
      </c>
      <c r="BN504" s="2">
        <v>590</v>
      </c>
    </row>
    <row r="505" spans="2:66">
      <c r="D505" s="77"/>
      <c r="E505" s="77"/>
      <c r="F505" s="77"/>
      <c r="G505" s="77"/>
      <c r="I505" s="2" t="s">
        <v>328</v>
      </c>
      <c r="J505" s="2" t="s">
        <v>329</v>
      </c>
      <c r="K505" s="77"/>
      <c r="L505" s="77"/>
      <c r="M505" s="77"/>
      <c r="N505" s="77"/>
      <c r="O505" s="77"/>
      <c r="P505" s="77"/>
      <c r="Q505" s="77"/>
      <c r="R505" s="77"/>
      <c r="S505" s="77"/>
      <c r="T505" s="77"/>
      <c r="U505" s="77"/>
      <c r="V505" s="77"/>
      <c r="W505" s="77"/>
      <c r="X505" s="77"/>
      <c r="Y505" s="77"/>
      <c r="Z505" s="77"/>
      <c r="AA505" s="77"/>
      <c r="AB505" s="77"/>
      <c r="AC505" s="77"/>
      <c r="AD505" s="77"/>
      <c r="AE505" s="77"/>
      <c r="AF505" s="77"/>
      <c r="AG505" s="77"/>
      <c r="AI505" s="24"/>
      <c r="BH505" s="2" t="s">
        <v>574</v>
      </c>
      <c r="BI505" s="2">
        <v>3000</v>
      </c>
      <c r="BJ505" s="2">
        <v>400</v>
      </c>
      <c r="BN505" s="2">
        <v>681</v>
      </c>
    </row>
    <row r="506" spans="2:66">
      <c r="B506" s="552"/>
      <c r="D506" s="553"/>
      <c r="E506" s="553"/>
      <c r="F506" s="553"/>
      <c r="G506" s="553"/>
      <c r="H506" s="2" t="s">
        <v>150</v>
      </c>
      <c r="J506" s="24">
        <f>E496</f>
        <v>0</v>
      </c>
      <c r="K506" s="553"/>
      <c r="L506" s="553"/>
      <c r="M506" s="553"/>
      <c r="N506" s="553"/>
      <c r="O506" s="553"/>
      <c r="P506" s="553"/>
      <c r="Q506" s="553"/>
      <c r="R506" s="553"/>
      <c r="S506" s="553"/>
      <c r="T506" s="553"/>
      <c r="U506" s="553"/>
      <c r="V506" s="553"/>
      <c r="W506" s="553"/>
      <c r="X506" s="553"/>
      <c r="Y506" s="553"/>
      <c r="Z506" s="553"/>
      <c r="AA506" s="553"/>
      <c r="AB506" s="553"/>
      <c r="AC506" s="553"/>
      <c r="AD506" s="553"/>
      <c r="AE506" s="553"/>
      <c r="AF506" s="553"/>
      <c r="AG506" s="553"/>
      <c r="AI506" s="24"/>
      <c r="BH506" s="2" t="s">
        <v>574</v>
      </c>
      <c r="BI506" s="2">
        <v>400</v>
      </c>
      <c r="BJ506" s="2">
        <v>500</v>
      </c>
      <c r="BN506" s="2">
        <v>112</v>
      </c>
    </row>
    <row r="507" spans="2:66">
      <c r="D507" s="25"/>
      <c r="E507" s="25"/>
      <c r="F507" s="25"/>
      <c r="G507" s="25"/>
      <c r="H507" s="2" t="str">
        <f>IF(J507=0,"","Kreditkosten")</f>
        <v/>
      </c>
      <c r="J507" s="24"/>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I507" s="24"/>
      <c r="BH507" s="2" t="s">
        <v>574</v>
      </c>
      <c r="BI507" s="2">
        <v>500</v>
      </c>
      <c r="BJ507" s="2">
        <v>500</v>
      </c>
      <c r="BN507" s="2">
        <v>140</v>
      </c>
    </row>
    <row r="508" spans="2:66">
      <c r="H508" s="2" t="s">
        <v>149</v>
      </c>
      <c r="I508" s="24" t="e">
        <f>AN446</f>
        <v>#DIV/0!</v>
      </c>
      <c r="BH508" s="2" t="s">
        <v>574</v>
      </c>
      <c r="BI508" s="2">
        <v>600</v>
      </c>
      <c r="BJ508" s="2">
        <v>500</v>
      </c>
      <c r="BN508" s="2">
        <v>168</v>
      </c>
    </row>
    <row r="509" spans="2:66">
      <c r="H509" s="12" t="s">
        <v>185</v>
      </c>
      <c r="I509" s="117">
        <f>E489</f>
        <v>0</v>
      </c>
      <c r="J509" s="12"/>
      <c r="BH509" s="2" t="s">
        <v>574</v>
      </c>
      <c r="BI509" s="2">
        <v>700</v>
      </c>
      <c r="BJ509" s="2">
        <v>500</v>
      </c>
      <c r="BN509" s="2">
        <v>196</v>
      </c>
    </row>
    <row r="510" spans="2:66">
      <c r="H510" s="2" t="s">
        <v>79</v>
      </c>
      <c r="I510" s="24" t="e">
        <f>SUM(I508:I509)</f>
        <v>#DIV/0!</v>
      </c>
      <c r="J510" s="24">
        <f>SUM(J506:J509)</f>
        <v>0</v>
      </c>
      <c r="BH510" s="2" t="s">
        <v>574</v>
      </c>
      <c r="BI510" s="2">
        <v>800</v>
      </c>
      <c r="BJ510" s="2">
        <v>500</v>
      </c>
      <c r="BN510" s="2">
        <v>224</v>
      </c>
    </row>
    <row r="511" spans="2:66">
      <c r="BH511" s="2" t="s">
        <v>574</v>
      </c>
      <c r="BI511" s="2">
        <v>900</v>
      </c>
      <c r="BJ511" s="2">
        <v>500</v>
      </c>
      <c r="BN511" s="2">
        <v>252</v>
      </c>
    </row>
    <row r="512" spans="2:66">
      <c r="H512" s="2" t="s">
        <v>612</v>
      </c>
      <c r="I512" s="24" t="e">
        <f>I510-J510</f>
        <v>#DIV/0!</v>
      </c>
      <c r="BH512" s="2" t="s">
        <v>574</v>
      </c>
      <c r="BI512" s="2">
        <v>1000</v>
      </c>
      <c r="BJ512" s="2">
        <v>500</v>
      </c>
      <c r="BN512" s="2">
        <v>280</v>
      </c>
    </row>
    <row r="513" spans="12:66">
      <c r="BH513" s="2" t="s">
        <v>574</v>
      </c>
      <c r="BI513" s="2">
        <v>1100</v>
      </c>
      <c r="BJ513" s="2">
        <v>500</v>
      </c>
      <c r="BN513" s="2">
        <v>308</v>
      </c>
    </row>
    <row r="514" spans="12:66">
      <c r="L514" s="184"/>
      <c r="BH514" s="2" t="s">
        <v>574</v>
      </c>
      <c r="BI514" s="2">
        <v>1200</v>
      </c>
      <c r="BJ514" s="2">
        <v>500</v>
      </c>
      <c r="BN514" s="2">
        <v>336</v>
      </c>
    </row>
    <row r="515" spans="12:66">
      <c r="BH515" s="2" t="s">
        <v>574</v>
      </c>
      <c r="BI515" s="2">
        <v>1400</v>
      </c>
      <c r="BJ515" s="2">
        <v>500</v>
      </c>
      <c r="BN515" s="2">
        <v>392</v>
      </c>
    </row>
    <row r="516" spans="12:66">
      <c r="BH516" s="2" t="s">
        <v>574</v>
      </c>
      <c r="BI516" s="2">
        <v>1600</v>
      </c>
      <c r="BJ516" s="2">
        <v>500</v>
      </c>
      <c r="BN516" s="2">
        <v>448</v>
      </c>
    </row>
    <row r="517" spans="12:66">
      <c r="BH517" s="2" t="s">
        <v>574</v>
      </c>
      <c r="BI517" s="2">
        <v>1800</v>
      </c>
      <c r="BJ517" s="2">
        <v>500</v>
      </c>
      <c r="BN517" s="2">
        <v>504</v>
      </c>
    </row>
    <row r="518" spans="12:66">
      <c r="BH518" s="2" t="s">
        <v>574</v>
      </c>
      <c r="BI518" s="2">
        <v>2000</v>
      </c>
      <c r="BJ518" s="2">
        <v>500</v>
      </c>
      <c r="BN518" s="2">
        <v>560</v>
      </c>
    </row>
    <row r="519" spans="12:66">
      <c r="BH519" s="2" t="s">
        <v>574</v>
      </c>
      <c r="BI519" s="2">
        <v>2200</v>
      </c>
      <c r="BJ519" s="2">
        <v>500</v>
      </c>
      <c r="BN519" s="2">
        <v>616</v>
      </c>
    </row>
    <row r="520" spans="12:66">
      <c r="BH520" s="2" t="s">
        <v>574</v>
      </c>
      <c r="BI520" s="2">
        <v>2300</v>
      </c>
      <c r="BJ520" s="2">
        <v>500</v>
      </c>
      <c r="BN520" s="2">
        <v>644</v>
      </c>
    </row>
    <row r="521" spans="12:66">
      <c r="BH521" s="2" t="s">
        <v>574</v>
      </c>
      <c r="BI521" s="2">
        <v>2600</v>
      </c>
      <c r="BJ521" s="2">
        <v>500</v>
      </c>
      <c r="BN521" s="2">
        <v>728</v>
      </c>
    </row>
    <row r="522" spans="12:66">
      <c r="BH522" s="2" t="s">
        <v>574</v>
      </c>
      <c r="BI522" s="2">
        <v>3000</v>
      </c>
      <c r="BJ522" s="2">
        <v>500</v>
      </c>
      <c r="BN522" s="2">
        <v>840</v>
      </c>
    </row>
    <row r="523" spans="12:66">
      <c r="BH523" s="2" t="s">
        <v>574</v>
      </c>
      <c r="BI523" s="2">
        <v>400</v>
      </c>
      <c r="BJ523" s="2">
        <v>600</v>
      </c>
      <c r="BN523" s="2">
        <v>132</v>
      </c>
    </row>
    <row r="524" spans="12:66">
      <c r="BH524" s="2" t="s">
        <v>574</v>
      </c>
      <c r="BI524" s="2">
        <v>500</v>
      </c>
      <c r="BJ524" s="2">
        <v>600</v>
      </c>
      <c r="BN524" s="2">
        <v>166</v>
      </c>
    </row>
    <row r="525" spans="12:66">
      <c r="BH525" s="2" t="s">
        <v>574</v>
      </c>
      <c r="BI525" s="2">
        <v>600</v>
      </c>
      <c r="BJ525" s="2">
        <v>600</v>
      </c>
      <c r="BN525" s="2">
        <v>199</v>
      </c>
    </row>
    <row r="526" spans="12:66">
      <c r="BH526" s="2" t="s">
        <v>574</v>
      </c>
      <c r="BI526" s="2">
        <v>700</v>
      </c>
      <c r="BJ526" s="2">
        <v>600</v>
      </c>
      <c r="BN526" s="2">
        <v>232</v>
      </c>
    </row>
    <row r="527" spans="12:66">
      <c r="BH527" s="2" t="s">
        <v>574</v>
      </c>
      <c r="BI527" s="2">
        <v>800</v>
      </c>
      <c r="BJ527" s="2">
        <v>600</v>
      </c>
      <c r="BN527" s="2">
        <v>265</v>
      </c>
    </row>
    <row r="528" spans="12:66">
      <c r="BH528" s="2" t="s">
        <v>574</v>
      </c>
      <c r="BI528" s="2">
        <v>900</v>
      </c>
      <c r="BJ528" s="2">
        <v>600</v>
      </c>
      <c r="BN528" s="2">
        <v>298</v>
      </c>
    </row>
    <row r="529" spans="60:66">
      <c r="BH529" s="2" t="s">
        <v>574</v>
      </c>
      <c r="BI529" s="2">
        <v>1000</v>
      </c>
      <c r="BJ529" s="2">
        <v>600</v>
      </c>
      <c r="BN529" s="2">
        <v>331</v>
      </c>
    </row>
    <row r="530" spans="60:66">
      <c r="BH530" s="2" t="s">
        <v>574</v>
      </c>
      <c r="BI530" s="2">
        <v>1100</v>
      </c>
      <c r="BJ530" s="2">
        <v>600</v>
      </c>
      <c r="BN530" s="2">
        <v>364</v>
      </c>
    </row>
    <row r="531" spans="60:66">
      <c r="BH531" s="2" t="s">
        <v>574</v>
      </c>
      <c r="BI531" s="2">
        <v>1200</v>
      </c>
      <c r="BJ531" s="2">
        <v>600</v>
      </c>
      <c r="BN531" s="2">
        <v>397</v>
      </c>
    </row>
    <row r="532" spans="60:66">
      <c r="BH532" s="2" t="s">
        <v>574</v>
      </c>
      <c r="BI532" s="2">
        <v>1400</v>
      </c>
      <c r="BJ532" s="2">
        <v>600</v>
      </c>
      <c r="BN532" s="2">
        <v>463</v>
      </c>
    </row>
    <row r="533" spans="60:66">
      <c r="BH533" s="2" t="s">
        <v>574</v>
      </c>
      <c r="BI533" s="2">
        <v>1600</v>
      </c>
      <c r="BJ533" s="2">
        <v>600</v>
      </c>
      <c r="BN533" s="2">
        <v>530</v>
      </c>
    </row>
    <row r="534" spans="60:66">
      <c r="BH534" s="2" t="s">
        <v>574</v>
      </c>
      <c r="BI534" s="2">
        <v>1800</v>
      </c>
      <c r="BJ534" s="2">
        <v>600</v>
      </c>
      <c r="BN534" s="2">
        <v>596</v>
      </c>
    </row>
    <row r="535" spans="60:66">
      <c r="BH535" s="2" t="s">
        <v>574</v>
      </c>
      <c r="BI535" s="2">
        <v>2000</v>
      </c>
      <c r="BJ535" s="2">
        <v>600</v>
      </c>
      <c r="BN535" s="2">
        <v>662</v>
      </c>
    </row>
    <row r="536" spans="60:66">
      <c r="BH536" s="2" t="s">
        <v>574</v>
      </c>
      <c r="BI536" s="2">
        <v>2200</v>
      </c>
      <c r="BJ536" s="2">
        <v>600</v>
      </c>
      <c r="BN536" s="2">
        <v>728</v>
      </c>
    </row>
    <row r="537" spans="60:66">
      <c r="BH537" s="2" t="s">
        <v>574</v>
      </c>
      <c r="BI537" s="2">
        <v>2300</v>
      </c>
      <c r="BJ537" s="2">
        <v>600</v>
      </c>
      <c r="BN537" s="2">
        <v>761</v>
      </c>
    </row>
    <row r="538" spans="60:66">
      <c r="BH538" s="2" t="s">
        <v>574</v>
      </c>
      <c r="BI538" s="2">
        <v>2600</v>
      </c>
      <c r="BJ538" s="2">
        <v>600</v>
      </c>
      <c r="BN538" s="2">
        <v>861</v>
      </c>
    </row>
    <row r="539" spans="60:66">
      <c r="BH539" s="2" t="s">
        <v>574</v>
      </c>
      <c r="BI539" s="2">
        <v>3000</v>
      </c>
      <c r="BJ539" s="2">
        <v>600</v>
      </c>
      <c r="BN539" s="2">
        <v>993</v>
      </c>
    </row>
    <row r="540" spans="60:66">
      <c r="BH540" s="2" t="s">
        <v>574</v>
      </c>
      <c r="BI540" s="2">
        <v>400</v>
      </c>
      <c r="BJ540" s="2">
        <v>900</v>
      </c>
      <c r="BN540" s="2">
        <v>187</v>
      </c>
    </row>
    <row r="541" spans="60:66">
      <c r="BH541" s="2" t="s">
        <v>574</v>
      </c>
      <c r="BI541" s="2">
        <v>500</v>
      </c>
      <c r="BJ541" s="2">
        <v>900</v>
      </c>
      <c r="BN541" s="2">
        <v>234</v>
      </c>
    </row>
    <row r="542" spans="60:66">
      <c r="BH542" s="2" t="s">
        <v>574</v>
      </c>
      <c r="BI542" s="2">
        <v>600</v>
      </c>
      <c r="BJ542" s="2">
        <v>900</v>
      </c>
      <c r="BN542" s="2">
        <v>280</v>
      </c>
    </row>
    <row r="543" spans="60:66">
      <c r="BH543" s="2" t="s">
        <v>574</v>
      </c>
      <c r="BI543" s="2">
        <v>700</v>
      </c>
      <c r="BJ543" s="2">
        <v>900</v>
      </c>
      <c r="BN543" s="2">
        <v>327</v>
      </c>
    </row>
    <row r="544" spans="60:66">
      <c r="BH544" s="2" t="s">
        <v>574</v>
      </c>
      <c r="BI544" s="2">
        <v>800</v>
      </c>
      <c r="BJ544" s="2">
        <v>900</v>
      </c>
      <c r="BN544" s="2">
        <v>374</v>
      </c>
    </row>
    <row r="545" spans="60:66">
      <c r="BH545" s="2" t="s">
        <v>574</v>
      </c>
      <c r="BI545" s="2">
        <v>900</v>
      </c>
      <c r="BJ545" s="2">
        <v>900</v>
      </c>
      <c r="BN545" s="2">
        <v>420</v>
      </c>
    </row>
    <row r="546" spans="60:66">
      <c r="BH546" s="2" t="s">
        <v>574</v>
      </c>
      <c r="BI546" s="2">
        <v>1000</v>
      </c>
      <c r="BJ546" s="2">
        <v>900</v>
      </c>
      <c r="BN546" s="2">
        <v>467</v>
      </c>
    </row>
    <row r="547" spans="60:66">
      <c r="BH547" s="2" t="s">
        <v>574</v>
      </c>
      <c r="BI547" s="2">
        <v>1100</v>
      </c>
      <c r="BJ547" s="2">
        <v>900</v>
      </c>
      <c r="BN547" s="2">
        <v>514</v>
      </c>
    </row>
    <row r="548" spans="60:66">
      <c r="BH548" s="2" t="s">
        <v>574</v>
      </c>
      <c r="BI548" s="2">
        <v>1200</v>
      </c>
      <c r="BJ548" s="2">
        <v>900</v>
      </c>
      <c r="BN548" s="2">
        <v>560</v>
      </c>
    </row>
    <row r="549" spans="60:66">
      <c r="BH549" s="2" t="s">
        <v>574</v>
      </c>
      <c r="BI549" s="2">
        <v>1400</v>
      </c>
      <c r="BJ549" s="2">
        <v>900</v>
      </c>
      <c r="BN549" s="2">
        <v>654</v>
      </c>
    </row>
    <row r="550" spans="60:66">
      <c r="BH550" s="2" t="s">
        <v>574</v>
      </c>
      <c r="BI550" s="2">
        <v>1600</v>
      </c>
      <c r="BJ550" s="2">
        <v>900</v>
      </c>
      <c r="BN550" s="2">
        <v>747</v>
      </c>
    </row>
    <row r="551" spans="60:66">
      <c r="BH551" s="2" t="s">
        <v>574</v>
      </c>
      <c r="BI551" s="2">
        <v>1800</v>
      </c>
      <c r="BJ551" s="2">
        <v>900</v>
      </c>
      <c r="BN551" s="2">
        <v>841</v>
      </c>
    </row>
    <row r="552" spans="60:66">
      <c r="BH552" s="2" t="s">
        <v>574</v>
      </c>
      <c r="BI552" s="2">
        <v>2000</v>
      </c>
      <c r="BJ552" s="2">
        <v>900</v>
      </c>
      <c r="BN552" s="2">
        <v>934</v>
      </c>
    </row>
    <row r="553" spans="60:66">
      <c r="BH553" s="2" t="s">
        <v>574</v>
      </c>
      <c r="BI553" s="2">
        <v>2200</v>
      </c>
      <c r="BJ553" s="2">
        <v>900</v>
      </c>
      <c r="BN553" s="2">
        <v>1027</v>
      </c>
    </row>
    <row r="554" spans="60:66">
      <c r="BH554" s="2" t="s">
        <v>574</v>
      </c>
      <c r="BI554" s="2">
        <v>2300</v>
      </c>
      <c r="BJ554" s="2">
        <v>900</v>
      </c>
      <c r="BN554" s="2">
        <v>1074</v>
      </c>
    </row>
    <row r="555" spans="60:66">
      <c r="BH555" s="2" t="s">
        <v>574</v>
      </c>
      <c r="BI555" s="2">
        <v>2600</v>
      </c>
      <c r="BJ555" s="2">
        <v>900</v>
      </c>
      <c r="BN555" s="2">
        <v>1214</v>
      </c>
    </row>
    <row r="556" spans="60:66">
      <c r="BH556" s="2" t="s">
        <v>574</v>
      </c>
      <c r="BI556" s="2">
        <v>3000</v>
      </c>
      <c r="BJ556" s="2">
        <v>900</v>
      </c>
      <c r="BN556" s="2">
        <v>1401</v>
      </c>
    </row>
    <row r="557" spans="60:66">
      <c r="BH557" s="2" t="s">
        <v>565</v>
      </c>
      <c r="BI557" s="2">
        <v>500</v>
      </c>
      <c r="BJ557" s="2">
        <v>800</v>
      </c>
      <c r="BN557" s="2">
        <v>196</v>
      </c>
    </row>
    <row r="558" spans="60:66">
      <c r="BH558" s="2" t="s">
        <v>565</v>
      </c>
      <c r="BI558" s="2">
        <v>500</v>
      </c>
      <c r="BJ558" s="2">
        <v>1200</v>
      </c>
      <c r="BN558" s="2">
        <v>282</v>
      </c>
    </row>
    <row r="559" spans="60:66">
      <c r="BH559" s="2" t="s">
        <v>565</v>
      </c>
      <c r="BI559" s="2">
        <v>600</v>
      </c>
      <c r="BJ559" s="2">
        <v>1200</v>
      </c>
      <c r="BN559" s="2">
        <v>334</v>
      </c>
    </row>
    <row r="560" spans="60:66">
      <c r="BH560" s="2" t="s">
        <v>565</v>
      </c>
      <c r="BI560" s="2">
        <v>500</v>
      </c>
      <c r="BJ560" s="2">
        <v>1500</v>
      </c>
      <c r="BN560" s="2">
        <v>350</v>
      </c>
    </row>
    <row r="561" spans="60:66">
      <c r="BH561" s="2" t="s">
        <v>565</v>
      </c>
      <c r="BI561" s="2">
        <v>600</v>
      </c>
      <c r="BJ561" s="2">
        <v>1500</v>
      </c>
      <c r="BN561" s="2">
        <v>418</v>
      </c>
    </row>
    <row r="562" spans="60:66">
      <c r="BH562" s="2" t="s">
        <v>565</v>
      </c>
      <c r="BI562" s="2">
        <v>500</v>
      </c>
      <c r="BJ562" s="2">
        <v>1800</v>
      </c>
      <c r="BN562" s="2">
        <v>426</v>
      </c>
    </row>
    <row r="563" spans="60:66">
      <c r="BH563" s="2" t="s">
        <v>565</v>
      </c>
      <c r="BI563" s="2">
        <v>600</v>
      </c>
      <c r="BJ563" s="2">
        <v>1800</v>
      </c>
      <c r="BN563" s="2">
        <v>505</v>
      </c>
    </row>
    <row r="564" spans="60:66">
      <c r="BH564" s="2" t="s">
        <v>581</v>
      </c>
      <c r="BK564" s="2">
        <v>300</v>
      </c>
      <c r="BL564" s="2">
        <v>200</v>
      </c>
      <c r="BM564" s="2">
        <v>250</v>
      </c>
      <c r="BN564" s="2">
        <v>31</v>
      </c>
    </row>
    <row r="565" spans="60:66">
      <c r="BH565" s="2" t="s">
        <v>581</v>
      </c>
      <c r="BK565" s="2">
        <v>450</v>
      </c>
      <c r="BL565" s="2">
        <v>350</v>
      </c>
      <c r="BM565" s="2">
        <v>160</v>
      </c>
      <c r="BN565" s="2">
        <v>30</v>
      </c>
    </row>
    <row r="566" spans="60:66">
      <c r="BH566" s="2" t="s">
        <v>581</v>
      </c>
      <c r="BK566" s="2">
        <v>450</v>
      </c>
      <c r="BL566" s="2">
        <v>350</v>
      </c>
      <c r="BM566" s="2">
        <v>220</v>
      </c>
      <c r="BN566" s="2">
        <v>39</v>
      </c>
    </row>
    <row r="567" spans="60:66">
      <c r="BH567" s="2" t="s">
        <v>581</v>
      </c>
      <c r="BK567" s="2">
        <v>600</v>
      </c>
      <c r="BL567" s="2">
        <v>500</v>
      </c>
      <c r="BM567" s="2">
        <v>110</v>
      </c>
      <c r="BN567" s="2">
        <v>28</v>
      </c>
    </row>
    <row r="568" spans="60:66">
      <c r="BH568" s="2" t="s">
        <v>581</v>
      </c>
      <c r="BK568" s="2">
        <v>600</v>
      </c>
      <c r="BL568" s="2">
        <v>500</v>
      </c>
      <c r="BM568" s="2">
        <v>160</v>
      </c>
      <c r="BN568" s="2">
        <v>38</v>
      </c>
    </row>
    <row r="569" spans="60:66">
      <c r="BH569" s="2" t="s">
        <v>581</v>
      </c>
      <c r="BK569" s="2">
        <v>600</v>
      </c>
      <c r="BL569" s="2">
        <v>500</v>
      </c>
      <c r="BM569" s="2">
        <v>220</v>
      </c>
      <c r="BN569" s="2">
        <v>49</v>
      </c>
    </row>
    <row r="570" spans="60:66">
      <c r="BH570" s="2" t="s">
        <v>581</v>
      </c>
      <c r="BK570" s="2">
        <v>1000</v>
      </c>
      <c r="BL570" s="2">
        <v>900</v>
      </c>
      <c r="BM570" s="2">
        <v>110</v>
      </c>
      <c r="BN570" s="2">
        <v>44</v>
      </c>
    </row>
    <row r="571" spans="60:66">
      <c r="BH571" s="2" t="s">
        <v>581</v>
      </c>
      <c r="BK571" s="2">
        <v>1000</v>
      </c>
      <c r="BL571" s="2">
        <v>900</v>
      </c>
      <c r="BM571" s="2">
        <v>160</v>
      </c>
      <c r="BN571" s="2">
        <v>58</v>
      </c>
    </row>
    <row r="572" spans="60:66">
      <c r="BH572" s="2" t="s">
        <v>581</v>
      </c>
      <c r="BK572" s="2">
        <v>1000</v>
      </c>
      <c r="BL572" s="2">
        <v>900</v>
      </c>
      <c r="BM572" s="2">
        <v>220</v>
      </c>
      <c r="BN572" s="2">
        <v>76</v>
      </c>
    </row>
  </sheetData>
  <mergeCells count="26">
    <mergeCell ref="B136:C136"/>
    <mergeCell ref="B252:C252"/>
    <mergeCell ref="B253:C253"/>
    <mergeCell ref="B254:C254"/>
    <mergeCell ref="B255:C255"/>
    <mergeCell ref="B137:C137"/>
    <mergeCell ref="B138:C138"/>
    <mergeCell ref="B247:C247"/>
    <mergeCell ref="B246:C246"/>
    <mergeCell ref="B244:C244"/>
    <mergeCell ref="FX3:GL6"/>
    <mergeCell ref="B370:C370"/>
    <mergeCell ref="EM2:ER4"/>
    <mergeCell ref="EE3:EE5"/>
    <mergeCell ref="B26:C26"/>
    <mergeCell ref="B27:C27"/>
    <mergeCell ref="B28:C28"/>
    <mergeCell ref="B29:C29"/>
    <mergeCell ref="DX3:DY5"/>
    <mergeCell ref="DZ3:DZ5"/>
    <mergeCell ref="ED3:ED5"/>
    <mergeCell ref="DQ2:DV4"/>
    <mergeCell ref="B369:C369"/>
    <mergeCell ref="B368:C368"/>
    <mergeCell ref="B367:C367"/>
    <mergeCell ref="B135:C135"/>
  </mergeCells>
  <phoneticPr fontId="1" type="noConversion"/>
  <conditionalFormatting sqref="EC8:EC57">
    <cfRule type="containsText" dxfId="8" priority="1" operator="containsText" text="Nein">
      <formula>NOT(ISERROR(SEARCH("Nein",EC8)))</formula>
    </cfRule>
    <cfRule type="containsText" dxfId="7" priority="2" operator="containsText" text="Ja">
      <formula>NOT(ISERROR(SEARCH("Ja",EC8)))</formula>
    </cfRule>
    <cfRule type="cellIs" dxfId="6" priority="3" operator="equal">
      <formula>"Ja"</formula>
    </cfRule>
  </conditionalFormatting>
  <dataValidations disablePrompts="1" xWindow="794" yWindow="840" count="27">
    <dataValidation allowBlank="1" showInputMessage="1" showErrorMessage="1" promptTitle="Darlehensverlauf" prompt="In diesem Bereich ist der Verlauf des Darlehens für einen Zeitraum von 50 Jahren ab Kauf abgebildet." sqref="B24 B41 B58 B250 B267 B284 B133 B150 B167 B242 B399 B382 B365" xr:uid="{1962B94D-ED8E-441E-8186-ABECF5A691C1}"/>
    <dataValidation allowBlank="1" showInputMessage="1" showErrorMessage="1" promptTitle="Summe Darlehensverlauf" prompt="In diesem Bereich ist der Verlauf der Summe aller Darlehen für einen Zeitraum von 50 Jahren ab Kauf abgebildet." sqref="B76 B185 B302 B417" xr:uid="{45D5869A-7DC4-4B4B-878F-CD3E2C76D5E9}"/>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32:C32 B49:C49 B66:C66 E32:AH32 E49:AH49 E66:AH66 B258:C258 B275:C275 B292:C292 E258:AH258 E275:AH275 E292:AH292 B141:C141 B158:C158 B175:C175 E141:AH141 E158:AH158 E175:AH175 B373:C373 B390:C390 B407:C407 E373:AH373 E390:AH390 E407:AH407" xr:uid="{59C9039A-F5A5-45EE-9B2B-C02218F9E294}">
      <formula1>0</formula1>
    </dataValidation>
    <dataValidation allowBlank="1" showInputMessage="1" showErrorMessage="1" promptTitle="Kumulierte Zinsen" prompt="Dieser kumulierte Zinsaufwand ergibt sich aus den bisherigen Zinszahlungen aller Darlehen. Dieser Wert wird für die grafische Darstellung auf anderen Blättern benötigt." sqref="B84 D84:AH84 B193 D193:AH193 B310 D310:AH310 B425 D425:AH425" xr:uid="{28463CAE-DCF3-4F82-9F9E-21782D007956}"/>
    <dataValidation allowBlank="1" showInputMessage="1" showErrorMessage="1" promptTitle="Gewichteter Zinssatz" prompt="Diesem gewichteten Zinssatz entsprechen die ZInszahlungen bezogen auf die aktuelle Darlehensrestschuld." sqref="B85 D85:AH85 B194 D194:AH194 B311 D311:AH311 B426 D426:AH426" xr:uid="{E4331C47-355C-4A56-A219-739B566AD4E3}"/>
    <dataValidation allowBlank="1" showInputMessage="1" showErrorMessage="1" promptTitle="Tilgung in % der Restschuld" prompt="Die Tilgung in der jeweiligen Periode entspricht diesem Prozentsatz der verblebenden Restschuld." sqref="B88 D88:AH88 B197 D197:AH197 B314 D314:AH314 B429 D429:AH429" xr:uid="{D4844D62-2A6B-49C7-A0F6-7B74DF4AC925}"/>
    <dataValidation allowBlank="1" showInputMessage="1" showErrorMessage="1" promptTitle="Warmmiete" prompt="Ergibt sich durch Addition der Nettokaltmiete (effektiv) und der umlagefähigen Kosten." sqref="AK122 B122:AG122 D489:AG489 D108:AG108 AK232 B232:AG232 D218:AG218 AK349 B349:AG349 D335:AG335 D363:AG363 AK501 B506:AG506 B501:AG501 G480:AG480 AK472 B472:AG472 D450:AG450" xr:uid="{98E22D11-629E-430E-9676-4D76AA15F81B}"/>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98 B119 B107 AI119 AI107 AI488 AI504 AI499 B208 B229 B217 AI229 AI217 B325 B362 B346 B334 AI346 AI362 AI334 B499 B488 B504 AI479 B440 B461 B449 AI461 AI449 B466" xr:uid="{6EF895ED-FDB3-4AB1-AA4A-7ACB576F711D}"/>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J26:AH26 E26 M20:N20 R20:S20 M22:N22 E43:AH43 E60:AH60 J252:AH252 E252 E269:AH269 E286:AH286 J135:AH135 E135 E152:AH152 E169:AH169 J244:AH244 E244 J367:AH367 E367 E384:AH384 E401:AH401" xr:uid="{EDC797B8-5BE7-4517-B927-8099D279823A}">
      <formula1>0</formula1>
    </dataValidation>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37:AH37 D54:AH54 D71:AH71 D263:AH263 D280:AH280 D297:AH297 D146:AH146 D163:AH163 D180:AH180 D378:AH378 D395:AH395 D412:AH412" xr:uid="{43F753AA-D78B-43FB-A287-56041F76159B}">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26:C26 B43:C43 B60:C60 B252:C252 B269:C269 B286:C286 B135:C135 B152:C152 B169:C169 B244:C244 B367:C367 B384:C384 B401:C401" xr:uid="{DF1B0550-23DC-485C-820C-D0C9899F8099}"/>
    <dataValidation allowBlank="1" showInputMessage="1" showErrorMessage="1" promptTitle="Restschuld weitere Darlehen" prompt="Dieser Betrag der Restschuld am Periodenbeginn entfällt auf das Darlehen II. Dieser Wert wird für die grafische Aufbereitung auf den anderen Tabellenblättern benötigt." sqref="B81:C81 B80:AH80 B190:C190 B189:AH189 B307:C307 B306:AH306 B422:C422 B421:AH421" xr:uid="{9F7D3C4A-E983-4AE7-A7F8-E61F46046FE2}"/>
    <dataValidation allowBlank="1" showInputMessage="1" showErrorMessage="1" promptTitle="Gültiger Zinssatz" prompt="Dies ist der Zinssatz, mit dem tatsächlich gerechnet wird. Dies ist entweder der Zinssatz der Vorperiode oder der hierüber geänderte Zinssatz." sqref="B27:AH27 B44:AH44 B61:AH61 B253:AH253 B270:AH270 B287:AH287 B136:AH136 B153:AH153 B170:AH170 B245:AH245 B368:AH368 B385:AH385 B402:AH402" xr:uid="{478A3549-B7BF-4D0A-A49A-D5137E364037}"/>
    <dataValidation allowBlank="1" showInputMessage="1" showErrorMessage="1" promptTitle="Restschuld Periodenbeginn" prompt="Die Restschuld am Periodenbeginn (= Jahresanfang) entspricht der Restschuld am Ende der Vorperiode (= Vorjahresende)." sqref="B138:AH138 B46:AH46 B63:AH63 B289:AH289 B29:AH29 B272:AH272 B255:AH255 B155:AH155 B172:AH172 B247:AH247 B404:AH404 E371:AH371 B387:AH387 B370:AH370" xr:uid="{93A0184F-CD54-4535-AE51-EF416BAFF450}"/>
    <dataValidation allowBlank="1" showInputMessage="1" showErrorMessage="1" promptTitle="Zinsen" prompt="Diese Zinsen ergeben sich aus dem gültigen Zinssatz, der auf die Restschuld zu bezahlen ist." sqref="B30:AH30 B47:AH47 B64:AH64 B256:AH256 B273:AH273 B290:AH290 B139:AH139 B156:AH156 B173:AH173 B248:AH248 B405:AH405 B388:AH388 B371:D371" xr:uid="{78A06535-4FDF-4F6D-BCD6-DADA70FA6882}"/>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50:AH50 B33:AH33 B67:AH67 B276:AH276 B259:AH259 B293:AH293 B159:AH159 B142:AH142 B176:AH176 B391:AH391 B374:AH374 B408:AH408" xr:uid="{AB2FEEA0-9BB3-4E25-BFC7-63A9DF81D73A}"/>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34:AH34 B51:AH51 B68:AH68 B143:AH143 B277:AH277 B294:AH294 B260:AH260 B177:AH177 B160:AH160 B375:AH375 B409:AH409 B392:AH392" xr:uid="{D7E96851-F261-4EBE-8329-B71DB3B14C36}"/>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53:AH53 B36:AH36 B70:AH70 B279:AH279 B262:AH262 B296:AH296 B162:AH162 B145:AH145 B179:AH179 B394:AH394 B377:AH377 B411:AH411" xr:uid="{C6102DEE-4063-429F-8050-7D73ABA9135F}"/>
    <dataValidation allowBlank="1" showInputMessage="1" showErrorMessage="1" promptTitle="Restschuld am Periodenende" prompt="Diese Restschuld ergibt sich nach der Tilgung (und einer eventuellen Sondertilgung) am Periodenende. Der Wert kann nie unter 0 Euro sinken." sqref="B38:AH38 B55:AH55 B72:AH72 B264:AH264 B281:AH281 B298:AH298 B147:AH147 B164:AH164 B181:AH181 B379:AH379 B396:AH396 B413:AH413" xr:uid="{C6C8CFD6-884A-4A75-8A00-C2F12941D8FA}"/>
    <dataValidation allowBlank="1" showInputMessage="1" showErrorMessage="1" promptTitle="Kapitaldienst pro Monat" prompt="Dieser Kapitaldienst pro Monat ergibt sich aus der neu errechneten Annuität. Er wird in allen übrigen Berechnungen des Tools verwendet." sqref="B39:AH39 B56:AH56 B73:AH73 B265:AH265 B282:AH282 B206:AH206 B148:AH148 B165:AH165 B182:AH182 B299:AH299 B323:AH323 B380:AH380 B397:AH397 B414:AH414 AC437 AH438" xr:uid="{7B952E7C-94DD-4CB6-B11B-C69C0CBEA7E0}"/>
    <dataValidation allowBlank="1" showInputMessage="1" showErrorMessage="1" promptTitle="Restschuld am Periodenbeginn" prompt="Dies ist die Summe der Restschulden aller Darlehen am Perodenbeginn bzw. Jahresanfang." sqref="B78:AH78 B187:AH187 B304:AH304 B419:AH419" xr:uid="{8F330E5E-2A52-47D0-BC57-32D1CFB2292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79:AH79 B188:AH188 B305:AH305 B420:AH420" xr:uid="{2786FD83-A2CE-4242-B717-7A37222536F2}"/>
    <dataValidation allowBlank="1" showInputMessage="1" showErrorMessage="1" promptTitle="Zinsen" prompt="Diese Zinsen fallen insgesamt für alle Darlehen an." sqref="B83:AH83 B192:AH192 B309:AH309 B424:AH424" xr:uid="{93DE8F8A-09BC-44E2-B798-79F8A3B09493}"/>
    <dataValidation allowBlank="1" showInputMessage="1" showErrorMessage="1" promptTitle="Tilgung" prompt="Diese Tilgung fällt insgesamt für alle Darlehen an." sqref="B87:AH87 B196:AH196 B313:AH313 B428:AH428" xr:uid="{187DCB9C-649B-4A88-B848-F319BB91D2B6}"/>
    <dataValidation allowBlank="1" showInputMessage="1" showErrorMessage="1" promptTitle="Annuität" prompt="Diese Annuität ergibt sich für alle Darlehen zusammen." sqref="B90:AH90 B199:AH199 B316:AH316 B431:AH431" xr:uid="{C315C29D-0143-4206-BDF8-88992F3ED933}"/>
    <dataValidation allowBlank="1" showInputMessage="1" showErrorMessage="1" promptTitle="Restschuld am Periodenende" prompt="Diese Restschuld ergibt sich für alle Darlehen am Periodenende." sqref="B91:AH91 B200:AH200 B317:AH317 B432:AH432" xr:uid="{D2AFF7F9-6CD6-4C09-BF63-889B92C46790}"/>
    <dataValidation allowBlank="1" showInputMessage="1" showErrorMessage="1" promptTitle="Kapitaldienst" prompt="Dieser monatliche Kapitaldienst ergibt sich insgesamt für alle Darlehen zusammen." sqref="B92:AH92 B201:AH201 B318:AH318 B433:AH433" xr:uid="{687F94BD-ABD4-44FB-A220-067C562D96B8}"/>
  </dataValidations>
  <pageMargins left="0.7" right="0.7" top="0.78740157499999996" bottom="0.78740157499999996" header="0.3" footer="0.3"/>
  <pageSetup paperSize="9" orientation="portrait" r:id="rId1"/>
  <drawing r:id="rId2"/>
  <tableParts count="29">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08AFB-ED63-42B0-980A-5F4D1EFBAA9A}">
  <dimension ref="A1:L27"/>
  <sheetViews>
    <sheetView showGridLines="0" zoomScale="90" zoomScaleNormal="90" workbookViewId="0">
      <selection activeCell="G24" sqref="G24:G25"/>
    </sheetView>
  </sheetViews>
  <sheetFormatPr baseColWidth="10" defaultColWidth="11.5546875" defaultRowHeight="16.8"/>
  <cols>
    <col min="1" max="1" width="11.5546875" style="10"/>
    <col min="2" max="2" width="33.5546875" style="10" customWidth="1"/>
    <col min="3" max="3" width="20.5546875" style="10" customWidth="1"/>
    <col min="4" max="4" width="27.44140625" style="10" customWidth="1"/>
    <col min="5" max="5" width="21.44140625" style="10" customWidth="1"/>
    <col min="6" max="6" width="32.44140625" style="10" customWidth="1"/>
    <col min="7" max="7" width="35.44140625" style="10" customWidth="1"/>
    <col min="8" max="8" width="31.5546875" style="10" customWidth="1"/>
    <col min="9" max="9" width="22.44140625" style="10" customWidth="1"/>
    <col min="10" max="10" width="20.44140625" style="10" customWidth="1"/>
    <col min="11" max="11" width="21" style="10" customWidth="1"/>
    <col min="12" max="16384" width="11.5546875" style="10"/>
  </cols>
  <sheetData>
    <row r="1" spans="1:12" ht="17.399999999999999" thickBot="1">
      <c r="A1" s="220"/>
      <c r="B1" s="427"/>
      <c r="C1" s="220"/>
      <c r="D1" s="220"/>
      <c r="F1" s="220"/>
    </row>
    <row r="2" spans="1:12" ht="17.850000000000001" customHeight="1" thickTop="1">
      <c r="A2" s="219"/>
      <c r="B2" s="127" t="s">
        <v>0</v>
      </c>
      <c r="C2" s="1629">
        <f>Allgemein!C2</f>
        <v>0</v>
      </c>
      <c r="D2" s="1629"/>
      <c r="E2" s="1630"/>
      <c r="F2" s="1558" t="s">
        <v>1163</v>
      </c>
      <c r="G2" s="1559"/>
      <c r="H2" s="1559"/>
      <c r="I2" s="1652" t="e" vm="1">
        <v>#VALUE!</v>
      </c>
      <c r="J2" s="1653"/>
      <c r="K2" s="1654"/>
    </row>
    <row r="3" spans="1:12" ht="17.100000000000001" customHeight="1">
      <c r="A3" s="219"/>
      <c r="B3" s="127" t="s">
        <v>4</v>
      </c>
      <c r="C3" s="1477">
        <f>Allgemein!C3</f>
        <v>0</v>
      </c>
      <c r="D3" s="1477"/>
      <c r="E3" s="1631"/>
      <c r="F3" s="1561"/>
      <c r="G3" s="1562"/>
      <c r="H3" s="1562"/>
      <c r="I3" s="1655"/>
      <c r="J3" s="1623"/>
      <c r="K3" s="1656"/>
    </row>
    <row r="4" spans="1:12" ht="17.100000000000001" customHeight="1">
      <c r="A4" s="219"/>
      <c r="B4" s="127" t="s">
        <v>5</v>
      </c>
      <c r="C4" s="1477">
        <f>Allgemein!C4</f>
        <v>0</v>
      </c>
      <c r="D4" s="1477"/>
      <c r="E4" s="1631"/>
      <c r="F4" s="200"/>
      <c r="G4" s="110" t="s">
        <v>1164</v>
      </c>
      <c r="H4" s="214" t="s">
        <v>832</v>
      </c>
      <c r="I4" s="1655"/>
      <c r="J4" s="1623"/>
      <c r="K4" s="1656"/>
    </row>
    <row r="5" spans="1:12" ht="17.100000000000001" customHeight="1">
      <c r="A5" s="219"/>
      <c r="B5" s="127" t="s">
        <v>1165</v>
      </c>
      <c r="C5" s="1477">
        <f>Allgemein!C5</f>
        <v>0</v>
      </c>
      <c r="D5" s="1477"/>
      <c r="E5" s="1631"/>
      <c r="F5" s="201" t="s">
        <v>1166</v>
      </c>
      <c r="G5" s="202">
        <f>Allgemein!C102</f>
        <v>0</v>
      </c>
      <c r="H5" s="211">
        <f>Allgemein!F102</f>
        <v>0</v>
      </c>
      <c r="I5" s="1655"/>
      <c r="J5" s="1623"/>
      <c r="K5" s="1656"/>
    </row>
    <row r="6" spans="1:12">
      <c r="A6" s="219"/>
      <c r="B6" s="127" t="s">
        <v>11</v>
      </c>
      <c r="C6" s="1477">
        <f>Allgemein!C6</f>
        <v>0</v>
      </c>
      <c r="D6" s="1477"/>
      <c r="E6" s="1631"/>
      <c r="F6" s="123" t="s">
        <v>259</v>
      </c>
      <c r="G6" s="123" t="str">
        <f>Allgemein!C52</f>
        <v>-</v>
      </c>
      <c r="H6" s="212">
        <f>Allgemein!G52</f>
        <v>0</v>
      </c>
      <c r="I6" s="1655"/>
      <c r="J6" s="1623"/>
      <c r="K6" s="1656"/>
    </row>
    <row r="7" spans="1:12">
      <c r="A7" s="219"/>
      <c r="B7" s="127" t="s">
        <v>12</v>
      </c>
      <c r="C7" s="1477">
        <f>Allgemein!C7</f>
        <v>0</v>
      </c>
      <c r="D7" s="1477"/>
      <c r="E7" s="1631"/>
      <c r="F7" s="203" t="s">
        <v>260</v>
      </c>
      <c r="G7" s="123" t="str">
        <f>Allgemein!C68</f>
        <v>-</v>
      </c>
      <c r="H7" s="212">
        <f>Allgemein!G68</f>
        <v>0</v>
      </c>
      <c r="I7" s="1655"/>
      <c r="J7" s="1623"/>
      <c r="K7" s="1656"/>
    </row>
    <row r="8" spans="1:12" ht="17.399999999999999" thickBot="1">
      <c r="A8" s="219"/>
      <c r="B8" s="266" t="s">
        <v>14</v>
      </c>
      <c r="C8" s="1627">
        <f>Allgemein!C8</f>
        <v>0</v>
      </c>
      <c r="D8" s="1627"/>
      <c r="E8" s="1628"/>
      <c r="F8" s="204" t="s">
        <v>261</v>
      </c>
      <c r="G8" s="138" t="str">
        <f>Allgemein!C84</f>
        <v>-</v>
      </c>
      <c r="H8" s="213">
        <f>Allgemein!G84</f>
        <v>0</v>
      </c>
      <c r="I8" s="1657"/>
      <c r="J8" s="1658"/>
      <c r="K8" s="1659"/>
    </row>
    <row r="9" spans="1:12" ht="27.6" thickTop="1">
      <c r="A9" s="219"/>
      <c r="B9" s="369" t="s">
        <v>759</v>
      </c>
      <c r="C9" s="19"/>
      <c r="D9" s="19"/>
      <c r="K9" s="219"/>
    </row>
    <row r="10" spans="1:12">
      <c r="A10" s="219"/>
      <c r="B10" s="424" t="s">
        <v>263</v>
      </c>
      <c r="C10" s="223"/>
      <c r="D10" s="223"/>
      <c r="E10" s="379"/>
      <c r="F10" s="270" t="s">
        <v>294</v>
      </c>
      <c r="G10" s="428"/>
      <c r="H10" s="592" t="s">
        <v>265</v>
      </c>
      <c r="I10" s="944" t="s">
        <v>106</v>
      </c>
      <c r="J10" s="944" t="s">
        <v>159</v>
      </c>
      <c r="K10" s="1232" t="s">
        <v>171</v>
      </c>
    </row>
    <row r="11" spans="1:12" ht="18.600000000000001">
      <c r="A11" s="219"/>
      <c r="B11" s="429"/>
      <c r="C11" s="430"/>
      <c r="D11" s="430"/>
      <c r="E11" s="382"/>
      <c r="F11" s="1226"/>
      <c r="G11" s="1227"/>
      <c r="H11" s="739" t="s">
        <v>1167</v>
      </c>
      <c r="I11" s="945" t="str">
        <f>IF(Allgemein!C52="Dezentrale Lüftungsanlage","Ja","Nein")</f>
        <v>Nein</v>
      </c>
      <c r="J11" s="946" t="str">
        <f>IF(Allgemein!C68="Dezentrale Lüftungsanlage","Ja","Nein")</f>
        <v>Nein</v>
      </c>
      <c r="K11" s="1240" t="str">
        <f>IF(Allgemein!C84="Dezentrale Lüftungsanlage","Ja","Nein")</f>
        <v>Nein</v>
      </c>
      <c r="L11" s="298"/>
    </row>
    <row r="12" spans="1:12" ht="18.600000000000001">
      <c r="A12" s="219"/>
      <c r="B12" s="383"/>
      <c r="C12" s="430"/>
      <c r="D12" s="430"/>
      <c r="E12" s="382"/>
      <c r="F12" s="1228"/>
      <c r="G12" s="1229"/>
      <c r="H12" s="1236" t="s">
        <v>1168</v>
      </c>
      <c r="I12" s="1239"/>
      <c r="J12" s="951"/>
      <c r="K12" s="951"/>
      <c r="L12" s="298"/>
    </row>
    <row r="13" spans="1:12">
      <c r="A13" s="219"/>
      <c r="B13" s="383"/>
      <c r="C13" s="430"/>
      <c r="D13" s="430"/>
      <c r="E13" s="382"/>
      <c r="F13" s="1228"/>
      <c r="G13" s="1229"/>
      <c r="H13" s="1226"/>
      <c r="I13" s="1237"/>
      <c r="J13" s="1237"/>
      <c r="K13" s="1238"/>
    </row>
    <row r="14" spans="1:12">
      <c r="A14" s="219"/>
      <c r="B14" s="383"/>
      <c r="C14" s="430"/>
      <c r="D14" s="430"/>
      <c r="E14" s="382"/>
      <c r="F14" s="1228"/>
      <c r="G14" s="1229"/>
      <c r="H14" s="1228"/>
      <c r="I14" s="683"/>
      <c r="J14" s="683"/>
      <c r="K14" s="1229"/>
    </row>
    <row r="15" spans="1:12">
      <c r="A15" s="219"/>
      <c r="B15" s="383"/>
      <c r="C15" s="430"/>
      <c r="D15" s="430"/>
      <c r="E15" s="382"/>
      <c r="F15" s="1228"/>
      <c r="G15" s="1229"/>
      <c r="H15" s="1228"/>
      <c r="I15" s="683"/>
      <c r="J15" s="683"/>
      <c r="K15" s="1229"/>
    </row>
    <row r="16" spans="1:12">
      <c r="A16" s="219"/>
      <c r="B16" s="383"/>
      <c r="C16" s="430"/>
      <c r="D16" s="430"/>
      <c r="E16" s="382"/>
      <c r="F16" s="1228"/>
      <c r="G16" s="1229"/>
      <c r="H16" s="1228"/>
      <c r="I16" s="683"/>
      <c r="J16" s="683"/>
      <c r="K16" s="1229"/>
    </row>
    <row r="17" spans="1:11">
      <c r="A17" s="219"/>
      <c r="B17" s="383"/>
      <c r="C17" s="430"/>
      <c r="D17" s="430"/>
      <c r="E17" s="382"/>
      <c r="F17" s="1228"/>
      <c r="G17" s="1229"/>
      <c r="H17" s="1228"/>
      <c r="I17" s="683"/>
      <c r="J17" s="683"/>
      <c r="K17" s="1229"/>
    </row>
    <row r="18" spans="1:11">
      <c r="A18" s="219"/>
      <c r="B18" s="383"/>
      <c r="C18" s="430"/>
      <c r="D18" s="430"/>
      <c r="E18" s="382"/>
      <c r="F18" s="1228"/>
      <c r="G18" s="1229"/>
      <c r="H18" s="1228"/>
      <c r="I18" s="683"/>
      <c r="J18" s="683"/>
      <c r="K18" s="1229"/>
    </row>
    <row r="19" spans="1:11">
      <c r="A19" s="219"/>
      <c r="B19" s="383"/>
      <c r="C19" s="430"/>
      <c r="D19" s="430"/>
      <c r="E19" s="382"/>
      <c r="F19" s="1228"/>
      <c r="G19" s="1229"/>
      <c r="H19" s="1228"/>
      <c r="I19" s="683"/>
      <c r="J19" s="683"/>
      <c r="K19" s="1229"/>
    </row>
    <row r="20" spans="1:11">
      <c r="A20" s="219"/>
      <c r="B20" s="383"/>
      <c r="C20" s="430"/>
      <c r="D20" s="430"/>
      <c r="E20" s="382"/>
      <c r="F20" s="1228"/>
      <c r="G20" s="1229"/>
      <c r="H20" s="1228"/>
      <c r="I20" s="683"/>
      <c r="J20" s="683"/>
      <c r="K20" s="1229"/>
    </row>
    <row r="21" spans="1:11" ht="17.399999999999999" thickBot="1">
      <c r="A21" s="219"/>
      <c r="B21" s="431"/>
      <c r="C21" s="432"/>
      <c r="D21" s="432"/>
      <c r="E21" s="433"/>
      <c r="F21" s="1230"/>
      <c r="G21" s="1231"/>
      <c r="H21" s="1230"/>
      <c r="I21" s="682"/>
      <c r="J21" s="682"/>
      <c r="K21" s="1231"/>
    </row>
    <row r="22" spans="1:11" ht="17.399999999999999" thickTop="1">
      <c r="D22" s="19"/>
    </row>
    <row r="27" spans="1:11">
      <c r="B27" s="317"/>
    </row>
  </sheetData>
  <mergeCells count="9">
    <mergeCell ref="C2:E2"/>
    <mergeCell ref="F2:H3"/>
    <mergeCell ref="I2:K8"/>
    <mergeCell ref="C3:E3"/>
    <mergeCell ref="C4:E4"/>
    <mergeCell ref="C5:E5"/>
    <mergeCell ref="C6:E6"/>
    <mergeCell ref="C7:E7"/>
    <mergeCell ref="C8:E8"/>
  </mergeCells>
  <conditionalFormatting sqref="I11:I12">
    <cfRule type="expression" dxfId="5" priority="3">
      <formula>$I$11="Nein"</formula>
    </cfRule>
  </conditionalFormatting>
  <conditionalFormatting sqref="J11:J12">
    <cfRule type="expression" dxfId="3" priority="2">
      <formula>$J$11="Nein"</formula>
    </cfRule>
  </conditionalFormatting>
  <conditionalFormatting sqref="K11:K12">
    <cfRule type="expression" dxfId="1" priority="1">
      <formula>$K$11="Nein"</formula>
    </cfRule>
  </conditionalFormatting>
  <pageMargins left="0.7" right="0.7" top="0.78740157499999996" bottom="0.78740157499999996" header="0.3" footer="0.3"/>
  <extLst>
    <ext xmlns:x14="http://schemas.microsoft.com/office/spreadsheetml/2009/9/main" uri="{78C0D931-6437-407d-A8EE-F0AAD7539E65}">
      <x14:conditionalFormattings>
        <x14:conditionalFormatting xmlns:xm="http://schemas.microsoft.com/office/excel/2006/main">
          <x14:cfRule type="expression" priority="5" id="{E0B254AE-6D41-4F81-8230-38595F29CABC}">
            <xm:f>Allgemein!$C$91=$I$10</xm:f>
            <x14:dxf>
              <fill>
                <patternFill>
                  <bgColor theme="9" tint="0.79998168889431442"/>
                </patternFill>
              </fill>
            </x14:dxf>
          </x14:cfRule>
          <xm:sqref>I11:I12</xm:sqref>
        </x14:conditionalFormatting>
        <x14:conditionalFormatting xmlns:xm="http://schemas.microsoft.com/office/excel/2006/main">
          <x14:cfRule type="expression" priority="6" id="{FDCED3C9-7C69-47E2-941D-B72149B5279D}">
            <xm:f>Allgemein!$C$91=$J$10</xm:f>
            <x14:dxf>
              <fill>
                <patternFill>
                  <bgColor theme="9" tint="0.79998168889431442"/>
                </patternFill>
              </fill>
            </x14:dxf>
          </x14:cfRule>
          <xm:sqref>J11:J12</xm:sqref>
        </x14:conditionalFormatting>
        <x14:conditionalFormatting xmlns:xm="http://schemas.microsoft.com/office/excel/2006/main">
          <x14:cfRule type="expression" priority="4" id="{AAD04508-DDCB-4289-B5EF-7D58F8E79B3D}">
            <xm:f>Allgemein!$C$91=$K$10</xm:f>
            <x14:dxf>
              <fill>
                <patternFill>
                  <bgColor theme="9" tint="0.79998168889431442"/>
                </patternFill>
              </fill>
            </x14:dxf>
          </x14:cfRule>
          <xm:sqref>K11:K12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2F4F16E-3979-4944-9610-F52CA1B6FA6E}">
          <x14:formula1>
            <xm:f>Datenbank!$S$3:$S$4</xm:f>
          </x14:formula1>
          <xm:sqref>I11:K11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1BBDBF430283742855688213D86F983" ma:contentTypeVersion="15" ma:contentTypeDescription="Ein neues Dokument erstellen." ma:contentTypeScope="" ma:versionID="606c0221d047397e57434fc12bf0013a">
  <xsd:schema xmlns:xsd="http://www.w3.org/2001/XMLSchema" xmlns:xs="http://www.w3.org/2001/XMLSchema" xmlns:p="http://schemas.microsoft.com/office/2006/metadata/properties" xmlns:ns2="23153cf8-a329-447b-8c93-02265657163e" xmlns:ns3="69874906-4fa0-456f-9f1d-fba27a15ad5f" targetNamespace="http://schemas.microsoft.com/office/2006/metadata/properties" ma:root="true" ma:fieldsID="20f01a8a4385a88ec4a17c0b79d8dc19" ns2:_="" ns3:_="">
    <xsd:import namespace="23153cf8-a329-447b-8c93-02265657163e"/>
    <xsd:import namespace="69874906-4fa0-456f-9f1d-fba27a15ad5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153cf8-a329-447b-8c93-0226565716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d603a53e-ca07-4659-82c0-8375337b176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9874906-4fa0-456f-9f1d-fba27a15ad5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f413797-4e63-468a-b81b-2e7b7ff740ed}" ma:internalName="TaxCatchAll" ma:showField="CatchAllData" ma:web="69874906-4fa0-456f-9f1d-fba27a15ad5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9874906-4fa0-456f-9f1d-fba27a15ad5f" xsi:nil="true"/>
    <lcf76f155ced4ddcb4097134ff3c332f xmlns="23153cf8-a329-447b-8c93-02265657163e">
      <Terms xmlns="http://schemas.microsoft.com/office/infopath/2007/PartnerControls"/>
    </lcf76f155ced4ddcb4097134ff3c332f>
  </documentManagement>
</p:properties>
</file>

<file path=customXml/item3.xml><?xml version="1.0" encoding="utf-8"?>
<scriptIds xmlns="http://schemas.microsoft.com/office/extensibility/maker/v1.0" id="script-ids-node-id">
  <scriptId id="ms-officescript%3A%2F%2Fonedrive_business_itemlink%2F01DJBHSDROUMTOUF33BJHZYLN5WDZN4IVD:ms-officescript%3A%2F%2Fonedrive_business_sharinglink%2Fu!aHR0cHM6Ly9icmFsZWVuZXJneWdtYmgtbXkuc2hhcmVwb2ludC5jb20vOnU6L2cvcGVyc29uYWwval9zY2hhcmZfYnJhbGUtZW5lcmd5X2RlL0VTNmpKdW9YZXdwUG5DMjlzUExlSXFNQjR1dDJGY3FkSkNiWlplQ0NMS3lBenc"/>
  <scriptId xmlns="" id="ms-officescript%3A%2F%2Fonedrive_business_itemlink%2F01DJBHSDS3VV7MEKELZFHLIZOTKGQRINTD:ms-officescript%3A%2F%2Fonedrive_business_sharinglink%2Fu!aHR0cHM6Ly9icmFsZWVuZXJneWdtYmgtbXkuc2hhcmVwb2ludC5jb20vOnU6L2cvcGVyc29uYWwval9zY2hhcmZfYnJhbGUtZW5lcmd5X2RlL0VWdXRmc0lvaThsT3RHWFRVYUVVTm1NQmVnT2wyaHA3YnR1RmZMRXE3RU1RUUE"/>
  <scriptId xmlns="" id="ms-officescript%3A%2F%2Fonedrive_business_itemlink%2F01DJBHSDQUHISNC654RZBKWFY6LS3GODMP:ms-officescript%3A%2F%2Fonedrive_business_sharinglink%2Fu!aHR0cHM6Ly9icmFsZWVuZXJneWdtYmgtbXkuc2hhcmVwb2ludC5jb20vOnU6L2cvcGVyc29uYWwval9zY2hhcmZfYnJhbGUtZW5lcmd5X2RlL0VSUTZKTkY3dkk1Q3F4Y2VYTFpuRFk4Qkk1TkVQemZxR28tSFc5d25kX2daV2c"/>
</scriptId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870EFE93-FD6A-418C-BD4D-41E039EB75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153cf8-a329-447b-8c93-02265657163e"/>
    <ds:schemaRef ds:uri="69874906-4fa0-456f-9f1d-fba27a15ad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E53B7A-933F-4B6A-BB73-0A43C41B61E3}">
  <ds:schemaRefs>
    <ds:schemaRef ds:uri="http://schemas.microsoft.com/office/2006/metadata/properties"/>
    <ds:schemaRef ds:uri="http://schemas.microsoft.com/office/infopath/2007/PartnerControls"/>
    <ds:schemaRef ds:uri="69874906-4fa0-456f-9f1d-fba27a15ad5f"/>
    <ds:schemaRef ds:uri="23153cf8-a329-447b-8c93-02265657163e"/>
  </ds:schemaRefs>
</ds:datastoreItem>
</file>

<file path=customXml/itemProps3.xml><?xml version="1.0" encoding="utf-8"?>
<ds:datastoreItem xmlns:ds="http://schemas.openxmlformats.org/officeDocument/2006/customXml" ds:itemID="{3D067059-C3C0-418E-8471-F884AA945699}">
  <ds:schemaRefs>
    <ds:schemaRef ds:uri="http://schemas.microsoft.com/office/extensibility/maker/v1.0"/>
    <ds:schemaRef ds:uri=""/>
  </ds:schemaRefs>
</ds:datastoreItem>
</file>

<file path=customXml/itemProps4.xml><?xml version="1.0" encoding="utf-8"?>
<ds:datastoreItem xmlns:ds="http://schemas.openxmlformats.org/officeDocument/2006/customXml" ds:itemID="{759AB1A9-8BFD-4F6C-AEB9-B487563F8018}">
  <ds:schemaRefs>
    <ds:schemaRef ds:uri="http://schemas.microsoft.com/sharepoint/v3/contenttype/forms"/>
  </ds:schemaRefs>
</ds:datastoreItem>
</file>

<file path=customXml/itemProps5.xml><?xml version="1.0" encoding="utf-8"?>
<ds:datastoreItem xmlns:ds="http://schemas.openxmlformats.org/officeDocument/2006/customXml" ds:itemID="{3E2F8087-9E74-45FE-8323-B864F226C2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14</vt:i4>
      </vt:variant>
      <vt:variant>
        <vt:lpstr>Benannte Bereiche</vt:lpstr>
      </vt:variant>
      <vt:variant>
        <vt:i4>102</vt:i4>
      </vt:variant>
    </vt:vector>
  </HeadingPairs>
  <TitlesOfParts>
    <vt:vector size="116" baseType="lpstr">
      <vt:lpstr>Allgemein</vt:lpstr>
      <vt:lpstr>Datenbank-Preise</vt:lpstr>
      <vt:lpstr>Datenaustausch</vt:lpstr>
      <vt:lpstr>Fassade</vt:lpstr>
      <vt:lpstr>Fenster</vt:lpstr>
      <vt:lpstr>PV</vt:lpstr>
      <vt:lpstr>Dach</vt:lpstr>
      <vt:lpstr>weiteres Dach</vt:lpstr>
      <vt:lpstr>Boden u. Keller</vt:lpstr>
      <vt:lpstr>Elektro</vt:lpstr>
      <vt:lpstr>Wärmepumpe</vt:lpstr>
      <vt:lpstr>Heizflächen</vt:lpstr>
      <vt:lpstr>Datenbank</vt:lpstr>
      <vt:lpstr>Sonstiges</vt:lpstr>
      <vt:lpstr>Bild</vt:lpstr>
      <vt:lpstr>Fenster!DAIKIN</vt:lpstr>
      <vt:lpstr>'weiteres Dach'!DAIKIN</vt:lpstr>
      <vt:lpstr>DAIKIN</vt:lpstr>
      <vt:lpstr>Fenster!Heizungshersteller</vt:lpstr>
      <vt:lpstr>'weiteres Dach'!Heizungshersteller</vt:lpstr>
      <vt:lpstr>Heizungshersteller</vt:lpstr>
      <vt:lpstr>Fenster!LG</vt:lpstr>
      <vt:lpstr>'weiteres Dach'!LG</vt:lpstr>
      <vt:lpstr>LG</vt:lpstr>
      <vt:lpstr>r_Adresse</vt:lpstr>
      <vt:lpstr>r_Angaben</vt:lpstr>
      <vt:lpstr>r_Ausgaben</vt:lpstr>
      <vt:lpstr>r_BEGEM</vt:lpstr>
      <vt:lpstr>r_BEGWG</vt:lpstr>
      <vt:lpstr>r_CO2Flugnach</vt:lpstr>
      <vt:lpstr>r_Co2Flugvor</vt:lpstr>
      <vt:lpstr>r_CO2Nach</vt:lpstr>
      <vt:lpstr>r_CO2Vor</vt:lpstr>
      <vt:lpstr>r_CO2Weltnach</vt:lpstr>
      <vt:lpstr>r_CO2Weltvor</vt:lpstr>
      <vt:lpstr>r_Dach</vt:lpstr>
      <vt:lpstr>r_Effizienshaus</vt:lpstr>
      <vt:lpstr>r_EffizienzhausVAR1</vt:lpstr>
      <vt:lpstr>r_EffizienzhausVAR2</vt:lpstr>
      <vt:lpstr>r_EffizienzhausVAR3</vt:lpstr>
      <vt:lpstr>r_Einnahmen</vt:lpstr>
      <vt:lpstr>r_EinsparungenEMPF</vt:lpstr>
      <vt:lpstr>r_EinsparungenVar1</vt:lpstr>
      <vt:lpstr>r_EinsparungenVar2</vt:lpstr>
      <vt:lpstr>r_EinsparungenVar3</vt:lpstr>
      <vt:lpstr>r_EinsparungTabelleEMPF</vt:lpstr>
      <vt:lpstr>r_EinsparungTabelleVAR1</vt:lpstr>
      <vt:lpstr>r_EinsparungTabelleVAR2</vt:lpstr>
      <vt:lpstr>r_EinsparungTabelleVAR3</vt:lpstr>
      <vt:lpstr>r_EndenergiebedarfText</vt:lpstr>
      <vt:lpstr>r_Energieeffizienzklasse</vt:lpstr>
      <vt:lpstr>r_EnergielabelVar1</vt:lpstr>
      <vt:lpstr>r_EnergielabelVar2</vt:lpstr>
      <vt:lpstr>r_EnergielabelVar3</vt:lpstr>
      <vt:lpstr>r_Ersparniss</vt:lpstr>
      <vt:lpstr>r_Fassade</vt:lpstr>
      <vt:lpstr>r_Fenster</vt:lpstr>
      <vt:lpstr>r_HeizundStromenergie</vt:lpstr>
      <vt:lpstr>r_HeizundStromkosten</vt:lpstr>
      <vt:lpstr>r_Heizung</vt:lpstr>
      <vt:lpstr>r_Keller</vt:lpstr>
      <vt:lpstr>r_KostenbilanzEMPF</vt:lpstr>
      <vt:lpstr>r_KostenbilanzUMSETZ</vt:lpstr>
      <vt:lpstr>r_KostenbilanzVAR1</vt:lpstr>
      <vt:lpstr>r_KostenbilanzVAR2</vt:lpstr>
      <vt:lpstr>r_KostenbilanzVAR3</vt:lpstr>
      <vt:lpstr>r_KostenEMPF</vt:lpstr>
      <vt:lpstr>r_KostenTabelleEMPF</vt:lpstr>
      <vt:lpstr>r_KostenTabelleVAR1</vt:lpstr>
      <vt:lpstr>r_KostenTabelleVAR2</vt:lpstr>
      <vt:lpstr>r_KostenTabelleVAR3</vt:lpstr>
      <vt:lpstr>r_KostenVAR1</vt:lpstr>
      <vt:lpstr>r_KostenVAR2</vt:lpstr>
      <vt:lpstr>r_KostenVAR3</vt:lpstr>
      <vt:lpstr>r_Kostenvor</vt:lpstr>
      <vt:lpstr>r_Maßnahmen</vt:lpstr>
      <vt:lpstr>r_MaßnahmenKosten</vt:lpstr>
      <vt:lpstr>r_MaßnahmenVar1</vt:lpstr>
      <vt:lpstr>r_MaßnahmenVar2</vt:lpstr>
      <vt:lpstr>r_MaßnahmenVar3</vt:lpstr>
      <vt:lpstr>r_Primärenergiebedarf</vt:lpstr>
      <vt:lpstr>r_PV</vt:lpstr>
      <vt:lpstr>r_Sonstiges</vt:lpstr>
      <vt:lpstr>r_Sowiesokosten</vt:lpstr>
      <vt:lpstr>r_SparenUMS</vt:lpstr>
      <vt:lpstr>r_SparenVar1</vt:lpstr>
      <vt:lpstr>r_SparenVar2</vt:lpstr>
      <vt:lpstr>r_SparenVar3</vt:lpstr>
      <vt:lpstr>r_SummeFörderung</vt:lpstr>
      <vt:lpstr>r_SummeGH</vt:lpstr>
      <vt:lpstr>r_tatKostenEinzelnEMPF</vt:lpstr>
      <vt:lpstr>r_tatKostenEinzelnVAR1</vt:lpstr>
      <vt:lpstr>r_tatKostenEinzelnVAR2</vt:lpstr>
      <vt:lpstr>r_tatKostenEinzelnVAR3</vt:lpstr>
      <vt:lpstr>r_tatKostenEMPF</vt:lpstr>
      <vt:lpstr>r_tatKostenVAR1</vt:lpstr>
      <vt:lpstr>r_tatKostenVAR2</vt:lpstr>
      <vt:lpstr>r_tatKostenVAR3</vt:lpstr>
      <vt:lpstr>r_tatKostenVAREMPF</vt:lpstr>
      <vt:lpstr>r_uGAbschluss</vt:lpstr>
      <vt:lpstr>r_VarianteEmpfehlung</vt:lpstr>
      <vt:lpstr>r_WBZ1</vt:lpstr>
      <vt:lpstr>r_WBZ2</vt:lpstr>
      <vt:lpstr>r_WBZUmsetzung</vt:lpstr>
      <vt:lpstr>Fenster!Samsung</vt:lpstr>
      <vt:lpstr>'weiteres Dach'!Samsung</vt:lpstr>
      <vt:lpstr>Samsung</vt:lpstr>
      <vt:lpstr>Fenster!Vaillant</vt:lpstr>
      <vt:lpstr>'weiteres Dach'!Vaillant</vt:lpstr>
      <vt:lpstr>Vaillant</vt:lpstr>
      <vt:lpstr>Fenster!Viessmann</vt:lpstr>
      <vt:lpstr>'weiteres Dach'!Viessmann</vt:lpstr>
      <vt:lpstr>Viessmann</vt:lpstr>
      <vt:lpstr>Fenster!WP</vt:lpstr>
      <vt:lpstr>'weiteres Dach'!WP</vt:lpstr>
      <vt:lpstr>WP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brale-energy</dc:creator>
  <cp:keywords/>
  <dc:description/>
  <cp:lastModifiedBy>Tom Schulze</cp:lastModifiedBy>
  <cp:revision/>
  <dcterms:created xsi:type="dcterms:W3CDTF">2015-06-05T18:19:34Z</dcterms:created>
  <dcterms:modified xsi:type="dcterms:W3CDTF">2024-07-26T07:13:15Z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0x01010001BBDBF430283742855688213D86F983</vt:lpwstr>
  </property>
  <property fmtid="{D5CDD505-2E9C-101B-9397-08002B2CF9AE}" pid="3" name="MediaServiceImageTags">
    <vt:lpwstr/>
  </property>
</Properties>
</file>