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A6591968-0BF7-4C72-B446-5F8B28E7EF62}" xr6:coauthVersionLast="47" xr6:coauthVersionMax="47" xr10:uidLastSave="{00000000-0000-0000-0000-000000000000}"/>
  <bookViews>
    <workbookView xWindow="-108" yWindow="-108" windowWidth="23256" windowHeight="12456" tabRatio="827" xr2:uid="{EA689F36-0E40-46E1-937D-DBA5945BBD18}"/>
  </bookViews>
  <sheets>
    <sheet name="Plano de Contas" sheetId="1" r:id="rId1"/>
    <sheet name="Lançamento Diário" sheetId="2" r:id="rId2"/>
    <sheet name="Fluxo de Caixa Diário" sheetId="6" r:id="rId3"/>
    <sheet name="DASHBOARD" sheetId="21" r:id="rId4"/>
    <sheet name="GRÁFICO" sheetId="22" r:id="rId5"/>
    <sheet name="Dinâmica" sheetId="20" r:id="rId6"/>
  </sheets>
  <definedNames>
    <definedName name="_xlnm._FilterDatabase" localSheetId="2" hidden="1">'Fluxo de Caixa Diário'!$E$9:$N$40</definedName>
    <definedName name="_xlnm._FilterDatabase" localSheetId="1" hidden="1">'Lançamento Diário'!$E$3:$M$30</definedName>
    <definedName name="Nomes">OFFSET(#REF!,MATCH(#REF!,#REF!,0)-1,0,COUNTIF(#REF!,#REF!),1)</definedName>
    <definedName name="SegmentaçãodeDados_Mês">#N/A</definedName>
    <definedName name="ValoresSelecionados">OFFSET(#REF!,MATCH(#REF!,#REF!,0)-1,0,COUNTIF(#REF!,#REF!),1)</definedName>
  </definedNames>
  <calcPr calcId="191029"/>
  <pivotCaches>
    <pivotCache cacheId="131" r:id="rId7"/>
    <pivotCache cacheId="13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1" l="1"/>
  <c r="AI14" i="2"/>
  <c r="AI15" i="2"/>
  <c r="AI16" i="2"/>
  <c r="AI17" i="2"/>
  <c r="AI18" i="2"/>
  <c r="AI19" i="2"/>
  <c r="AI20" i="2"/>
  <c r="AH14" i="2"/>
  <c r="AH15" i="2"/>
  <c r="AH16" i="2"/>
  <c r="AG14" i="2"/>
  <c r="AG15" i="2"/>
  <c r="AG16" i="2"/>
  <c r="W13" i="21" l="1"/>
  <c r="W8" i="21"/>
  <c r="W7" i="21"/>
  <c r="W6" i="21"/>
  <c r="W4" i="21"/>
  <c r="W11" i="21" l="1"/>
  <c r="W12" i="21" s="1"/>
  <c r="W10" i="21"/>
  <c r="L26" i="2" l="1"/>
  <c r="L27" i="2"/>
  <c r="L28" i="2"/>
  <c r="L29" i="2"/>
  <c r="L3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E11" i="6" l="1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10" i="6"/>
  <c r="F10" i="6" s="1"/>
  <c r="G38" i="6" l="1"/>
  <c r="G39" i="6"/>
  <c r="G40" i="6"/>
  <c r="F40" i="6" l="1"/>
  <c r="H40" i="6" s="1"/>
  <c r="F39" i="6"/>
  <c r="H39" i="6" s="1"/>
  <c r="F38" i="6"/>
  <c r="H38" i="6" s="1"/>
  <c r="W33" i="2" l="1"/>
  <c r="X32" i="2"/>
  <c r="W32" i="2"/>
  <c r="Y31" i="2"/>
  <c r="X31" i="2"/>
  <c r="W31" i="2"/>
  <c r="Q31" i="2"/>
  <c r="AI30" i="2"/>
  <c r="AH30" i="2"/>
  <c r="AG30" i="2"/>
  <c r="AE30" i="2"/>
  <c r="AD30" i="2"/>
  <c r="AC30" i="2"/>
  <c r="Y30" i="2"/>
  <c r="X30" i="2"/>
  <c r="W30" i="2"/>
  <c r="R30" i="2"/>
  <c r="Q30" i="2"/>
  <c r="AI29" i="2"/>
  <c r="AH29" i="2"/>
  <c r="AG29" i="2"/>
  <c r="AE29" i="2"/>
  <c r="AD29" i="2"/>
  <c r="AC29" i="2"/>
  <c r="Y29" i="2"/>
  <c r="X29" i="2"/>
  <c r="W29" i="2"/>
  <c r="R29" i="2"/>
  <c r="Q29" i="2"/>
  <c r="AI28" i="2"/>
  <c r="AH28" i="2"/>
  <c r="AG28" i="2"/>
  <c r="AE28" i="2"/>
  <c r="AD28" i="2"/>
  <c r="AC28" i="2"/>
  <c r="Y28" i="2"/>
  <c r="X28" i="2"/>
  <c r="W28" i="2"/>
  <c r="R28" i="2"/>
  <c r="Q28" i="2"/>
  <c r="AI27" i="2"/>
  <c r="AH27" i="2"/>
  <c r="AG27" i="2"/>
  <c r="AE27" i="2"/>
  <c r="AD27" i="2"/>
  <c r="AC27" i="2"/>
  <c r="Y27" i="2"/>
  <c r="X27" i="2"/>
  <c r="W27" i="2"/>
  <c r="R27" i="2"/>
  <c r="Q27" i="2"/>
  <c r="AI26" i="2"/>
  <c r="AH26" i="2"/>
  <c r="AG26" i="2"/>
  <c r="AE26" i="2"/>
  <c r="AD26" i="2"/>
  <c r="AC26" i="2"/>
  <c r="Y26" i="2"/>
  <c r="X26" i="2"/>
  <c r="W26" i="2"/>
  <c r="R26" i="2"/>
  <c r="Q26" i="2"/>
  <c r="AI25" i="2"/>
  <c r="AH25" i="2"/>
  <c r="AG25" i="2"/>
  <c r="AE25" i="2"/>
  <c r="AD25" i="2"/>
  <c r="AC25" i="2"/>
  <c r="X25" i="2"/>
  <c r="Y25" i="2" s="1"/>
  <c r="W25" i="2"/>
  <c r="R25" i="2"/>
  <c r="Q25" i="2"/>
  <c r="L25" i="2"/>
  <c r="AI24" i="2"/>
  <c r="AH24" i="2"/>
  <c r="AG24" i="2"/>
  <c r="AE24" i="2"/>
  <c r="AD24" i="2"/>
  <c r="AC24" i="2"/>
  <c r="X24" i="2"/>
  <c r="Y24" i="2" s="1"/>
  <c r="W24" i="2"/>
  <c r="R24" i="2"/>
  <c r="Q24" i="2"/>
  <c r="L24" i="2"/>
  <c r="AI23" i="2"/>
  <c r="AH23" i="2"/>
  <c r="AG23" i="2"/>
  <c r="AE23" i="2"/>
  <c r="AD23" i="2"/>
  <c r="AC23" i="2"/>
  <c r="X23" i="2"/>
  <c r="Y23" i="2" s="1"/>
  <c r="W23" i="2"/>
  <c r="R23" i="2"/>
  <c r="Q23" i="2"/>
  <c r="L23" i="2"/>
  <c r="AI22" i="2"/>
  <c r="AH22" i="2"/>
  <c r="AG22" i="2"/>
  <c r="AE22" i="2"/>
  <c r="AD22" i="2"/>
  <c r="AC22" i="2"/>
  <c r="X22" i="2"/>
  <c r="Y22" i="2" s="1"/>
  <c r="W22" i="2"/>
  <c r="R22" i="2"/>
  <c r="Q22" i="2"/>
  <c r="L22" i="2"/>
  <c r="AI21" i="2"/>
  <c r="AH21" i="2"/>
  <c r="AG21" i="2"/>
  <c r="AE21" i="2"/>
  <c r="AD21" i="2"/>
  <c r="AC21" i="2"/>
  <c r="X21" i="2"/>
  <c r="Y21" i="2" s="1"/>
  <c r="W21" i="2"/>
  <c r="R21" i="2"/>
  <c r="Q21" i="2"/>
  <c r="L21" i="2"/>
  <c r="AH20" i="2"/>
  <c r="AG20" i="2"/>
  <c r="AE20" i="2"/>
  <c r="AD20" i="2"/>
  <c r="AC20" i="2"/>
  <c r="X20" i="2"/>
  <c r="Y20" i="2" s="1"/>
  <c r="W20" i="2"/>
  <c r="R20" i="2"/>
  <c r="Q20" i="2"/>
  <c r="L20" i="2"/>
  <c r="AH19" i="2"/>
  <c r="AG19" i="2"/>
  <c r="AE19" i="2"/>
  <c r="AD19" i="2"/>
  <c r="AC19" i="2"/>
  <c r="X19" i="2"/>
  <c r="Y19" i="2" s="1"/>
  <c r="W19" i="2"/>
  <c r="R19" i="2"/>
  <c r="Q19" i="2"/>
  <c r="L19" i="2"/>
  <c r="AH18" i="2"/>
  <c r="AG18" i="2"/>
  <c r="AE18" i="2"/>
  <c r="AD18" i="2"/>
  <c r="AC18" i="2"/>
  <c r="X18" i="2"/>
  <c r="Y18" i="2" s="1"/>
  <c r="W18" i="2"/>
  <c r="R18" i="2"/>
  <c r="Q18" i="2"/>
  <c r="L18" i="2"/>
  <c r="AH17" i="2"/>
  <c r="AG17" i="2"/>
  <c r="AE17" i="2"/>
  <c r="AD17" i="2"/>
  <c r="AC17" i="2"/>
  <c r="X17" i="2"/>
  <c r="Y17" i="2" s="1"/>
  <c r="W17" i="2"/>
  <c r="R17" i="2"/>
  <c r="Q17" i="2"/>
  <c r="L17" i="2"/>
  <c r="AE16" i="2"/>
  <c r="AD16" i="2"/>
  <c r="AC16" i="2"/>
  <c r="X16" i="2"/>
  <c r="Y16" i="2" s="1"/>
  <c r="W16" i="2"/>
  <c r="R16" i="2"/>
  <c r="Q16" i="2"/>
  <c r="L16" i="2"/>
  <c r="AE15" i="2"/>
  <c r="AD15" i="2"/>
  <c r="AC15" i="2"/>
  <c r="X15" i="2"/>
  <c r="Y15" i="2" s="1"/>
  <c r="W15" i="2"/>
  <c r="R15" i="2"/>
  <c r="Q15" i="2"/>
  <c r="L15" i="2"/>
  <c r="AE14" i="2"/>
  <c r="AD14" i="2"/>
  <c r="AC14" i="2"/>
  <c r="X14" i="2"/>
  <c r="Y14" i="2" s="1"/>
  <c r="W14" i="2"/>
  <c r="R14" i="2"/>
  <c r="Q14" i="2"/>
  <c r="L14" i="2"/>
  <c r="AI13" i="2"/>
  <c r="AH13" i="2"/>
  <c r="AG13" i="2"/>
  <c r="AE13" i="2"/>
  <c r="AD13" i="2"/>
  <c r="AC13" i="2"/>
  <c r="X13" i="2"/>
  <c r="Y13" i="2" s="1"/>
  <c r="W13" i="2"/>
  <c r="R13" i="2"/>
  <c r="Q13" i="2"/>
  <c r="L13" i="2"/>
  <c r="AI12" i="2"/>
  <c r="AH12" i="2"/>
  <c r="AG12" i="2"/>
  <c r="AE12" i="2"/>
  <c r="AD12" i="2"/>
  <c r="AC12" i="2"/>
  <c r="X12" i="2"/>
  <c r="Y12" i="2" s="1"/>
  <c r="W12" i="2"/>
  <c r="R12" i="2"/>
  <c r="Q12" i="2"/>
  <c r="L12" i="2"/>
  <c r="AI11" i="2"/>
  <c r="AH11" i="2"/>
  <c r="AG11" i="2"/>
  <c r="AE11" i="2"/>
  <c r="AD11" i="2"/>
  <c r="AC11" i="2"/>
  <c r="X11" i="2"/>
  <c r="Y11" i="2" s="1"/>
  <c r="W11" i="2"/>
  <c r="R11" i="2"/>
  <c r="Q11" i="2"/>
  <c r="L11" i="2"/>
  <c r="AI10" i="2"/>
  <c r="AH10" i="2"/>
  <c r="AG10" i="2"/>
  <c r="AE10" i="2"/>
  <c r="AD10" i="2"/>
  <c r="AC10" i="2"/>
  <c r="X10" i="2"/>
  <c r="Y10" i="2" s="1"/>
  <c r="W10" i="2"/>
  <c r="R10" i="2"/>
  <c r="Q10" i="2"/>
  <c r="L10" i="2"/>
  <c r="AI9" i="2"/>
  <c r="AH9" i="2"/>
  <c r="AG9" i="2"/>
  <c r="AE9" i="2"/>
  <c r="AD9" i="2"/>
  <c r="AC9" i="2"/>
  <c r="X9" i="2"/>
  <c r="Y9" i="2" s="1"/>
  <c r="W9" i="2"/>
  <c r="R9" i="2"/>
  <c r="Q9" i="2"/>
  <c r="L9" i="2"/>
  <c r="AI8" i="2"/>
  <c r="AH8" i="2"/>
  <c r="AG8" i="2"/>
  <c r="AE8" i="2"/>
  <c r="AD8" i="2"/>
  <c r="AC8" i="2"/>
  <c r="X8" i="2"/>
  <c r="Y8" i="2" s="1"/>
  <c r="W8" i="2"/>
  <c r="R8" i="2"/>
  <c r="Q8" i="2"/>
  <c r="L8" i="2"/>
  <c r="AI7" i="2"/>
  <c r="AH7" i="2"/>
  <c r="AG7" i="2"/>
  <c r="AE7" i="2"/>
  <c r="AD7" i="2"/>
  <c r="AC7" i="2"/>
  <c r="X7" i="2"/>
  <c r="Y7" i="2" s="1"/>
  <c r="W7" i="2"/>
  <c r="R7" i="2"/>
  <c r="Q7" i="2"/>
  <c r="L7" i="2"/>
  <c r="AI6" i="2"/>
  <c r="AH6" i="2"/>
  <c r="AG6" i="2"/>
  <c r="AE6" i="2"/>
  <c r="AD6" i="2"/>
  <c r="AC6" i="2"/>
  <c r="X6" i="2"/>
  <c r="Y6" i="2" s="1"/>
  <c r="W6" i="2"/>
  <c r="R6" i="2"/>
  <c r="Q6" i="2"/>
  <c r="L6" i="2"/>
  <c r="AI5" i="2"/>
  <c r="AH5" i="2"/>
  <c r="AG5" i="2"/>
  <c r="AE5" i="2"/>
  <c r="AD5" i="2"/>
  <c r="AC5" i="2"/>
  <c r="X5" i="2"/>
  <c r="Y5" i="2" s="1"/>
  <c r="W5" i="2"/>
  <c r="R5" i="2"/>
  <c r="Q5" i="2"/>
  <c r="L5" i="2"/>
  <c r="AI4" i="2"/>
  <c r="AH4" i="2"/>
  <c r="AG4" i="2"/>
  <c r="AE4" i="2"/>
  <c r="AD4" i="2"/>
  <c r="AC4" i="2"/>
  <c r="X4" i="2"/>
  <c r="Y4" i="2" s="1"/>
  <c r="W4" i="2"/>
  <c r="R4" i="2"/>
  <c r="Q4" i="2"/>
  <c r="L4" i="2"/>
  <c r="G37" i="6"/>
  <c r="G36" i="6"/>
  <c r="G35" i="6"/>
  <c r="G34" i="6"/>
  <c r="G33" i="6"/>
  <c r="G32" i="6"/>
  <c r="F31" i="6"/>
  <c r="G30" i="6"/>
  <c r="G29" i="6"/>
  <c r="G28" i="6"/>
  <c r="G27" i="6"/>
  <c r="G26" i="6"/>
  <c r="G25" i="6"/>
  <c r="G24" i="6"/>
  <c r="F23" i="6"/>
  <c r="G22" i="6"/>
  <c r="F21" i="6"/>
  <c r="G20" i="6"/>
  <c r="H20" i="6" s="1"/>
  <c r="G19" i="6"/>
  <c r="H19" i="6" s="1"/>
  <c r="G18" i="6"/>
  <c r="H18" i="6" s="1"/>
  <c r="G17" i="6"/>
  <c r="H17" i="6" s="1"/>
  <c r="G16" i="6"/>
  <c r="H16" i="6" s="1"/>
  <c r="G12" i="6"/>
  <c r="H12" i="6" s="1"/>
  <c r="S15" i="1"/>
  <c r="S14" i="1"/>
  <c r="S13" i="1"/>
  <c r="S12" i="1"/>
  <c r="S11" i="1"/>
  <c r="S10" i="1"/>
  <c r="S9" i="1"/>
  <c r="S8" i="1"/>
  <c r="S7" i="1"/>
  <c r="S6" i="1"/>
  <c r="S5" i="1"/>
  <c r="S4" i="1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W9" i="21" s="1"/>
  <c r="L17" i="6"/>
  <c r="M14" i="6"/>
  <c r="L20" i="6"/>
  <c r="M13" i="6"/>
  <c r="M19" i="6"/>
  <c r="L12" i="6"/>
  <c r="M15" i="6"/>
  <c r="M17" i="6"/>
  <c r="M10" i="6"/>
  <c r="L13" i="6"/>
  <c r="M18" i="6"/>
  <c r="L21" i="6"/>
  <c r="L15" i="6"/>
  <c r="M12" i="6"/>
  <c r="M20" i="6"/>
  <c r="L11" i="6"/>
  <c r="M16" i="6"/>
  <c r="L19" i="6"/>
  <c r="L10" i="6"/>
  <c r="L18" i="6"/>
  <c r="L16" i="6"/>
  <c r="M21" i="6"/>
  <c r="M11" i="6"/>
  <c r="L14" i="6"/>
  <c r="G11" i="6"/>
  <c r="H11" i="6" s="1"/>
  <c r="F28" i="6"/>
  <c r="H28" i="6" s="1"/>
  <c r="G14" i="6"/>
  <c r="H14" i="6" s="1"/>
  <c r="G21" i="6"/>
  <c r="H21" i="6" s="1"/>
  <c r="F25" i="6"/>
  <c r="H25" i="6" s="1"/>
  <c r="F27" i="6"/>
  <c r="H27" i="6" s="1"/>
  <c r="G23" i="6"/>
  <c r="H23" i="6" s="1"/>
  <c r="F34" i="6"/>
  <c r="H34" i="6" s="1"/>
  <c r="G10" i="6"/>
  <c r="F33" i="6"/>
  <c r="H33" i="6" s="1"/>
  <c r="F36" i="6"/>
  <c r="H36" i="6" s="1"/>
  <c r="G13" i="6"/>
  <c r="H13" i="6" s="1"/>
  <c r="F26" i="6"/>
  <c r="H26" i="6" s="1"/>
  <c r="G31" i="6"/>
  <c r="H31" i="6" s="1"/>
  <c r="F35" i="6"/>
  <c r="H35" i="6" s="1"/>
  <c r="F29" i="6"/>
  <c r="H29" i="6" s="1"/>
  <c r="F37" i="6"/>
  <c r="H37" i="6" s="1"/>
  <c r="G15" i="6"/>
  <c r="H15" i="6" s="1"/>
  <c r="F24" i="6"/>
  <c r="H24" i="6" s="1"/>
  <c r="F32" i="6"/>
  <c r="H32" i="6" s="1"/>
  <c r="F22" i="6"/>
  <c r="H22" i="6" s="1"/>
  <c r="F30" i="6"/>
  <c r="H30" i="6" s="1"/>
  <c r="N14" i="6" l="1"/>
  <c r="N16" i="6"/>
  <c r="N11" i="6"/>
  <c r="N18" i="6"/>
  <c r="N21" i="6"/>
  <c r="N19" i="6"/>
  <c r="N12" i="6"/>
  <c r="N15" i="6"/>
  <c r="N20" i="6"/>
  <c r="N13" i="6"/>
  <c r="N17" i="6"/>
  <c r="N10" i="6"/>
  <c r="L23" i="6"/>
  <c r="M23" i="6"/>
  <c r="H10" i="6"/>
  <c r="H42" i="6" s="1"/>
  <c r="G42" i="6"/>
  <c r="F42" i="6"/>
  <c r="N23" i="6" l="1"/>
</calcChain>
</file>

<file path=xl/sharedStrings.xml><?xml version="1.0" encoding="utf-8"?>
<sst xmlns="http://schemas.openxmlformats.org/spreadsheetml/2006/main" count="335" uniqueCount="185">
  <si>
    <t>1.1</t>
  </si>
  <si>
    <t>RECEITA COM PRODUTOS</t>
  </si>
  <si>
    <t>1.1.1</t>
  </si>
  <si>
    <t>1.1.2</t>
  </si>
  <si>
    <t>1.1.3</t>
  </si>
  <si>
    <t>1.1.4</t>
  </si>
  <si>
    <t>1.1.5</t>
  </si>
  <si>
    <t>Cadernos</t>
  </si>
  <si>
    <t>1.2</t>
  </si>
  <si>
    <t>RECEITA COM SERVIÇOS</t>
  </si>
  <si>
    <t>1.2.1</t>
  </si>
  <si>
    <t>1.2.2</t>
  </si>
  <si>
    <t>1.2.3</t>
  </si>
  <si>
    <t>1.2.4</t>
  </si>
  <si>
    <t>1.2.5</t>
  </si>
  <si>
    <t>Coaching de Planejamento Financeiro</t>
  </si>
  <si>
    <t>Mídia digital  e comunicação</t>
  </si>
  <si>
    <t>1.3</t>
  </si>
  <si>
    <t>1.3.1</t>
  </si>
  <si>
    <t>1.3.2</t>
  </si>
  <si>
    <t>1.3.3</t>
  </si>
  <si>
    <t>1.3.4</t>
  </si>
  <si>
    <t>1.3.5</t>
  </si>
  <si>
    <t>Juros sobre aplicações financeiras</t>
  </si>
  <si>
    <t>Renda Fixa</t>
  </si>
  <si>
    <t>Poupança</t>
  </si>
  <si>
    <t>2.1</t>
  </si>
  <si>
    <t>DESPESA COM PRODUTOS</t>
  </si>
  <si>
    <t>2.1.1</t>
  </si>
  <si>
    <t>2.1.2</t>
  </si>
  <si>
    <t>2.1.3</t>
  </si>
  <si>
    <t>2.1.4</t>
  </si>
  <si>
    <t>2.1.5</t>
  </si>
  <si>
    <t>Receita</t>
  </si>
  <si>
    <t>2.2</t>
  </si>
  <si>
    <t>DESPESA COM SERVIÇOS</t>
  </si>
  <si>
    <t>2.3</t>
  </si>
  <si>
    <t>DESPESA NÃO OPERACIONAIS</t>
  </si>
  <si>
    <t>2.5</t>
  </si>
  <si>
    <t>DESPESAS OPERACIONAIS</t>
  </si>
  <si>
    <t>2.7</t>
  </si>
  <si>
    <t>IMPOSTOS</t>
  </si>
  <si>
    <t>2.8</t>
  </si>
  <si>
    <t>INVESTIMENTOS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</si>
  <si>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</si>
  <si>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</si>
  <si>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</si>
  <si>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</si>
  <si>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</si>
  <si>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</si>
  <si>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</si>
  <si>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</si>
  <si>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</si>
  <si>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</si>
  <si>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2.5.1</t>
  </si>
  <si>
    <t>2.5.2</t>
  </si>
  <si>
    <t>2.5.3</t>
  </si>
  <si>
    <t>2.5.4</t>
  </si>
  <si>
    <t>2.5.5</t>
  </si>
  <si>
    <t>2.7.1</t>
  </si>
  <si>
    <t>2.7.2</t>
  </si>
  <si>
    <t>2.7.3</t>
  </si>
  <si>
    <t>2.7.4</t>
  </si>
  <si>
    <t>2.7.5</t>
  </si>
  <si>
    <t>2.8.1</t>
  </si>
  <si>
    <t>2.8.2</t>
  </si>
  <si>
    <t>2.8.3</t>
  </si>
  <si>
    <t>2.8.4</t>
  </si>
  <si>
    <t>2.8.5</t>
  </si>
  <si>
    <t>2.4</t>
  </si>
  <si>
    <t>DESPESA COM RH</t>
  </si>
  <si>
    <t>2.4.1</t>
  </si>
  <si>
    <t>Salários</t>
  </si>
  <si>
    <t>2.4.2</t>
  </si>
  <si>
    <t>2.4.3</t>
  </si>
  <si>
    <t>2.4.4</t>
  </si>
  <si>
    <t>2.4.5</t>
  </si>
  <si>
    <t>2.6</t>
  </si>
  <si>
    <t>2.6.1</t>
  </si>
  <si>
    <t>2.6.2</t>
  </si>
  <si>
    <t>2.6.3</t>
  </si>
  <si>
    <t>2.6.4</t>
  </si>
  <si>
    <t>2.6.5</t>
  </si>
  <si>
    <t>Contratação de serviço de Limpeza</t>
  </si>
  <si>
    <t>Serviços gráficos</t>
  </si>
  <si>
    <t>Juros</t>
  </si>
  <si>
    <t>Multas</t>
  </si>
  <si>
    <t>Indenizações de seguros</t>
  </si>
  <si>
    <t>Energia elétrica</t>
  </si>
  <si>
    <t>Conta de Água</t>
  </si>
  <si>
    <t>Segurança</t>
  </si>
  <si>
    <t>Imposto de renda</t>
  </si>
  <si>
    <t>PIS e COFINS</t>
  </si>
  <si>
    <t>Taxas de Licenciamento</t>
  </si>
  <si>
    <t>Equipamentos</t>
  </si>
  <si>
    <t>Programa de treinamento</t>
  </si>
  <si>
    <t>Capacitação dos colaboradores</t>
  </si>
  <si>
    <t>Benefícios oferecidos</t>
  </si>
  <si>
    <t>Mídias sociais</t>
  </si>
  <si>
    <t>Marketing digital</t>
  </si>
  <si>
    <t>Mensalidade de serviços contratados</t>
  </si>
  <si>
    <t>2.9</t>
  </si>
  <si>
    <t>2.9.1</t>
  </si>
  <si>
    <t>2.9.2</t>
  </si>
  <si>
    <t>2.9.3</t>
  </si>
  <si>
    <t>2.9.4</t>
  </si>
  <si>
    <t>2.9.5</t>
  </si>
  <si>
    <t>Classificação</t>
  </si>
  <si>
    <t>Valor</t>
  </si>
  <si>
    <t>Data de Pagamento</t>
  </si>
  <si>
    <t>Data de Lançamento</t>
  </si>
  <si>
    <t>RECEITA NÃO OPERACIONAIS</t>
  </si>
  <si>
    <t>DESPESA COM MARKETING</t>
  </si>
  <si>
    <t xml:space="preserve">DESPESA COM FINANCEIRO </t>
  </si>
  <si>
    <t xml:space="preserve">Receita X Despesas </t>
  </si>
  <si>
    <t>Manutenção dos equipamentos</t>
  </si>
  <si>
    <t>Empréstimos de terceiros</t>
  </si>
  <si>
    <t>Encargos trabalhistas</t>
  </si>
  <si>
    <t>Despesa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</si>
  <si>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</si>
  <si>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</si>
  <si>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</si>
  <si>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</si>
  <si>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</si>
  <si>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</si>
  <si>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</si>
  <si>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</si>
  <si>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</si>
  <si>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</si>
  <si>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</si>
  <si>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</si>
  <si>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Observação</t>
  </si>
  <si>
    <t>Total de receitas</t>
  </si>
  <si>
    <t>Total de despesas</t>
  </si>
  <si>
    <t>Status</t>
  </si>
  <si>
    <t>Pago</t>
  </si>
  <si>
    <t>Não Pago</t>
  </si>
  <si>
    <t>Dia venc./Nº</t>
  </si>
  <si>
    <t>Mês venc.</t>
  </si>
  <si>
    <t>Mês venc./correspondente</t>
  </si>
  <si>
    <t>Receita ou Despesa</t>
  </si>
  <si>
    <t>Pagou ou não pagou</t>
  </si>
  <si>
    <t>Mês</t>
  </si>
  <si>
    <t>Ano</t>
  </si>
  <si>
    <t>Dia</t>
  </si>
  <si>
    <t>Saldo</t>
  </si>
  <si>
    <t xml:space="preserve">Total a Receber </t>
  </si>
  <si>
    <t>Total a Pagar</t>
  </si>
  <si>
    <t>Total Geral</t>
  </si>
  <si>
    <t>RECEITA</t>
  </si>
  <si>
    <t>DESPESA</t>
  </si>
  <si>
    <t>VALOR</t>
  </si>
  <si>
    <t>CLASSIFICAÇÃO</t>
  </si>
  <si>
    <t>Soma de Receita</t>
  </si>
  <si>
    <t>Soma de Despesa</t>
  </si>
  <si>
    <t>TOTAL</t>
  </si>
  <si>
    <t>SALDO INICIAL</t>
  </si>
  <si>
    <t>TOTAL ACUMULADO</t>
  </si>
  <si>
    <t>NECESSIDADE DE CAIXA</t>
  </si>
  <si>
    <t>LUCRO OU PREJUÍSO</t>
  </si>
  <si>
    <t>LUCRATIVIDADE</t>
  </si>
  <si>
    <t>LUCRO OU PREJUÍZO</t>
  </si>
  <si>
    <t xml:space="preserve">TOTAL ACUMULADO </t>
  </si>
  <si>
    <t>Plano de contas</t>
  </si>
  <si>
    <t>Status de pagamento</t>
  </si>
  <si>
    <t>Mês /Nº</t>
  </si>
  <si>
    <t>Saldo Inicial</t>
  </si>
  <si>
    <t>Resultado</t>
  </si>
  <si>
    <t>Total ANO</t>
  </si>
  <si>
    <t>Total MÊS</t>
  </si>
  <si>
    <t xml:space="preserve">Transporte </t>
  </si>
  <si>
    <t>Lápis e canetas</t>
  </si>
  <si>
    <t>Mochilas</t>
  </si>
  <si>
    <t>Livros didáticos</t>
  </si>
  <si>
    <t>Réguas e Esquadros</t>
  </si>
  <si>
    <t>Colas e Tesouras</t>
  </si>
  <si>
    <t>Mochilas personaliizadas</t>
  </si>
  <si>
    <t>Kit canetas</t>
  </si>
  <si>
    <t>Papel Sulfite</t>
  </si>
  <si>
    <t>Parâmetros</t>
  </si>
  <si>
    <t>Rótulos de Linha</t>
  </si>
  <si>
    <t>SELECIONE MÊS/ANO</t>
  </si>
  <si>
    <t>Atualize os dados da "Dinâmica" para garantir informações atualizadas nos gráficos.</t>
  </si>
  <si>
    <t>DESPESA_</t>
  </si>
  <si>
    <t>RECEITA_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</si>
</sst>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rgb="FF99999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148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7"/>
      </patternFill>
    </fill>
    <fill>
      <gradientFill degree="90">
        <stop position="0">
          <color rgb="FFFFC000"/>
        </stop>
        <stop position="1">
          <color theme="7" tint="0.80001220740379042"/>
        </stop>
      </gradientFill>
    </fill>
    <fill>
      <gradientFill degree="90">
        <stop position="0">
          <color theme="7"/>
        </stop>
        <stop position="1">
          <color theme="7" tint="0.80001220740379042"/>
        </stop>
      </gradientFill>
    </fill>
    <fill>
      <gradientFill degree="90">
        <stop position="0">
          <color theme="0" tint="-0.25098422193060094"/>
        </stop>
        <stop position="1">
          <color theme="0" tint="-5.0965910824915313E-2"/>
        </stop>
      </gradientFill>
    </fill>
    <fill>
      <gradientFill degree="90">
        <stop position="0">
          <color theme="7" tint="0.59999389629810485"/>
        </stop>
        <stop position="1">
          <color theme="7" tint="0.80001220740379042"/>
        </stop>
      </gradientFill>
    </fill>
  </fills>
  <borders count="1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0" borderId="0" xfId="1" applyFont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2" fillId="0" borderId="0" xfId="0" applyFont="1"/>
    <xf numFmtId="164" fontId="2" fillId="0" borderId="0" xfId="0" applyNumberFormat="1" applyFont="1"/>
    <xf numFmtId="44" fontId="2" fillId="0" borderId="0" xfId="0" applyNumberFormat="1" applyFont="1"/>
    <xf numFmtId="0" fontId="9" fillId="0" borderId="0" xfId="0" applyFont="1"/>
    <xf numFmtId="0" fontId="10" fillId="0" borderId="0" xfId="0" applyFont="1"/>
    <xf numFmtId="44" fontId="10" fillId="0" borderId="0" xfId="0" applyNumberFormat="1" applyFont="1"/>
    <xf numFmtId="14" fontId="10" fillId="0" borderId="0" xfId="0" applyNumberFormat="1" applyFont="1"/>
    <xf numFmtId="44" fontId="9" fillId="0" borderId="0" xfId="1" applyNumberFormat="1" applyFont="1" applyAlignment="1">
      <alignment horizontal="left" vertical="center" wrapText="1" indent="1"/>
    </xf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/>
    <xf numFmtId="44" fontId="12" fillId="0" borderId="0" xfId="0" applyNumberFormat="1" applyFont="1"/>
    <xf numFmtId="0" fontId="0" fillId="0" borderId="7" xfId="0" applyBorder="1"/>
    <xf numFmtId="14" fontId="12" fillId="0" borderId="0" xfId="0" applyNumberFormat="1" applyFont="1"/>
    <xf numFmtId="0" fontId="2" fillId="0" borderId="4" xfId="0" applyFont="1" applyBorder="1"/>
    <xf numFmtId="0" fontId="2" fillId="0" borderId="3" xfId="0" applyFont="1" applyBorder="1"/>
    <xf numFmtId="44" fontId="2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0" fillId="0" borderId="0" xfId="0" applyNumberFormat="1" applyFont="1" applyAlignment="1">
      <alignment horizontal="center"/>
    </xf>
    <xf numFmtId="14" fontId="3" fillId="4" borderId="1" xfId="0" applyNumberFormat="1" applyFont="1" applyFill="1" applyBorder="1"/>
    <xf numFmtId="0" fontId="0" fillId="0" borderId="2" xfId="0" applyBorder="1"/>
    <xf numFmtId="0" fontId="0" fillId="0" borderId="8" xfId="0" applyBorder="1"/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44" fontId="11" fillId="4" borderId="1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5" fillId="4" borderId="1" xfId="1" applyFont="1" applyFill="1" applyBorder="1" applyAlignment="1">
      <alignment horizontal="left" vertical="center" wrapText="1" indent="1"/>
    </xf>
    <xf numFmtId="0" fontId="6" fillId="3" borderId="1" xfId="1" applyFont="1" applyFill="1" applyBorder="1" applyAlignment="1">
      <alignment horizontal="left" vertical="center" indent="1"/>
    </xf>
    <xf numFmtId="0" fontId="5" fillId="4" borderId="1" xfId="1" applyFont="1" applyFill="1" applyBorder="1" applyAlignment="1" applyProtection="1">
      <alignment horizontal="left" vertical="center" indent="1"/>
      <protection locked="0"/>
    </xf>
    <xf numFmtId="0" fontId="0" fillId="0" borderId="1" xfId="0" applyBorder="1"/>
    <xf numFmtId="0" fontId="6" fillId="3" borderId="2" xfId="1" applyFont="1" applyFill="1" applyBorder="1" applyAlignment="1">
      <alignment horizontal="left" vertical="center" indent="1"/>
    </xf>
    <xf numFmtId="0" fontId="6" fillId="0" borderId="0" xfId="1" applyFont="1" applyAlignment="1">
      <alignment horizontal="left" vertical="center" indent="1"/>
    </xf>
    <xf numFmtId="0" fontId="1" fillId="2" borderId="1" xfId="1" applyFont="1" applyFill="1" applyBorder="1" applyAlignment="1" applyProtection="1">
      <alignment horizontal="left" vertical="center" indent="1"/>
      <protection locked="0"/>
    </xf>
    <xf numFmtId="0" fontId="1" fillId="2" borderId="2" xfId="1" applyFont="1" applyFill="1" applyBorder="1" applyAlignment="1" applyProtection="1">
      <alignment horizontal="left" vertical="center" indent="1"/>
      <protection locked="0"/>
    </xf>
    <xf numFmtId="0" fontId="5" fillId="4" borderId="8" xfId="1" applyFont="1" applyFill="1" applyBorder="1" applyAlignment="1">
      <alignment horizontal="left" vertical="center" wrapText="1" indent="1"/>
    </xf>
    <xf numFmtId="0" fontId="5" fillId="4" borderId="8" xfId="1" applyFont="1" applyFill="1" applyBorder="1" applyAlignment="1" applyProtection="1">
      <alignment horizontal="left" vertical="center" indent="1"/>
      <protection locked="0"/>
    </xf>
    <xf numFmtId="0" fontId="0" fillId="8" borderId="1" xfId="0" applyFill="1" applyBorder="1"/>
    <xf numFmtId="44" fontId="8" fillId="10" borderId="1" xfId="0" applyNumberFormat="1" applyFont="1" applyFill="1" applyBorder="1"/>
    <xf numFmtId="44" fontId="8" fillId="9" borderId="1" xfId="0" applyNumberFormat="1" applyFont="1" applyFill="1" applyBorder="1"/>
    <xf numFmtId="14" fontId="0" fillId="4" borderId="1" xfId="0" applyNumberFormat="1" applyFill="1" applyBorder="1"/>
    <xf numFmtId="44" fontId="11" fillId="10" borderId="1" xfId="0" applyNumberFormat="1" applyFont="1" applyFill="1" applyBorder="1"/>
    <xf numFmtId="44" fontId="11" fillId="9" borderId="1" xfId="0" applyNumberFormat="1" applyFont="1" applyFill="1" applyBorder="1"/>
    <xf numFmtId="44" fontId="11" fillId="0" borderId="0" xfId="0" applyNumberFormat="1" applyFont="1"/>
    <xf numFmtId="44" fontId="8" fillId="4" borderId="1" xfId="0" applyNumberFormat="1" applyFont="1" applyFill="1" applyBorder="1"/>
    <xf numFmtId="0" fontId="8" fillId="4" borderId="1" xfId="0" applyFont="1" applyFill="1" applyBorder="1"/>
    <xf numFmtId="44" fontId="11" fillId="4" borderId="1" xfId="0" applyNumberFormat="1" applyFont="1" applyFill="1" applyBorder="1"/>
    <xf numFmtId="0" fontId="1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left" vertical="center" wrapText="1" indent="1"/>
    </xf>
    <xf numFmtId="0" fontId="5" fillId="4" borderId="0" xfId="1" applyFont="1" applyFill="1" applyAlignment="1" applyProtection="1">
      <alignment vertical="center"/>
      <protection locked="0"/>
    </xf>
    <xf numFmtId="0" fontId="6" fillId="3" borderId="0" xfId="1" applyFont="1" applyFill="1" applyAlignment="1">
      <alignment horizontal="left" vertical="center" indent="1"/>
    </xf>
    <xf numFmtId="0" fontId="1" fillId="2" borderId="0" xfId="1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0" borderId="0" xfId="0" applyFont="1"/>
    <xf numFmtId="0" fontId="17" fillId="6" borderId="1" xfId="0" applyFont="1" applyFill="1" applyBorder="1" applyAlignment="1">
      <alignment horizontal="center" vertical="center" wrapText="1"/>
    </xf>
    <xf numFmtId="44" fontId="17" fillId="6" borderId="5" xfId="0" applyNumberFormat="1" applyFont="1" applyFill="1" applyBorder="1" applyAlignment="1">
      <alignment horizontal="center" vertical="center" wrapText="1"/>
    </xf>
    <xf numFmtId="44" fontId="17" fillId="6" borderId="6" xfId="0" applyNumberFormat="1" applyFont="1" applyFill="1" applyBorder="1" applyAlignment="1">
      <alignment horizontal="center" vertical="center" wrapText="1"/>
    </xf>
    <xf numFmtId="44" fontId="17" fillId="6" borderId="1" xfId="0" applyNumberFormat="1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 vertical="center" wrapText="1"/>
    </xf>
    <xf numFmtId="0" fontId="11" fillId="0" borderId="0" xfId="0" applyFont="1"/>
    <xf numFmtId="9" fontId="12" fillId="0" borderId="0" xfId="3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5" fillId="14" borderId="17" xfId="0" applyFont="1" applyFill="1" applyBorder="1" applyAlignment="1">
      <alignment horizontal="center" vertical="center"/>
    </xf>
    <xf numFmtId="0" fontId="15" fillId="1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12" borderId="17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5" fillId="13" borderId="18" xfId="0" applyFont="1" applyFill="1" applyBorder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0" fillId="0" borderId="0" xfId="0" applyFill="1"/>
  </cellXfs>
  <cellStyles count="4">
    <cellStyle name="Normal" xfId="0" builtinId="0"/>
    <cellStyle name="Normal 2" xfId="1" xr:uid="{0B8775FB-106B-4068-A9A3-0B6837E6DC37}"/>
    <cellStyle name="Porcentagem" xfId="3" builtinId="5"/>
    <cellStyle name="Porcentagem 2" xfId="2" xr:uid="{94468A82-B6F1-47C1-928A-789DEE77510D}"/>
  </cellStyles>
  <dxfs count="43">
    <dxf>
      <fill>
        <patternFill>
          <bgColor rgb="FFF1485B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/>
    </dxf>
    <dxf>
      <alignment vertical="bottom"/>
    </dxf>
    <dxf>
      <alignment vertical="bottom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7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numFmt numFmtId="0" formatCode="General"/>
      <border diagonalUp="0" diagonalDown="0"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rgb="FFF1485B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ABA5BC"/>
        </patternFill>
      </fill>
    </dxf>
  </dxfs>
  <tableStyles count="5" defaultTableStyle="TableStyleMedium2" defaultPivotStyle="PivotStyleLight16">
    <tableStyle name="Estilo de Segmentação de Dados 1" pivot="0" table="0" count="0" xr9:uid="{90284612-1825-49B4-B422-6C672D45CAC9}"/>
    <tableStyle name="Estilo de Segmentação de Dados 2" pivot="0" table="0" count="1" xr9:uid="{7E1D0C33-D8E5-4B4B-B773-3F70665FF53A}">
      <tableStyleElement type="wholeTable" dxfId="42"/>
    </tableStyle>
    <tableStyle name="Estilo de Segmentação de Dados 3" pivot="0" table="0" count="1" xr9:uid="{47B37A9F-46A0-4109-9D92-D0A6015552E3}">
      <tableStyleElement type="headerRow" dxfId="41"/>
    </tableStyle>
    <tableStyle name="Estilo de Segmentação de Dados 4" pivot="0" table="0" count="1" xr9:uid="{BB8D9813-217A-480B-8BF3-B8404DEFA6A7}">
      <tableStyleElement type="wholeTable" dxfId="40"/>
    </tableStyle>
    <tableStyle name="Estilo de Segmentação de Dados 5" pivot="0" table="0" count="2" xr9:uid="{711AB1BC-9B04-4340-857B-248BA869D0AF}">
      <tableStyleElement type="headerRow" dxfId="39"/>
    </tableStyle>
  </tableStyles>
  <colors>
    <mruColors>
      <color rgb="FF174940"/>
      <color rgb="FF7EBE2A"/>
      <color rgb="FFF5D861"/>
      <color rgb="FFE28899"/>
      <color rgb="FFE93558"/>
      <color rgb="FF22822E"/>
      <color rgb="FFFF0000"/>
      <color rgb="FFE63946"/>
      <color rgb="FFFF5353"/>
      <color rgb="FF070F16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9476837153791E-2"/>
          <c:y val="0.10986513009142063"/>
          <c:w val="0.36941254900863857"/>
          <c:h val="0.7388250980172771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22822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DC-4E12-94DB-B5314EC6D261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E12-94DB-B5314EC6D261}"/>
              </c:ext>
            </c:extLst>
          </c:dPt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DASHBOARD!$V$6:$V$7</c:f>
              <c:strCache>
                <c:ptCount val="2"/>
                <c:pt idx="0">
                  <c:v>Total de receitas</c:v>
                </c:pt>
                <c:pt idx="1">
                  <c:v>Total de despesas</c:v>
                </c:pt>
              </c:strCache>
            </c:strRef>
          </c:cat>
          <c:val>
            <c:numRef>
              <c:f>DASHBOARD!$W$6:$W$7</c:f>
              <c:numCache>
                <c:formatCode>_("R$"* #,##0.00_);_("R$"* \(#,##0.00\);_("R$"* "-"??_);_(@_)</c:formatCode>
                <c:ptCount val="2"/>
                <c:pt idx="0">
                  <c:v>121000</c:v>
                </c:pt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E12-94DB-B5314EC6D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0311323498661"/>
          <c:y val="0.53009512289404426"/>
          <c:w val="0.24025712339984137"/>
          <c:h val="0.19819334935052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15170581655481"/>
          <c:y val="3.0360738255033569E-2"/>
          <c:w val="0.41081795302013419"/>
          <c:h val="0.821635906040268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55-4E63-AE5E-58C0B7B14934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5-4E63-AE5E-58C0B7B14934}"/>
              </c:ext>
            </c:extLst>
          </c:dPt>
          <c:dLbls>
            <c:dLbl>
              <c:idx val="0"/>
              <c:layout>
                <c:manualLayout>
                  <c:x val="0.33023589958052435"/>
                  <c:y val="3.6602701496482593E-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93611194521022"/>
                      <c:h val="0.21585109420589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C55-4E63-AE5E-58C0B7B14934}"/>
                </c:ext>
              </c:extLst>
            </c:dLbl>
            <c:dLbl>
              <c:idx val="1"/>
              <c:layout>
                <c:manualLayout>
                  <c:x val="-0.18689095647362769"/>
                  <c:y val="3.4179594402931814E-2"/>
                </c:manualLayout>
              </c:layout>
              <c:numFmt formatCode="_(&quot;R$&quot;* #,##0_);_(&quot;R$&quot;* \(#,##0\);_(&quot;R$&quot;* &quot;-&quot;_);_(@_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536161135186912"/>
                      <c:h val="0.19152115498047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55-4E63-AE5E-58C0B7B14934}"/>
                </c:ext>
              </c:extLst>
            </c:dLbl>
            <c:numFmt formatCode="_(&quot;R$&quot;* #,##0_);_(&quot;R$&quot;* \(#,##0\);_(&quot;R$&quot;* &quot;-&quot;_);_(@_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DASHBOARD!$V$3:$V$4</c:f>
              <c:strCache>
                <c:ptCount val="2"/>
                <c:pt idx="0">
                  <c:v>Total a Receber </c:v>
                </c:pt>
                <c:pt idx="1">
                  <c:v>Total a Pagar</c:v>
                </c:pt>
              </c:strCache>
            </c:strRef>
          </c:cat>
          <c:val>
            <c:numRef>
              <c:f>DASHBOARD!$W$3:$W$4</c:f>
              <c:numCache>
                <c:formatCode>_("R$"* #,##0.00_);_("R$"* \(#,##0.00\);_("R$"* "-"??_);_(@_)</c:formatCode>
                <c:ptCount val="2"/>
                <c:pt idx="0">
                  <c:v>20000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63-AE5E-58C0B7B14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1485B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F1485B"/>
                </a:solidFill>
              </a:rPr>
              <a:t>RECEITA X DESPESA - MENSAL</a:t>
            </a:r>
          </a:p>
        </c:rich>
      </c:tx>
      <c:layout>
        <c:manualLayout>
          <c:xMode val="edge"/>
          <c:yMode val="edge"/>
          <c:x val="0.39992451226715897"/>
          <c:y val="8.7691271922906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1485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282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Dinâmica!$B$11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rgbClr val="22822E"/>
            </a:solidFill>
            <a:ln>
              <a:noFill/>
            </a:ln>
            <a:effectLst/>
          </c:spPr>
          <c:invertIfNegative val="0"/>
          <c:cat>
            <c:strRef>
              <c:f>Dinâmica!$A$12:$A$24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Dinâmica!$B$12:$B$24</c:f>
              <c:numCache>
                <c:formatCode>_("R$"* #,##0.00_);_("R$"* \(#,##0.00\);_("R$"* "-"??_);_(@_)</c:formatCode>
                <c:ptCount val="12"/>
                <c:pt idx="0">
                  <c:v>26000</c:v>
                </c:pt>
                <c:pt idx="1">
                  <c:v>95000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2B8-914B-5518F6156A96}"/>
            </c:ext>
          </c:extLst>
        </c:ser>
        <c:ser>
          <c:idx val="1"/>
          <c:order val="1"/>
          <c:tx>
            <c:strRef>
              <c:f>Dinâmica!$C$11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rgbClr val="E93558"/>
            </a:solidFill>
            <a:ln>
              <a:noFill/>
            </a:ln>
            <a:effectLst/>
          </c:spPr>
          <c:invertIfNegative val="0"/>
          <c:cat>
            <c:strRef>
              <c:f>Dinâmica!$A$12:$A$24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Dinâmica!$C$12:$C$24</c:f>
              <c:numCache>
                <c:formatCode>_("R$"* #,##0.00_);_("R$"* \(#,##0.00\);_("R$"* "-"??_);_(@_)</c:formatCode>
                <c:ptCount val="12"/>
                <c:pt idx="0">
                  <c:v>10000</c:v>
                </c:pt>
                <c:pt idx="1">
                  <c:v>17500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2B8-914B-5518F615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616495"/>
        <c:axId val="1026616975"/>
      </c:barChart>
      <c:catAx>
        <c:axId val="10266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975"/>
        <c:crosses val="autoZero"/>
        <c:auto val="1"/>
        <c:lblAlgn val="ctr"/>
        <c:lblOffset val="100"/>
        <c:noMultiLvlLbl val="0"/>
      </c:catAx>
      <c:valAx>
        <c:axId val="1026616975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9895363379292"/>
          <c:y val="0.3085568273293261"/>
          <c:w val="0.166844950772019"/>
          <c:h val="0.2407095745136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 DE DESPESAS</a:t>
            </a:r>
          </a:p>
        </c:rich>
      </c:tx>
      <c:layout>
        <c:manualLayout>
          <c:xMode val="edge"/>
          <c:yMode val="edge"/>
          <c:x val="0.65133897871819524"/>
          <c:y val="0.15349555104738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28899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69490413274612"/>
          <c:y val="0.17362350539515892"/>
          <c:w val="0.36926594451117345"/>
          <c:h val="0.72622302420530771"/>
        </c:manualLayout>
      </c:layout>
      <c:pieChart>
        <c:varyColors val="1"/>
        <c:ser>
          <c:idx val="0"/>
          <c:order val="0"/>
          <c:tx>
            <c:strRef>
              <c:f>Dinâmica!$E$3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288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25-4655-9D47-A6EF98237B7E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25-4655-9D47-A6EF98237B7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25-4655-9D47-A6EF9823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9B-4DAF-B6D7-429820F4004D}"/>
              </c:ext>
            </c:extLst>
          </c:dPt>
          <c:cat>
            <c:strRef>
              <c:f>Dinâmica!$D$4:$D$8</c:f>
              <c:strCache>
                <c:ptCount val="4"/>
                <c:pt idx="0">
                  <c:v>Contratação de serviço de Limpeza</c:v>
                </c:pt>
                <c:pt idx="1">
                  <c:v>Cadernos</c:v>
                </c:pt>
                <c:pt idx="2">
                  <c:v>Serviços gráficos</c:v>
                </c:pt>
              </c:strCache>
            </c:strRef>
          </c:cat>
          <c:val>
            <c:numRef>
              <c:f>Dinâmica!$E$4:$E$8</c:f>
              <c:numCache>
                <c:formatCode>_("R$"* #,##0.00_);_("R$"* \(#,##0.00\);_("R$"* "-"??_);_(@_)</c:formatCode>
                <c:ptCount val="4"/>
                <c:pt idx="0">
                  <c:v>27500</c:v>
                </c:pt>
                <c:pt idx="1">
                  <c:v>15000</c:v>
                </c:pt>
                <c:pt idx="2">
                  <c:v>2500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655-9D47-A6EF9823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207781126124676"/>
          <c:y val="0.37558138202157043"/>
          <c:w val="0.33106347817633908"/>
          <c:h val="0.31613237209977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dinâmica2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</a:t>
            </a:r>
            <a:r>
              <a:rPr lang="en-US" b="1" baseline="0">
                <a:solidFill>
                  <a:sysClr val="windowText" lastClr="000000"/>
                </a:solidFill>
              </a:rPr>
              <a:t> RECEITAS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65082785884541583"/>
          <c:y val="0.15967904630903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45346200802279"/>
          <c:y val="0.15269295430230781"/>
          <c:w val="0.36950719919384528"/>
          <c:h val="0.72855265168882766"/>
        </c:manualLayout>
      </c:layout>
      <c:pieChart>
        <c:varyColors val="1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0F-412A-93F0-E496E2FA0FF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0F-412A-93F0-E496E2FA0FF8}"/>
              </c:ext>
            </c:extLst>
          </c:dPt>
          <c:dPt>
            <c:idx val="2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0F-412A-93F0-E496E2FA0FF8}"/>
              </c:ext>
            </c:extLst>
          </c:dPt>
          <c:dPt>
            <c:idx val="3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0F-412A-93F0-E496E2FA0FF8}"/>
              </c:ext>
            </c:extLst>
          </c:dPt>
          <c:cat>
            <c:strRef>
              <c:f>Dinâmica!$A$4:$A$8</c:f>
              <c:strCache>
                <c:ptCount val="4"/>
                <c:pt idx="0">
                  <c:v>Contratação de serviço de Limpeza</c:v>
                </c:pt>
                <c:pt idx="1">
                  <c:v>Cadernos</c:v>
                </c:pt>
                <c:pt idx="2">
                  <c:v>Serviços gráficos</c:v>
                </c:pt>
              </c:strCache>
            </c:strRef>
          </c:cat>
          <c:val>
            <c:numRef>
              <c:f>Dinâmica!$B$4:$B$8</c:f>
              <c:numCache>
                <c:formatCode>_("R$"* #,##0.00_);_("R$"* \(#,##0.00\);_("R$"* "-"??_);_(@_)</c:formatCode>
                <c:ptCount val="4"/>
                <c:pt idx="0">
                  <c:v>27500</c:v>
                </c:pt>
                <c:pt idx="1">
                  <c:v>15000</c:v>
                </c:pt>
                <c:pt idx="2">
                  <c:v>2500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F-412A-93F0-E496E2FA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183516462221189"/>
          <c:y val="0.37405127617300932"/>
          <c:w val="0.36339825203961013"/>
          <c:h val="0.4744799786030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4</xdr:row>
      <xdr:rowOff>42333</xdr:rowOff>
    </xdr:from>
    <xdr:to>
      <xdr:col>5</xdr:col>
      <xdr:colOff>152400</xdr:colOff>
      <xdr:row>4</xdr:row>
      <xdr:rowOff>177800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D9C3228A-C31D-0108-D54A-5977718A68EC}"/>
            </a:ext>
          </a:extLst>
        </xdr:cNvPr>
        <xdr:cNvSpPr/>
      </xdr:nvSpPr>
      <xdr:spPr>
        <a:xfrm>
          <a:off x="2099733" y="601133"/>
          <a:ext cx="135467" cy="135467"/>
        </a:xfrm>
        <a:prstGeom prst="downArrow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15240</xdr:rowOff>
    </xdr:from>
    <xdr:to>
      <xdr:col>5</xdr:col>
      <xdr:colOff>815340</xdr:colOff>
      <xdr:row>4</xdr:row>
      <xdr:rowOff>0</xdr:rowOff>
    </xdr:to>
    <xdr:sp macro="" textlink="$W$10">
      <xdr:nvSpPr>
        <xdr:cNvPr id="2" name="CaixaDeTexto 1">
          <a:extLst>
            <a:ext uri="{FF2B5EF4-FFF2-40B4-BE49-F238E27FC236}">
              <a16:creationId xmlns:a16="http://schemas.microsoft.com/office/drawing/2014/main" id="{269A6E39-2780-657A-AB8D-CF8383F7BBF0}"/>
            </a:ext>
          </a:extLst>
        </xdr:cNvPr>
        <xdr:cNvSpPr txBox="1"/>
      </xdr:nvSpPr>
      <xdr:spPr>
        <a:xfrm>
          <a:off x="2514600" y="746760"/>
          <a:ext cx="135636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A952AF-12D7-4853-9E24-5D63A88C7814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R$ 17.500,00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30480</xdr:colOff>
      <xdr:row>3</xdr:row>
      <xdr:rowOff>7620</xdr:rowOff>
    </xdr:from>
    <xdr:to>
      <xdr:col>8</xdr:col>
      <xdr:colOff>838200</xdr:colOff>
      <xdr:row>3</xdr:row>
      <xdr:rowOff>565620</xdr:rowOff>
    </xdr:to>
    <xdr:sp macro="" textlink="$W$11">
      <xdr:nvSpPr>
        <xdr:cNvPr id="3" name="CaixaDeTexto 2">
          <a:extLst>
            <a:ext uri="{FF2B5EF4-FFF2-40B4-BE49-F238E27FC236}">
              <a16:creationId xmlns:a16="http://schemas.microsoft.com/office/drawing/2014/main" id="{4375A9CA-4FF7-C012-45C6-F250EB073E9B}"/>
            </a:ext>
          </a:extLst>
        </xdr:cNvPr>
        <xdr:cNvSpPr txBox="1"/>
      </xdr:nvSpPr>
      <xdr:spPr>
        <a:xfrm>
          <a:off x="4213860" y="739140"/>
          <a:ext cx="1417320" cy="55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D567B3-E4B2-4F16-A063-47469FADA27A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R$ 76.000,00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91440</xdr:colOff>
      <xdr:row>3</xdr:row>
      <xdr:rowOff>7620</xdr:rowOff>
    </xdr:from>
    <xdr:to>
      <xdr:col>11</xdr:col>
      <xdr:colOff>541020</xdr:colOff>
      <xdr:row>3</xdr:row>
      <xdr:rowOff>565620</xdr:rowOff>
    </xdr:to>
    <xdr:sp macro="" textlink="$W$12">
      <xdr:nvSpPr>
        <xdr:cNvPr id="4" name="CaixaDeTexto 3">
          <a:extLst>
            <a:ext uri="{FF2B5EF4-FFF2-40B4-BE49-F238E27FC236}">
              <a16:creationId xmlns:a16="http://schemas.microsoft.com/office/drawing/2014/main" id="{25D27DA9-8845-FD8D-03E4-C63F08739B36}"/>
            </a:ext>
          </a:extLst>
        </xdr:cNvPr>
        <xdr:cNvSpPr txBox="1"/>
      </xdr:nvSpPr>
      <xdr:spPr>
        <a:xfrm>
          <a:off x="6004560" y="739140"/>
          <a:ext cx="1059180" cy="558000"/>
        </a:xfrm>
        <a:prstGeom prst="rect">
          <a:avLst/>
        </a:prstGeom>
        <a:noFill/>
        <a:ln w="9525" cmpd="sng">
          <a:noFill/>
        </a:ln>
        <a:effectLst>
          <a:reflection stA="45000" endPos="8000" dist="76200" dir="5400000" sy="-100000" algn="bl" rotWithShape="0"/>
          <a:softEdge rad="0"/>
        </a:effectLst>
        <a:scene3d>
          <a:camera prst="orthographicFront"/>
          <a:lightRig rig="threePt" dir="t"/>
        </a:scene3d>
        <a:sp3d>
          <a:bevelT w="254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fld id="{512084C2-F1D7-4679-8B33-6AB173BE8D71}" type="TxLink">
            <a:rPr lang="en-US" sz="1800" b="1" i="0" u="none" strike="noStrike" cap="none" spc="0">
              <a:ln/>
              <a:solidFill>
                <a:srgbClr val="FF5353"/>
              </a:solidFill>
              <a:effectLst/>
              <a:latin typeface="Calibri"/>
              <a:ea typeface="Calibri"/>
              <a:cs typeface="Calibri"/>
            </a:rPr>
            <a:pPr algn="ctr"/>
            <a:t>63%</a:t>
          </a:fld>
          <a:endParaRPr lang="pt-BR" sz="1800" b="1" cap="none" spc="0">
            <a:ln/>
            <a:solidFill>
              <a:srgbClr val="FF5353"/>
            </a:solidFill>
            <a:effectLst/>
          </a:endParaRPr>
        </a:p>
      </xdr:txBody>
    </xdr:sp>
    <xdr:clientData/>
  </xdr:twoCellAnchor>
  <xdr:twoCellAnchor>
    <xdr:from>
      <xdr:col>13</xdr:col>
      <xdr:colOff>68580</xdr:colOff>
      <xdr:row>3</xdr:row>
      <xdr:rowOff>22860</xdr:rowOff>
    </xdr:from>
    <xdr:to>
      <xdr:col>14</xdr:col>
      <xdr:colOff>563880</xdr:colOff>
      <xdr:row>3</xdr:row>
      <xdr:rowOff>541020</xdr:rowOff>
    </xdr:to>
    <xdr:sp macro="" textlink="$W$8">
      <xdr:nvSpPr>
        <xdr:cNvPr id="5" name="CaixaDeTexto 4">
          <a:extLst>
            <a:ext uri="{FF2B5EF4-FFF2-40B4-BE49-F238E27FC236}">
              <a16:creationId xmlns:a16="http://schemas.microsoft.com/office/drawing/2014/main" id="{ECB91EA4-7FAF-4CD1-5799-5F0CA0678060}"/>
            </a:ext>
          </a:extLst>
        </xdr:cNvPr>
        <xdr:cNvSpPr txBox="1"/>
      </xdr:nvSpPr>
      <xdr:spPr>
        <a:xfrm>
          <a:off x="7459980" y="754380"/>
          <a:ext cx="11049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ADC667-8A7B-4834-9482-EA8FEB3EC2C4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R$ 1.000,00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60960</xdr:colOff>
      <xdr:row>3</xdr:row>
      <xdr:rowOff>15240</xdr:rowOff>
    </xdr:from>
    <xdr:to>
      <xdr:col>17</xdr:col>
      <xdr:colOff>579120</xdr:colOff>
      <xdr:row>3</xdr:row>
      <xdr:rowOff>548640</xdr:rowOff>
    </xdr:to>
    <xdr:sp macro="" textlink="$W$9">
      <xdr:nvSpPr>
        <xdr:cNvPr id="6" name="CaixaDeTexto 5">
          <a:extLst>
            <a:ext uri="{FF2B5EF4-FFF2-40B4-BE49-F238E27FC236}">
              <a16:creationId xmlns:a16="http://schemas.microsoft.com/office/drawing/2014/main" id="{34BCBEF8-C18C-6956-329D-C97AEA33BBEB}"/>
            </a:ext>
          </a:extLst>
        </xdr:cNvPr>
        <xdr:cNvSpPr txBox="1"/>
      </xdr:nvSpPr>
      <xdr:spPr>
        <a:xfrm>
          <a:off x="8930640" y="746760"/>
          <a:ext cx="11277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5DE5AEF-D14F-4235-B908-4160AEB0B717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R$ 77.000,00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215922</xdr:colOff>
      <xdr:row>5</xdr:row>
      <xdr:rowOff>156055</xdr:rowOff>
    </xdr:from>
    <xdr:to>
      <xdr:col>10</xdr:col>
      <xdr:colOff>421662</xdr:colOff>
      <xdr:row>17</xdr:row>
      <xdr:rowOff>104920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2C8D5D-006F-CB1D-7626-6B8906B8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553454</xdr:colOff>
      <xdr:row>9</xdr:row>
      <xdr:rowOff>8022</xdr:rowOff>
    </xdr:from>
    <xdr:to>
      <xdr:col>10</xdr:col>
      <xdr:colOff>375386</xdr:colOff>
      <xdr:row>11</xdr:row>
      <xdr:rowOff>8022</xdr:rowOff>
    </xdr:to>
    <xdr:sp macro="" textlink="$W$13">
      <xdr:nvSpPr>
        <xdr:cNvPr id="8" name="CaixaDeTexto 7">
          <a:extLst>
            <a:ext uri="{FF2B5EF4-FFF2-40B4-BE49-F238E27FC236}">
              <a16:creationId xmlns:a16="http://schemas.microsoft.com/office/drawing/2014/main" id="{2FAEEB3E-A269-9BE4-6ADB-EBBFA37BBE6D}"/>
            </a:ext>
          </a:extLst>
        </xdr:cNvPr>
        <xdr:cNvSpPr txBox="1"/>
      </xdr:nvSpPr>
      <xdr:spPr>
        <a:xfrm>
          <a:off x="4732422" y="2053390"/>
          <a:ext cx="1546459" cy="368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E10F30A-170D-4B2C-BC9F-8F28C646F54F}" type="TxLink">
            <a:rPr lang="en-US" sz="16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/>
            <a:t> R$ 166.000,00 </a:t>
          </a:fld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91841</xdr:colOff>
      <xdr:row>6</xdr:row>
      <xdr:rowOff>137159</xdr:rowOff>
    </xdr:from>
    <xdr:to>
      <xdr:col>9</xdr:col>
      <xdr:colOff>160421</xdr:colOff>
      <xdr:row>8</xdr:row>
      <xdr:rowOff>168442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D8E2F83-3300-4B6B-C71D-FBF4B1EC0312}"/>
            </a:ext>
          </a:extLst>
        </xdr:cNvPr>
        <xdr:cNvSpPr txBox="1"/>
      </xdr:nvSpPr>
      <xdr:spPr>
        <a:xfrm>
          <a:off x="4880409" y="1629075"/>
          <a:ext cx="926833" cy="400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TOTAL</a:t>
          </a:r>
        </a:p>
      </xdr:txBody>
    </xdr:sp>
    <xdr:clientData/>
  </xdr:twoCellAnchor>
  <xdr:twoCellAnchor>
    <xdr:from>
      <xdr:col>10</xdr:col>
      <xdr:colOff>344905</xdr:colOff>
      <xdr:row>6</xdr:row>
      <xdr:rowOff>79373</xdr:rowOff>
    </xdr:from>
    <xdr:to>
      <xdr:col>19</xdr:col>
      <xdr:colOff>152810</xdr:colOff>
      <xdr:row>17</xdr:row>
      <xdr:rowOff>136358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C157F3-5F6D-D063-C698-91961C0E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11270</xdr:colOff>
      <xdr:row>19</xdr:row>
      <xdr:rowOff>1813</xdr:rowOff>
    </xdr:from>
    <xdr:to>
      <xdr:col>18</xdr:col>
      <xdr:colOff>199380</xdr:colOff>
      <xdr:row>32</xdr:row>
      <xdr:rowOff>112923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C0FA86A3-AA69-43E9-A5BC-7B7E39ADC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9838" y="3892024"/>
              <a:ext cx="1824405" cy="2509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405965</xdr:colOff>
      <xdr:row>17</xdr:row>
      <xdr:rowOff>120316</xdr:rowOff>
    </xdr:from>
    <xdr:to>
      <xdr:col>14</xdr:col>
      <xdr:colOff>458727</xdr:colOff>
      <xdr:row>32</xdr:row>
      <xdr:rowOff>161816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64A6404-2458-3540-90F9-67DCCA7B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5</xdr:row>
      <xdr:rowOff>121920</xdr:rowOff>
    </xdr:from>
    <xdr:to>
      <xdr:col>18</xdr:col>
      <xdr:colOff>358140</xdr:colOff>
      <xdr:row>19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50C877-CFAE-7C19-9983-D07CF83F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</xdr:row>
      <xdr:rowOff>99060</xdr:rowOff>
    </xdr:from>
    <xdr:to>
      <xdr:col>8</xdr:col>
      <xdr:colOff>512100</xdr:colOff>
      <xdr:row>19</xdr:row>
      <xdr:rowOff>155940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433DABB-44EB-8000-A9D5-CC885124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960120</xdr:colOff>
      <xdr:row>10</xdr:row>
      <xdr:rowOff>15240</xdr:rowOff>
    </xdr:from>
    <xdr:to>
      <xdr:col>4</xdr:col>
      <xdr:colOff>718185</xdr:colOff>
      <xdr:row>23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B8574BA3-622E-6CB2-D3B6-F19A5F72C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2575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047328009263" createdVersion="8" refreshedVersion="8" minRefreshableVersion="3" recordCount="12" xr:uid="{CA49AB68-DE9B-4BF0-8E5D-E1659D4CAE2C}">
  <cacheSource type="worksheet">
    <worksheetSource ref="K9:M21" sheet="Fluxo de Caixa Diário"/>
  </cacheSource>
  <cacheFields count="3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" numFmtId="44">
      <sharedItems containsSemiMixedTypes="0" containsString="0" containsNumber="1" containsInteger="1" minValue="0" maxValue="95000"/>
    </cacheField>
    <cacheField name="Despesa" numFmtId="44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 pivotCacheId="3218893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511522337962" createdVersion="8" refreshedVersion="8" minRefreshableVersion="3" recordCount="27" xr:uid="{D4BC410F-F79D-48BB-A633-7CB8878BAAE0}">
  <cacheSource type="worksheet">
    <worksheetSource ref="AC3:AE30" sheet="Lançamento Diário"/>
  </cacheSource>
  <cacheFields count="3">
    <cacheField name="DESPESA" numFmtId="0">
      <sharedItems/>
    </cacheField>
    <cacheField name="VALOR" numFmtId="44">
      <sharedItems containsSemiMixedTypes="0" containsString="0" containsNumber="1" containsInteger="1" minValue="0" maxValue="27500"/>
    </cacheField>
    <cacheField name="CLASSIFICAÇÃO" numFmtId="0">
      <sharedItems count="12">
        <s v=""/>
        <s v="Contratação de serviço de Limpeza"/>
        <s v="Cadernos"/>
        <s v="Serviços gráficos"/>
        <s v="Réguas e Esquadros" u="1"/>
        <s v="Manutenção dos equipamentos" u="1"/>
        <s v="Livros didáticos" u="1"/>
        <s v="Mídia digital  e comunicação" u="1"/>
        <s v="Lápis e canetas" u="1"/>
        <s v="Aluguel de Espaço" u="1"/>
        <s v="Equipamentos" u="1"/>
        <s v="Programa de treinamen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6000"/>
    <n v="10000"/>
  </r>
  <r>
    <x v="1"/>
    <n v="95000"/>
    <n v="1750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0"/>
    <n v="0"/>
  </r>
  <r>
    <x v="9"/>
    <n v="0"/>
    <n v="0"/>
  </r>
  <r>
    <x v="10"/>
    <n v="0"/>
    <n v="0"/>
  </r>
  <r>
    <x v="1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"/>
    <n v="0"/>
    <x v="0"/>
  </r>
  <r>
    <s v="Despesa"/>
    <n v="27500"/>
    <x v="1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Despesa"/>
    <n v="15000"/>
    <x v="2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Despesa"/>
    <n v="2500"/>
    <x v="3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4E04F-BEC3-42EE-B20F-82BC84D1EB78}" name="Tabela dinâmica10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1:C24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1" baseField="0" baseItem="0" numFmtId="44"/>
    <dataField name="Soma de Despesa" fld="2" baseField="0" baseItem="0" numFmtId="4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00260-74A3-41D3-9B6B-7E3181BD8393}" name="Tabela dinâmica2" cacheId="1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4">
  <location ref="A3:B8" firstHeaderRow="1" firstDataRow="1" firstDataCol="1"/>
  <pivotFields count="3">
    <pivotField showAll="0"/>
    <pivotField dataField="1" numFmtId="44" showAll="0"/>
    <pivotField axis="axisRow" showAll="0" sortType="descending">
      <items count="13">
        <item x="0"/>
        <item m="1" x="9"/>
        <item x="2"/>
        <item x="1"/>
        <item m="1" x="10"/>
        <item m="1" x="8"/>
        <item m="1" x="6"/>
        <item m="1" x="5"/>
        <item m="1" x="7"/>
        <item m="1" x="11"/>
        <item m="1"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3"/>
    </i>
    <i>
      <x v="2"/>
    </i>
    <i>
      <x v="11"/>
    </i>
    <i>
      <x/>
    </i>
    <i t="grand">
      <x/>
    </i>
  </rowItems>
  <colItems count="1">
    <i/>
  </colItems>
  <dataFields count="1">
    <dataField name="RECEITA_" fld="1" baseField="0" baseItem="0" numFmtId="44"/>
  </dataFields>
  <formats count="8">
    <format dxfId="17">
      <pivotArea field="2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2" count="0"/>
        </references>
      </pivotArea>
    </format>
    <format dxfId="12">
      <pivotArea collapsedLevelsAreSubtotals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</formats>
  <chartFormats count="1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A4E0F-B62E-4428-ABBF-6D34F425403A}" name="Tabela dinâmica5" cacheId="1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D3:E8" firstHeaderRow="1" firstDataRow="1" firstDataCol="1"/>
  <pivotFields count="3">
    <pivotField showAll="0"/>
    <pivotField dataField="1" numFmtId="44" showAll="0"/>
    <pivotField axis="axisRow" showAll="0" sortType="descending">
      <items count="13">
        <item x="0"/>
        <item m="1" x="9"/>
        <item m="1" x="10"/>
        <item m="1" x="8"/>
        <item m="1" x="6"/>
        <item m="1" x="7"/>
        <item m="1" x="11"/>
        <item x="3"/>
        <item x="1"/>
        <item m="1" x="5"/>
        <item m="1"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8"/>
    </i>
    <i>
      <x v="11"/>
    </i>
    <i>
      <x v="7"/>
    </i>
    <i>
      <x/>
    </i>
    <i t="grand">
      <x/>
    </i>
  </rowItems>
  <colItems count="1">
    <i/>
  </colItems>
  <dataFields count="1">
    <dataField name="DESPESA_" fld="1" baseField="0" baseItem="0" numFmtId="44"/>
  </dataFields>
  <formats count="14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986243-5DF7-4723-82F5-7E4D2973BA25}" sourceName="Mês">
  <pivotTables>
    <pivotTable tabId="20" name="Tabela dinâmica10"/>
  </pivotTables>
  <data>
    <tabular pivotCacheId="32188930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7D960C00-FBDD-4678-B218-8ECA6AEACEFD}" cache="SegmentaçãodeDados_Mês" caption="Mês" style="SlicerStyleLight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EFE07E1-0CC5-4CDC-B2C3-031A6E736A11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C7B97-6EFE-4CCA-825D-0630D7676001}" name="Despesa" displayName="Despesa" ref="N6:N33" totalsRowShown="0" headerRowDxfId="38" headerRowBorderDxfId="37">
  <autoFilter ref="N6:N33" xr:uid="{474C7B97-6EFE-4CCA-825D-0630D7676001}"/>
  <sortState xmlns:xlrd2="http://schemas.microsoft.com/office/spreadsheetml/2017/richdata2" ref="N7:N33">
    <sortCondition ref="N6:N33"/>
  </sortState>
  <tableColumns count="1">
    <tableColumn id="1" xr3:uid="{1009E559-98B5-425A-A88E-361E2A4E26FF}" name="Despesa" dataDxfId="36">
      <calculatedColumnFormula>T3&amp;"_"&amp;U3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7F0B22-05AC-4962-89AA-53151D2ADC0F}" name="Receita" displayName="Receita" ref="P6:P17" totalsRowShown="0" headerRowDxfId="35" dataDxfId="33" headerRowBorderDxfId="34">
  <autoFilter ref="P6:P17" xr:uid="{927F0B22-05AC-4962-89AA-53151D2ADC0F}"/>
  <sortState xmlns:xlrd2="http://schemas.microsoft.com/office/spreadsheetml/2017/richdata2" ref="P7:P17">
    <sortCondition ref="P6:P17"/>
  </sortState>
  <tableColumns count="1">
    <tableColumn id="1" xr3:uid="{6533B1E6-2B2F-4771-8A56-03FDB00436B3}" name="Receita" dataDxfId="3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AADB-D743-40F3-855D-3A197E57DA06}">
  <dimension ref="A1:Y35"/>
  <sheetViews>
    <sheetView showGridLines="0" tabSelected="1" topLeftCell="D1" zoomScale="95" zoomScaleNormal="95" workbookViewId="0">
      <selection activeCell="E34" sqref="E34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6.44140625" bestFit="1" customWidth="1"/>
    <col min="6" max="6" width="28.44140625" bestFit="1" customWidth="1"/>
    <col min="7" max="7" width="2.21875" customWidth="1"/>
    <col min="8" max="8" width="6.44140625" bestFit="1" customWidth="1"/>
    <col min="9" max="9" width="32" bestFit="1" customWidth="1"/>
    <col min="10" max="10" width="2.21875" customWidth="1"/>
    <col min="11" max="11" width="6.44140625" bestFit="1" customWidth="1"/>
    <col min="12" max="12" width="33" bestFit="1" customWidth="1"/>
    <col min="13" max="13" width="8.88671875" customWidth="1"/>
    <col min="14" max="14" width="39.5546875" bestFit="1" customWidth="1"/>
    <col min="15" max="15" width="2.21875" customWidth="1"/>
    <col min="16" max="16" width="39.88671875" bestFit="1" customWidth="1"/>
    <col min="17" max="17" width="8.88671875" customWidth="1"/>
    <col min="18" max="18" width="5.33203125" hidden="1" customWidth="1"/>
    <col min="19" max="19" width="25.6640625" hidden="1" customWidth="1"/>
    <col min="20" max="20" width="7.6640625" style="4" hidden="1" customWidth="1"/>
    <col min="21" max="21" width="31.6640625" style="4" hidden="1" customWidth="1"/>
    <col min="22" max="25" width="8.88671875" style="4" hidden="1" customWidth="1"/>
    <col min="26" max="16384" width="8.88671875" hidden="1"/>
  </cols>
  <sheetData>
    <row r="1" spans="5:19" x14ac:dyDescent="0.3"/>
    <row r="2" spans="5:19" ht="15" thickBot="1" x14ac:dyDescent="0.35"/>
    <row r="3" spans="5:19" ht="15.6" thickTop="1" thickBot="1" x14ac:dyDescent="0.35">
      <c r="E3" s="63" t="s">
        <v>0</v>
      </c>
      <c r="F3" s="64" t="s">
        <v>1</v>
      </c>
      <c r="G3" s="17"/>
      <c r="H3" s="34" t="s">
        <v>8</v>
      </c>
      <c r="I3" s="36" t="s">
        <v>9</v>
      </c>
      <c r="J3" s="17"/>
      <c r="K3" s="34" t="s">
        <v>17</v>
      </c>
      <c r="L3" s="36" t="s">
        <v>111</v>
      </c>
      <c r="N3" s="85" t="s">
        <v>179</v>
      </c>
      <c r="O3" s="86"/>
      <c r="P3" s="87"/>
      <c r="S3" s="14" t="s">
        <v>114</v>
      </c>
    </row>
    <row r="4" spans="5:19" ht="15.6" thickTop="1" thickBot="1" x14ac:dyDescent="0.35">
      <c r="E4" s="65" t="s">
        <v>2</v>
      </c>
      <c r="F4" s="66" t="s">
        <v>171</v>
      </c>
      <c r="H4" s="35" t="s">
        <v>10</v>
      </c>
      <c r="I4" s="37" t="s">
        <v>15</v>
      </c>
      <c r="K4" s="35" t="s">
        <v>18</v>
      </c>
      <c r="L4" s="37" t="s">
        <v>25</v>
      </c>
      <c r="N4" s="88"/>
      <c r="O4" s="89"/>
      <c r="P4" s="90"/>
      <c r="S4" s="4" t="str">
        <f>F3</f>
        <v>RECEITA COM PRODUTOS</v>
      </c>
    </row>
    <row r="5" spans="5:19" ht="15.6" thickTop="1" thickBot="1" x14ac:dyDescent="0.35">
      <c r="E5" s="65" t="s">
        <v>3</v>
      </c>
      <c r="F5" s="66" t="s">
        <v>7</v>
      </c>
      <c r="H5" s="35" t="s">
        <v>11</v>
      </c>
      <c r="I5" s="37" t="s">
        <v>170</v>
      </c>
      <c r="K5" s="35" t="s">
        <v>19</v>
      </c>
      <c r="L5" s="37" t="s">
        <v>23</v>
      </c>
      <c r="S5" s="4" t="str">
        <f>I3</f>
        <v>RECEITA COM SERVIÇOS</v>
      </c>
    </row>
    <row r="6" spans="5:19" ht="15.6" thickTop="1" thickBot="1" x14ac:dyDescent="0.35">
      <c r="E6" s="65" t="s">
        <v>4</v>
      </c>
      <c r="F6" s="67" t="s">
        <v>172</v>
      </c>
      <c r="H6" s="35" t="s">
        <v>12</v>
      </c>
      <c r="I6" s="37" t="s">
        <v>16</v>
      </c>
      <c r="K6" s="35" t="s">
        <v>20</v>
      </c>
      <c r="L6" s="37" t="s">
        <v>24</v>
      </c>
      <c r="N6" s="76" t="s">
        <v>118</v>
      </c>
      <c r="P6" s="75" t="s">
        <v>33</v>
      </c>
      <c r="S6" s="4" t="str">
        <f>L3</f>
        <v>RECEITA NÃO OPERACIONAIS</v>
      </c>
    </row>
    <row r="7" spans="5:19" ht="15.6" thickTop="1" thickBot="1" x14ac:dyDescent="0.35">
      <c r="E7" s="65" t="s">
        <v>5</v>
      </c>
      <c r="F7" s="56" t="s">
        <v>173</v>
      </c>
      <c r="H7" s="35" t="s">
        <v>13</v>
      </c>
      <c r="I7" s="37"/>
      <c r="K7" s="35" t="s">
        <v>21</v>
      </c>
      <c r="L7" s="37"/>
      <c r="N7" s="78" t="s">
        <v>97</v>
      </c>
      <c r="P7" s="44" t="s">
        <v>7</v>
      </c>
      <c r="S7" s="4" t="str">
        <f>F13</f>
        <v>DESPESA COM PRODUTOS</v>
      </c>
    </row>
    <row r="8" spans="5:19" ht="15.6" thickTop="1" thickBot="1" x14ac:dyDescent="0.35">
      <c r="E8" s="65" t="s">
        <v>6</v>
      </c>
      <c r="F8" s="56" t="s">
        <v>174</v>
      </c>
      <c r="H8" s="38" t="s">
        <v>14</v>
      </c>
      <c r="I8" s="27"/>
      <c r="K8" s="35" t="s">
        <v>22</v>
      </c>
      <c r="L8" s="37"/>
      <c r="N8" s="78" t="s">
        <v>96</v>
      </c>
      <c r="P8" s="44" t="s">
        <v>15</v>
      </c>
      <c r="S8" s="4" t="str">
        <f>I13</f>
        <v>DESPESA COM SERVIÇOS</v>
      </c>
    </row>
    <row r="9" spans="5:19" ht="15.6" thickTop="1" thickBot="1" x14ac:dyDescent="0.35">
      <c r="E9" s="39"/>
      <c r="H9" s="39"/>
      <c r="K9" s="39"/>
      <c r="N9" s="78" t="s">
        <v>175</v>
      </c>
      <c r="P9" s="44" t="s">
        <v>23</v>
      </c>
      <c r="S9" s="4" t="str">
        <f>L13</f>
        <v>DESPESA NÃO OPERACIONAIS</v>
      </c>
    </row>
    <row r="10" spans="5:19" ht="15.6" thickTop="1" thickBot="1" x14ac:dyDescent="0.35">
      <c r="E10" s="84"/>
      <c r="F10" s="84"/>
      <c r="G10" s="84"/>
      <c r="H10" s="84"/>
      <c r="I10" s="84"/>
      <c r="J10" s="84"/>
      <c r="K10" s="84"/>
      <c r="L10" s="84"/>
      <c r="N10" s="78" t="s">
        <v>89</v>
      </c>
      <c r="P10" s="44" t="s">
        <v>171</v>
      </c>
      <c r="S10" s="4" t="str">
        <f>F20</f>
        <v>DESPESAS OPERACIONAIS</v>
      </c>
    </row>
    <row r="11" spans="5:19" ht="15.6" thickTop="1" thickBot="1" x14ac:dyDescent="0.35">
      <c r="E11" s="84"/>
      <c r="F11" s="84"/>
      <c r="G11" s="84"/>
      <c r="H11" s="84"/>
      <c r="I11" s="84"/>
      <c r="J11" s="84"/>
      <c r="K11" s="84"/>
      <c r="L11" s="84"/>
      <c r="N11" s="78" t="s">
        <v>83</v>
      </c>
      <c r="P11" s="44" t="s">
        <v>173</v>
      </c>
      <c r="S11" s="4" t="str">
        <f>F27</f>
        <v>DESPESA COM RH</v>
      </c>
    </row>
    <row r="12" spans="5:19" ht="15.6" thickTop="1" thickBot="1" x14ac:dyDescent="0.35">
      <c r="E12" s="1"/>
      <c r="F12" s="1"/>
      <c r="G12" s="1"/>
      <c r="H12" s="1"/>
      <c r="I12" s="1"/>
      <c r="J12" s="1"/>
      <c r="K12" s="1"/>
      <c r="L12" s="1"/>
      <c r="N12" s="78" t="s">
        <v>116</v>
      </c>
      <c r="P12" s="44" t="s">
        <v>16</v>
      </c>
      <c r="S12" s="4" t="str">
        <f>I27</f>
        <v>DESPESA COM MARKETING</v>
      </c>
    </row>
    <row r="13" spans="5:19" ht="15.6" thickTop="1" thickBot="1" x14ac:dyDescent="0.35">
      <c r="E13" s="34" t="s">
        <v>26</v>
      </c>
      <c r="F13" s="36" t="s">
        <v>27</v>
      </c>
      <c r="G13" s="37"/>
      <c r="H13" s="34" t="s">
        <v>34</v>
      </c>
      <c r="I13" s="36" t="s">
        <v>35</v>
      </c>
      <c r="J13" s="37"/>
      <c r="K13" s="34" t="s">
        <v>36</v>
      </c>
      <c r="L13" s="36" t="s">
        <v>37</v>
      </c>
      <c r="N13" s="78" t="s">
        <v>117</v>
      </c>
      <c r="P13" s="44" t="s">
        <v>172</v>
      </c>
      <c r="S13" s="4" t="str">
        <f>L27</f>
        <v xml:space="preserve">DESPESA COM FINANCEIRO </v>
      </c>
    </row>
    <row r="14" spans="5:19" ht="15.6" thickTop="1" thickBot="1" x14ac:dyDescent="0.35">
      <c r="E14" s="35" t="s">
        <v>28</v>
      </c>
      <c r="F14" s="40" t="s">
        <v>175</v>
      </c>
      <c r="G14" s="37"/>
      <c r="H14" s="35" t="s">
        <v>44</v>
      </c>
      <c r="I14" s="37" t="s">
        <v>115</v>
      </c>
      <c r="J14" s="37"/>
      <c r="K14" s="35" t="s">
        <v>49</v>
      </c>
      <c r="L14" s="37" t="s">
        <v>85</v>
      </c>
      <c r="N14" s="78" t="s">
        <v>88</v>
      </c>
      <c r="P14" s="44" t="s">
        <v>25</v>
      </c>
      <c r="S14" s="4" t="str">
        <f>I20</f>
        <v>IMPOSTOS</v>
      </c>
    </row>
    <row r="15" spans="5:19" ht="15.6" thickTop="1" thickBot="1" x14ac:dyDescent="0.35">
      <c r="E15" s="35" t="s">
        <v>29</v>
      </c>
      <c r="F15" s="40" t="s">
        <v>176</v>
      </c>
      <c r="G15" s="37"/>
      <c r="H15" s="35" t="s">
        <v>45</v>
      </c>
      <c r="I15" s="37" t="s">
        <v>83</v>
      </c>
      <c r="J15" s="37"/>
      <c r="K15" s="35" t="s">
        <v>50</v>
      </c>
      <c r="L15" s="37" t="s">
        <v>116</v>
      </c>
      <c r="N15" s="78" t="s">
        <v>94</v>
      </c>
      <c r="P15" s="44" t="s">
        <v>174</v>
      </c>
      <c r="S15" s="4" t="str">
        <f>L20</f>
        <v>INVESTIMENTOS</v>
      </c>
    </row>
    <row r="16" spans="5:19" ht="15.6" thickTop="1" thickBot="1" x14ac:dyDescent="0.35">
      <c r="E16" s="35" t="s">
        <v>30</v>
      </c>
      <c r="F16" s="40" t="s">
        <v>177</v>
      </c>
      <c r="G16" s="37"/>
      <c r="H16" s="35" t="s">
        <v>46</v>
      </c>
      <c r="I16" s="37" t="s">
        <v>84</v>
      </c>
      <c r="J16" s="37"/>
      <c r="K16" s="35" t="s">
        <v>51</v>
      </c>
      <c r="L16" s="37" t="s">
        <v>86</v>
      </c>
      <c r="N16" s="78" t="s">
        <v>91</v>
      </c>
      <c r="P16" s="44" t="s">
        <v>24</v>
      </c>
    </row>
    <row r="17" spans="5:16" ht="15.6" thickTop="1" thickBot="1" x14ac:dyDescent="0.35">
      <c r="E17" s="35" t="s">
        <v>31</v>
      </c>
      <c r="F17" s="40" t="s">
        <v>178</v>
      </c>
      <c r="G17" s="37"/>
      <c r="H17" s="35" t="s">
        <v>47</v>
      </c>
      <c r="I17" s="37"/>
      <c r="J17" s="37"/>
      <c r="K17" s="35" t="s">
        <v>52</v>
      </c>
      <c r="L17" s="37" t="s">
        <v>87</v>
      </c>
      <c r="N17" s="78" t="s">
        <v>87</v>
      </c>
      <c r="P17" s="44" t="s">
        <v>170</v>
      </c>
    </row>
    <row r="18" spans="5:16" ht="15" thickTop="1" x14ac:dyDescent="0.3">
      <c r="E18" s="38" t="s">
        <v>32</v>
      </c>
      <c r="F18" s="41"/>
      <c r="G18" s="27"/>
      <c r="H18" s="38" t="s">
        <v>48</v>
      </c>
      <c r="I18" s="27"/>
      <c r="J18" s="27"/>
      <c r="K18" s="38" t="s">
        <v>53</v>
      </c>
      <c r="L18" s="27"/>
      <c r="N18" s="78" t="s">
        <v>85</v>
      </c>
      <c r="P18" s="17"/>
    </row>
    <row r="19" spans="5:16" x14ac:dyDescent="0.3">
      <c r="E19" s="39"/>
      <c r="H19" s="39"/>
      <c r="K19" s="39"/>
      <c r="N19" s="78" t="s">
        <v>177</v>
      </c>
    </row>
    <row r="20" spans="5:16" ht="15" thickBot="1" x14ac:dyDescent="0.35">
      <c r="E20" s="42" t="s">
        <v>69</v>
      </c>
      <c r="F20" s="43" t="s">
        <v>39</v>
      </c>
      <c r="G20" s="28"/>
      <c r="H20" s="42" t="s">
        <v>38</v>
      </c>
      <c r="I20" s="43" t="s">
        <v>41</v>
      </c>
      <c r="J20" s="28"/>
      <c r="K20" s="42" t="s">
        <v>77</v>
      </c>
      <c r="L20" s="43" t="s">
        <v>43</v>
      </c>
      <c r="N20" s="78" t="s">
        <v>115</v>
      </c>
    </row>
    <row r="21" spans="5:16" ht="15.6" thickTop="1" thickBot="1" x14ac:dyDescent="0.35">
      <c r="E21" s="35" t="s">
        <v>71</v>
      </c>
      <c r="F21" s="37" t="s">
        <v>88</v>
      </c>
      <c r="G21" s="37"/>
      <c r="H21" s="35" t="s">
        <v>54</v>
      </c>
      <c r="I21" s="37" t="s">
        <v>91</v>
      </c>
      <c r="J21" s="37"/>
      <c r="K21" s="35" t="s">
        <v>78</v>
      </c>
      <c r="L21" s="37" t="s">
        <v>94</v>
      </c>
      <c r="N21" s="78" t="s">
        <v>99</v>
      </c>
    </row>
    <row r="22" spans="5:16" ht="15.6" thickTop="1" thickBot="1" x14ac:dyDescent="0.35">
      <c r="E22" s="35" t="s">
        <v>73</v>
      </c>
      <c r="F22" s="37" t="s">
        <v>89</v>
      </c>
      <c r="G22" s="37"/>
      <c r="H22" s="35" t="s">
        <v>55</v>
      </c>
      <c r="I22" s="37" t="s">
        <v>92</v>
      </c>
      <c r="J22" s="37"/>
      <c r="K22" s="35" t="s">
        <v>79</v>
      </c>
      <c r="L22" s="37" t="s">
        <v>95</v>
      </c>
      <c r="N22" s="78" t="s">
        <v>100</v>
      </c>
    </row>
    <row r="23" spans="5:16" ht="15.6" thickTop="1" thickBot="1" x14ac:dyDescent="0.35">
      <c r="E23" s="35" t="s">
        <v>74</v>
      </c>
      <c r="F23" s="37" t="s">
        <v>90</v>
      </c>
      <c r="G23" s="37"/>
      <c r="H23" s="35" t="s">
        <v>56</v>
      </c>
      <c r="I23" s="37" t="s">
        <v>93</v>
      </c>
      <c r="J23" s="37"/>
      <c r="K23" s="35" t="s">
        <v>80</v>
      </c>
      <c r="L23" s="37"/>
      <c r="N23" s="78" t="s">
        <v>98</v>
      </c>
    </row>
    <row r="24" spans="5:16" ht="15.6" thickTop="1" thickBot="1" x14ac:dyDescent="0.35">
      <c r="E24" s="35" t="s">
        <v>75</v>
      </c>
      <c r="F24" s="37"/>
      <c r="G24" s="37"/>
      <c r="H24" s="35" t="s">
        <v>57</v>
      </c>
      <c r="I24" s="37"/>
      <c r="J24" s="37"/>
      <c r="K24" s="35" t="s">
        <v>81</v>
      </c>
      <c r="L24" s="37"/>
      <c r="N24" s="78" t="s">
        <v>176</v>
      </c>
    </row>
    <row r="25" spans="5:16" ht="15.6" thickTop="1" thickBot="1" x14ac:dyDescent="0.35">
      <c r="E25" s="35" t="s">
        <v>76</v>
      </c>
      <c r="F25" s="37"/>
      <c r="G25" s="37"/>
      <c r="H25" s="35" t="s">
        <v>58</v>
      </c>
      <c r="I25" s="37"/>
      <c r="J25" s="37"/>
      <c r="K25" s="35" t="s">
        <v>82</v>
      </c>
      <c r="L25" s="37"/>
      <c r="N25" s="78" t="s">
        <v>86</v>
      </c>
    </row>
    <row r="26" spans="5:16" ht="15.6" thickTop="1" thickBot="1" x14ac:dyDescent="0.35">
      <c r="E26" s="37"/>
      <c r="F26" s="37"/>
      <c r="G26" s="37"/>
      <c r="H26" s="37"/>
      <c r="I26" s="37"/>
      <c r="J26" s="37"/>
      <c r="K26" s="37"/>
      <c r="L26" s="37"/>
      <c r="N26" s="78" t="s">
        <v>178</v>
      </c>
    </row>
    <row r="27" spans="5:16" ht="15.6" thickTop="1" thickBot="1" x14ac:dyDescent="0.35">
      <c r="E27" s="34" t="s">
        <v>40</v>
      </c>
      <c r="F27" s="36" t="s">
        <v>70</v>
      </c>
      <c r="G27" s="37"/>
      <c r="H27" s="34" t="s">
        <v>42</v>
      </c>
      <c r="I27" s="36" t="s">
        <v>112</v>
      </c>
      <c r="J27" s="37"/>
      <c r="K27" s="34" t="s">
        <v>101</v>
      </c>
      <c r="L27" s="36" t="s">
        <v>113</v>
      </c>
      <c r="N27" s="78" t="s">
        <v>92</v>
      </c>
    </row>
    <row r="28" spans="5:16" ht="15.6" thickTop="1" thickBot="1" x14ac:dyDescent="0.35">
      <c r="E28" s="35" t="s">
        <v>59</v>
      </c>
      <c r="F28" s="40" t="s">
        <v>96</v>
      </c>
      <c r="G28" s="37"/>
      <c r="H28" s="35" t="s">
        <v>64</v>
      </c>
      <c r="I28" s="40" t="s">
        <v>99</v>
      </c>
      <c r="J28" s="37"/>
      <c r="K28" s="35" t="s">
        <v>102</v>
      </c>
      <c r="L28" s="40" t="s">
        <v>72</v>
      </c>
      <c r="N28" s="78" t="s">
        <v>95</v>
      </c>
    </row>
    <row r="29" spans="5:16" ht="15.6" thickTop="1" thickBot="1" x14ac:dyDescent="0.35">
      <c r="E29" s="35" t="s">
        <v>60</v>
      </c>
      <c r="F29" s="40" t="s">
        <v>117</v>
      </c>
      <c r="G29" s="37"/>
      <c r="H29" s="35" t="s">
        <v>65</v>
      </c>
      <c r="I29" s="40" t="s">
        <v>98</v>
      </c>
      <c r="J29" s="37"/>
      <c r="K29" s="35" t="s">
        <v>103</v>
      </c>
      <c r="L29" s="40" t="s">
        <v>100</v>
      </c>
      <c r="N29" s="78" t="s">
        <v>72</v>
      </c>
    </row>
    <row r="30" spans="5:16" ht="15.6" thickTop="1" thickBot="1" x14ac:dyDescent="0.35">
      <c r="E30" s="35" t="s">
        <v>61</v>
      </c>
      <c r="F30" s="40" t="s">
        <v>97</v>
      </c>
      <c r="G30" s="37"/>
      <c r="H30" s="35" t="s">
        <v>66</v>
      </c>
      <c r="I30" s="40"/>
      <c r="J30" s="37"/>
      <c r="K30" s="35" t="s">
        <v>104</v>
      </c>
      <c r="L30" s="40"/>
      <c r="N30" s="78" t="s">
        <v>90</v>
      </c>
    </row>
    <row r="31" spans="5:16" ht="15.6" thickTop="1" thickBot="1" x14ac:dyDescent="0.35">
      <c r="E31" s="35" t="s">
        <v>62</v>
      </c>
      <c r="F31" s="40"/>
      <c r="G31" s="37"/>
      <c r="H31" s="35" t="s">
        <v>67</v>
      </c>
      <c r="I31" s="40"/>
      <c r="J31" s="37"/>
      <c r="K31" s="35" t="s">
        <v>105</v>
      </c>
      <c r="L31" s="40"/>
      <c r="N31" s="78" t="s">
        <v>84</v>
      </c>
    </row>
    <row r="32" spans="5:16" ht="14.4" customHeight="1" thickTop="1" thickBot="1" x14ac:dyDescent="0.35">
      <c r="E32" s="35" t="s">
        <v>63</v>
      </c>
      <c r="F32" s="40"/>
      <c r="G32" s="37"/>
      <c r="H32" s="35" t="s">
        <v>68</v>
      </c>
      <c r="I32" s="40"/>
      <c r="J32" s="37"/>
      <c r="K32" s="35" t="s">
        <v>106</v>
      </c>
      <c r="L32" s="40"/>
      <c r="N32" s="78" t="s">
        <v>93</v>
      </c>
    </row>
    <row r="33" spans="14:14" ht="15" thickTop="1" x14ac:dyDescent="0.3">
      <c r="N33" s="78"/>
    </row>
    <row r="34" spans="14:14" x14ac:dyDescent="0.3"/>
    <row r="35" spans="14:14" x14ac:dyDescent="0.3"/>
  </sheetData>
  <mergeCells count="2">
    <mergeCell ref="E10:L11"/>
    <mergeCell ref="N3:P4"/>
  </mergeCells>
  <phoneticPr fontId="7" type="noConversion"/>
  <conditionalFormatting sqref="N7:N31">
    <cfRule type="duplicateValues" dxfId="9" priority="4"/>
  </conditionalFormatting>
  <conditionalFormatting sqref="N7:P33">
    <cfRule type="duplicateValues" dxfId="8" priority="3"/>
  </conditionalFormatting>
  <conditionalFormatting sqref="S3">
    <cfRule type="duplicateValues" dxfId="7" priority="10"/>
  </conditionalFormatting>
  <conditionalFormatting sqref="S4:S13">
    <cfRule type="duplicateValues" dxfId="6" priority="8"/>
  </conditionalFormatting>
  <conditionalFormatting sqref="U1:U1048576">
    <cfRule type="duplicateValues" dxfId="5" priority="1"/>
    <cfRule type="duplicateValues" dxfId="4" priority="2"/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6826-3381-42B0-B1C0-9AF2B99A4BB4}">
  <dimension ref="A1:AK33"/>
  <sheetViews>
    <sheetView showGridLines="0" showRowColHeaders="0" zoomScaleNormal="100" workbookViewId="0">
      <selection activeCell="I4" sqref="I4:I25"/>
    </sheetView>
  </sheetViews>
  <sheetFormatPr defaultColWidth="0" defaultRowHeight="14.4" zeroHeight="1" x14ac:dyDescent="0.3"/>
  <cols>
    <col min="1" max="3" width="2.21875" customWidth="1"/>
    <col min="4" max="4" width="8.88671875" style="4" customWidth="1"/>
    <col min="5" max="5" width="23" style="2" bestFit="1" customWidth="1"/>
    <col min="6" max="6" width="16" bestFit="1" customWidth="1"/>
    <col min="7" max="7" width="35" bestFit="1" customWidth="1"/>
    <col min="8" max="8" width="15.5546875" bestFit="1" customWidth="1"/>
    <col min="9" max="9" width="14" style="3" bestFit="1" customWidth="1"/>
    <col min="10" max="10" width="22.21875" bestFit="1" customWidth="1"/>
    <col min="11" max="11" width="23.6640625" bestFit="1" customWidth="1"/>
    <col min="12" max="12" width="12.88671875" bestFit="1" customWidth="1"/>
    <col min="13" max="13" width="8.88671875" bestFit="1" customWidth="1"/>
    <col min="14" max="14" width="14" style="4" customWidth="1"/>
    <col min="15" max="15" width="22.44140625" style="4" hidden="1" customWidth="1"/>
    <col min="16" max="16" width="3.21875" style="4" hidden="1" customWidth="1"/>
    <col min="17" max="17" width="17" style="4" hidden="1" customWidth="1"/>
    <col min="18" max="18" width="17.77734375" style="4" hidden="1" customWidth="1"/>
    <col min="19" max="19" width="2.33203125" style="4" hidden="1" customWidth="1"/>
    <col min="20" max="20" width="3" style="4" hidden="1" customWidth="1"/>
    <col min="21" max="21" width="10" style="4" hidden="1" customWidth="1"/>
    <col min="22" max="22" width="8.109375" style="4" hidden="1" customWidth="1"/>
    <col min="23" max="23" width="11.44140625" style="4" hidden="1" customWidth="1"/>
    <col min="24" max="24" width="9.21875" style="4" hidden="1" customWidth="1"/>
    <col min="25" max="25" width="23.21875" style="4" hidden="1" customWidth="1"/>
    <col min="26" max="28" width="3.109375" style="4" hidden="1" customWidth="1"/>
    <col min="29" max="29" width="8.109375" style="4" hidden="1" customWidth="1"/>
    <col min="30" max="30" width="12.88671875" style="6" hidden="1" customWidth="1"/>
    <col min="31" max="31" width="35" style="4" hidden="1" customWidth="1"/>
    <col min="32" max="32" width="8.109375" style="4" hidden="1" customWidth="1"/>
    <col min="33" max="33" width="8.88671875" style="4" hidden="1" customWidth="1"/>
    <col min="34" max="34" width="12.88671875" style="6" hidden="1" customWidth="1"/>
    <col min="35" max="35" width="24.44140625" style="4" hidden="1" customWidth="1"/>
    <col min="36" max="37" width="8.88671875" style="4" hidden="1" customWidth="1"/>
    <col min="38" max="16384" width="8.88671875" hidden="1"/>
  </cols>
  <sheetData>
    <row r="1" spans="4:37" s="15" customFormat="1" ht="13.8" customHeight="1" x14ac:dyDescent="0.3">
      <c r="D1" s="4"/>
      <c r="E1" s="18"/>
      <c r="I1" s="16"/>
      <c r="J1" s="18"/>
      <c r="K1" s="18"/>
      <c r="L1" s="18"/>
      <c r="M1" s="18"/>
      <c r="N1" s="1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4"/>
      <c r="AF1" s="4"/>
      <c r="AG1" s="4"/>
      <c r="AH1" s="6"/>
      <c r="AI1" s="4"/>
      <c r="AJ1" s="4"/>
      <c r="AK1" s="4"/>
    </row>
    <row r="2" spans="4:37" s="15" customFormat="1" ht="14.4" customHeight="1" thickBot="1" x14ac:dyDescent="0.35">
      <c r="D2" s="4"/>
      <c r="E2" s="10" t="s">
        <v>119</v>
      </c>
      <c r="F2" s="8"/>
      <c r="G2" s="8"/>
      <c r="H2" s="8"/>
      <c r="I2" s="9"/>
      <c r="J2" s="10"/>
      <c r="K2" s="10"/>
      <c r="L2" s="10"/>
      <c r="M2" s="10"/>
      <c r="N2" s="12"/>
      <c r="O2" s="7" t="s">
        <v>166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19"/>
      <c r="AH2" s="19"/>
      <c r="AI2" s="19"/>
      <c r="AJ2" s="4"/>
      <c r="AK2" s="4"/>
    </row>
    <row r="3" spans="4:37" ht="34.200000000000003" customHeight="1" thickTop="1" thickBot="1" x14ac:dyDescent="0.35">
      <c r="E3" s="77" t="s">
        <v>110</v>
      </c>
      <c r="F3" s="61" t="s">
        <v>107</v>
      </c>
      <c r="G3" s="62" t="s">
        <v>163</v>
      </c>
      <c r="H3" s="60" t="s">
        <v>131</v>
      </c>
      <c r="I3" s="61" t="s">
        <v>108</v>
      </c>
      <c r="J3" s="61" t="s">
        <v>109</v>
      </c>
      <c r="K3" s="61" t="s">
        <v>164</v>
      </c>
      <c r="L3" s="61" t="s">
        <v>142</v>
      </c>
      <c r="M3" s="61" t="s">
        <v>143</v>
      </c>
      <c r="O3" s="11">
        <v>1000</v>
      </c>
      <c r="P3" s="6"/>
      <c r="Q3" s="14" t="s">
        <v>140</v>
      </c>
      <c r="R3" s="14" t="s">
        <v>141</v>
      </c>
      <c r="U3" s="23" t="s">
        <v>142</v>
      </c>
      <c r="V3" s="23" t="s">
        <v>165</v>
      </c>
      <c r="W3" s="23" t="s">
        <v>137</v>
      </c>
      <c r="X3" s="23" t="s">
        <v>138</v>
      </c>
      <c r="Y3" s="23" t="s">
        <v>139</v>
      </c>
      <c r="AC3" s="22" t="s">
        <v>150</v>
      </c>
      <c r="AD3" s="22" t="s">
        <v>151</v>
      </c>
      <c r="AE3" s="22" t="s">
        <v>152</v>
      </c>
      <c r="AG3" s="22" t="s">
        <v>149</v>
      </c>
      <c r="AH3" s="22" t="s">
        <v>151</v>
      </c>
      <c r="AI3" s="22" t="s">
        <v>152</v>
      </c>
      <c r="AK3" s="23" t="s">
        <v>134</v>
      </c>
    </row>
    <row r="4" spans="4:37" ht="15.6" thickTop="1" thickBot="1" x14ac:dyDescent="0.35">
      <c r="E4" s="29">
        <v>45661</v>
      </c>
      <c r="F4" s="30" t="s">
        <v>33</v>
      </c>
      <c r="G4" s="31" t="s">
        <v>171</v>
      </c>
      <c r="H4" s="30"/>
      <c r="I4" s="32">
        <v>8000</v>
      </c>
      <c r="J4" s="29">
        <v>45663</v>
      </c>
      <c r="K4" s="29" t="s">
        <v>136</v>
      </c>
      <c r="L4" s="30">
        <f t="shared" ref="L4:L30" si="0">IF(ISBLANK(E4),"",MONTH(E4))</f>
        <v>1</v>
      </c>
      <c r="M4" s="30">
        <f>IF(E4="", "", YEAR(E4))</f>
        <v>2025</v>
      </c>
      <c r="O4" s="5">
        <f>IFERROR($O3 + IF(AND(Q4="Receita",R4="Pago",Y4=$E$2),I4,IF(AND(Q4="Despesa",R4="Pago",Y4=$E$2),-I4,0)), "erro nos dados")</f>
        <v>9000</v>
      </c>
      <c r="Q4" s="4" t="str">
        <f>IF(F4="Despesa","Despesa",IF(F4="Receita","Receita", ""))</f>
        <v>Receita</v>
      </c>
      <c r="R4" s="4" t="str">
        <f>IF(J4&lt;&gt;"","Pago","Não pago")</f>
        <v>Pago</v>
      </c>
      <c r="T4" s="4">
        <v>1</v>
      </c>
      <c r="U4" s="4" t="s">
        <v>119</v>
      </c>
      <c r="V4" s="4">
        <v>1</v>
      </c>
      <c r="W4" s="4">
        <f>IF(J4="","",DAY(J4))</f>
        <v>6</v>
      </c>
      <c r="X4" s="4">
        <f>IF(J4="","",MONTH(J4))</f>
        <v>1</v>
      </c>
      <c r="Y4" s="4" t="str">
        <f>IF(J4="","",VLOOKUP(X4,$T$4:$V$15,2,FALSE))</f>
        <v>Janeiro</v>
      </c>
      <c r="AC4" s="20" t="str">
        <f>IF(F4="Despesa",F4,"")</f>
        <v/>
      </c>
      <c r="AD4" s="21">
        <f>IF(F4="Despesa",I4,0)</f>
        <v>0</v>
      </c>
      <c r="AE4" s="20" t="str">
        <f>IF(F4="Despesa",G4,"")</f>
        <v/>
      </c>
      <c r="AG4" s="20" t="str">
        <f>IF(F4="Receita",F4,"")</f>
        <v>Receita</v>
      </c>
      <c r="AH4" s="21">
        <f>IF(F4="Receita",I4,0)</f>
        <v>8000</v>
      </c>
      <c r="AI4" s="20" t="str">
        <f>IF(F4="Receita",G4,"")</f>
        <v>Lápis e canetas</v>
      </c>
      <c r="AK4" s="13" t="s">
        <v>135</v>
      </c>
    </row>
    <row r="5" spans="4:37" ht="15.6" thickTop="1" thickBot="1" x14ac:dyDescent="0.35">
      <c r="E5" s="33">
        <v>45661</v>
      </c>
      <c r="F5" s="30" t="s">
        <v>118</v>
      </c>
      <c r="G5" s="31" t="s">
        <v>83</v>
      </c>
      <c r="H5" s="31"/>
      <c r="I5" s="32">
        <v>27500</v>
      </c>
      <c r="J5" s="33">
        <v>45664</v>
      </c>
      <c r="K5" s="29" t="s">
        <v>135</v>
      </c>
      <c r="L5" s="30">
        <f t="shared" si="0"/>
        <v>1</v>
      </c>
      <c r="M5" s="30">
        <f t="shared" ref="M5:M30" si="1">IF(E5="", "", YEAR(E5))</f>
        <v>2025</v>
      </c>
      <c r="O5" s="5">
        <f t="shared" ref="O5:O30" si="2">IFERROR($O4 + IF(AND(Q5="Receita",R5="Pago",Y5=$E$2),I5,IF(AND(Q5="Despesa",R5="Pago",Y5=$E$2),-I5,0)), "erro nos dados")</f>
        <v>-18500</v>
      </c>
      <c r="P5" s="6"/>
      <c r="Q5" s="4" t="str">
        <f t="shared" ref="Q5:Q31" si="3">IF(F5="Despesa","Despesa",IF(F5="Receita","Receita", ""))</f>
        <v>Despesa</v>
      </c>
      <c r="R5" s="4" t="str">
        <f t="shared" ref="R5:R30" si="4">IF(J5&lt;&gt;"","Pago","Não pago")</f>
        <v>Pago</v>
      </c>
      <c r="T5" s="4">
        <v>2</v>
      </c>
      <c r="U5" s="4" t="s">
        <v>120</v>
      </c>
      <c r="V5" s="4">
        <v>2</v>
      </c>
      <c r="W5" s="4">
        <f t="shared" ref="W5:W14" si="5">IF(J5="","",DAY(J5))</f>
        <v>7</v>
      </c>
      <c r="X5" s="4">
        <f t="shared" ref="X5:X32" si="6">IF(J5="","",MONTH(J5))</f>
        <v>1</v>
      </c>
      <c r="Y5" s="4" t="str">
        <f t="shared" ref="Y5:Y31" si="7">IF(J5="","",VLOOKUP(X5,$T$4:$V$15,2,FALSE))</f>
        <v>Janeiro</v>
      </c>
      <c r="AC5" s="20" t="str">
        <f t="shared" ref="AC5:AC11" si="8">IF(F5="Despesa",F5,"")</f>
        <v>Despesa</v>
      </c>
      <c r="AD5" s="21">
        <f t="shared" ref="AD5:AD11" si="9">IF(F5="Despesa",I5,0)</f>
        <v>27500</v>
      </c>
      <c r="AE5" s="20" t="str">
        <f t="shared" ref="AE5:AE11" si="10">IF(F5="Despesa",G5,"")</f>
        <v>Contratação de serviço de Limpeza</v>
      </c>
      <c r="AG5" s="20" t="str">
        <f>IF(F5="Receita",F5,"")</f>
        <v/>
      </c>
      <c r="AH5" s="21">
        <f t="shared" ref="AH5:AH16" si="11">IF(F5="Receita",I5,0)</f>
        <v>0</v>
      </c>
      <c r="AI5" s="20" t="str">
        <f t="shared" ref="AI5:AI20" si="12">IF(F5="Receita",G5,"")</f>
        <v/>
      </c>
      <c r="AK5" s="13" t="s">
        <v>136</v>
      </c>
    </row>
    <row r="6" spans="4:37" ht="15.6" thickTop="1" thickBot="1" x14ac:dyDescent="0.35">
      <c r="E6" s="29">
        <v>45664</v>
      </c>
      <c r="F6" s="30" t="s">
        <v>33</v>
      </c>
      <c r="G6" s="31" t="s">
        <v>174</v>
      </c>
      <c r="H6" s="30"/>
      <c r="I6" s="32">
        <v>6000</v>
      </c>
      <c r="J6" s="29">
        <v>45665</v>
      </c>
      <c r="K6" s="29" t="s">
        <v>135</v>
      </c>
      <c r="L6" s="30">
        <f t="shared" si="0"/>
        <v>1</v>
      </c>
      <c r="M6" s="30">
        <f t="shared" si="1"/>
        <v>2025</v>
      </c>
      <c r="O6" s="5">
        <f t="shared" si="2"/>
        <v>-12500</v>
      </c>
      <c r="P6" s="6"/>
      <c r="Q6" s="4" t="str">
        <f t="shared" si="3"/>
        <v>Receita</v>
      </c>
      <c r="R6" s="4" t="str">
        <f t="shared" si="4"/>
        <v>Pago</v>
      </c>
      <c r="T6" s="4">
        <v>3</v>
      </c>
      <c r="U6" s="4" t="s">
        <v>121</v>
      </c>
      <c r="V6" s="4">
        <v>3</v>
      </c>
      <c r="W6" s="4">
        <f t="shared" si="5"/>
        <v>8</v>
      </c>
      <c r="X6" s="4">
        <f t="shared" si="6"/>
        <v>1</v>
      </c>
      <c r="Y6" s="4" t="str">
        <f t="shared" si="7"/>
        <v>Janeiro</v>
      </c>
      <c r="AC6" s="20" t="str">
        <f t="shared" si="8"/>
        <v/>
      </c>
      <c r="AD6" s="21">
        <f t="shared" si="9"/>
        <v>0</v>
      </c>
      <c r="AE6" s="20" t="str">
        <f t="shared" si="10"/>
        <v/>
      </c>
      <c r="AG6" s="20" t="str">
        <f t="shared" ref="AG6:AG16" si="13">IF(F6="Receita",F6,"")</f>
        <v>Receita</v>
      </c>
      <c r="AH6" s="21">
        <f t="shared" si="11"/>
        <v>6000</v>
      </c>
      <c r="AI6" s="20" t="str">
        <f t="shared" si="12"/>
        <v>Réguas e Esquadros</v>
      </c>
    </row>
    <row r="7" spans="4:37" ht="15.6" thickTop="1" thickBot="1" x14ac:dyDescent="0.35">
      <c r="E7" s="33">
        <v>45665</v>
      </c>
      <c r="F7" s="30" t="s">
        <v>33</v>
      </c>
      <c r="G7" s="31" t="s">
        <v>174</v>
      </c>
      <c r="H7" s="31"/>
      <c r="I7" s="32">
        <v>6000</v>
      </c>
      <c r="J7" s="33">
        <v>45666</v>
      </c>
      <c r="K7" s="29" t="s">
        <v>136</v>
      </c>
      <c r="L7" s="30">
        <f t="shared" si="0"/>
        <v>1</v>
      </c>
      <c r="M7" s="30">
        <f t="shared" si="1"/>
        <v>2025</v>
      </c>
      <c r="O7" s="5">
        <f t="shared" si="2"/>
        <v>-6500</v>
      </c>
      <c r="P7" s="6"/>
      <c r="Q7" s="4" t="str">
        <f t="shared" si="3"/>
        <v>Receita</v>
      </c>
      <c r="R7" s="4" t="str">
        <f t="shared" si="4"/>
        <v>Pago</v>
      </c>
      <c r="T7" s="4">
        <v>4</v>
      </c>
      <c r="U7" s="4" t="s">
        <v>122</v>
      </c>
      <c r="V7" s="4">
        <v>4</v>
      </c>
      <c r="W7" s="4">
        <f t="shared" si="5"/>
        <v>9</v>
      </c>
      <c r="X7" s="4">
        <f t="shared" si="6"/>
        <v>1</v>
      </c>
      <c r="Y7" s="4" t="str">
        <f t="shared" si="7"/>
        <v>Janeiro</v>
      </c>
      <c r="AC7" s="20" t="str">
        <f t="shared" si="8"/>
        <v/>
      </c>
      <c r="AD7" s="21">
        <f t="shared" si="9"/>
        <v>0</v>
      </c>
      <c r="AE7" s="20" t="str">
        <f t="shared" si="10"/>
        <v/>
      </c>
      <c r="AG7" s="20" t="str">
        <f t="shared" si="13"/>
        <v>Receita</v>
      </c>
      <c r="AH7" s="21">
        <f t="shared" si="11"/>
        <v>6000</v>
      </c>
      <c r="AI7" s="20" t="str">
        <f t="shared" si="12"/>
        <v>Réguas e Esquadros</v>
      </c>
    </row>
    <row r="8" spans="4:37" ht="15.6" thickTop="1" thickBot="1" x14ac:dyDescent="0.35">
      <c r="E8" s="33">
        <v>45666</v>
      </c>
      <c r="F8" s="30" t="s">
        <v>33</v>
      </c>
      <c r="G8" s="31" t="s">
        <v>174</v>
      </c>
      <c r="H8" s="30"/>
      <c r="I8" s="32">
        <v>6000</v>
      </c>
      <c r="J8" s="29">
        <v>45667</v>
      </c>
      <c r="K8" s="29" t="s">
        <v>135</v>
      </c>
      <c r="L8" s="30">
        <f t="shared" si="0"/>
        <v>1</v>
      </c>
      <c r="M8" s="30">
        <f t="shared" si="1"/>
        <v>2025</v>
      </c>
      <c r="O8" s="5">
        <f t="shared" si="2"/>
        <v>-500</v>
      </c>
      <c r="P8" s="6"/>
      <c r="Q8" s="4" t="str">
        <f t="shared" si="3"/>
        <v>Receita</v>
      </c>
      <c r="R8" s="4" t="str">
        <f t="shared" si="4"/>
        <v>Pago</v>
      </c>
      <c r="T8" s="4">
        <v>5</v>
      </c>
      <c r="U8" s="4" t="s">
        <v>123</v>
      </c>
      <c r="V8" s="4">
        <v>5</v>
      </c>
      <c r="W8" s="4">
        <f t="shared" si="5"/>
        <v>10</v>
      </c>
      <c r="X8" s="4">
        <f t="shared" si="6"/>
        <v>1</v>
      </c>
      <c r="Y8" s="4" t="str">
        <f t="shared" si="7"/>
        <v>Janeiro</v>
      </c>
      <c r="AC8" s="20" t="str">
        <f t="shared" si="8"/>
        <v/>
      </c>
      <c r="AD8" s="21">
        <f t="shared" si="9"/>
        <v>0</v>
      </c>
      <c r="AE8" s="20" t="str">
        <f t="shared" si="10"/>
        <v/>
      </c>
      <c r="AG8" s="20" t="str">
        <f t="shared" si="13"/>
        <v>Receita</v>
      </c>
      <c r="AH8" s="21">
        <f t="shared" si="11"/>
        <v>6000</v>
      </c>
      <c r="AI8" s="20" t="str">
        <f t="shared" si="12"/>
        <v>Réguas e Esquadros</v>
      </c>
    </row>
    <row r="9" spans="4:37" ht="15.6" thickTop="1" thickBot="1" x14ac:dyDescent="0.35">
      <c r="E9" s="29">
        <v>45689</v>
      </c>
      <c r="F9" s="30" t="s">
        <v>33</v>
      </c>
      <c r="G9" s="31" t="s">
        <v>174</v>
      </c>
      <c r="H9" s="30"/>
      <c r="I9" s="32">
        <v>6000</v>
      </c>
      <c r="J9" s="29">
        <v>45659</v>
      </c>
      <c r="K9" s="29" t="s">
        <v>136</v>
      </c>
      <c r="L9" s="30">
        <f t="shared" si="0"/>
        <v>2</v>
      </c>
      <c r="M9" s="30">
        <f t="shared" si="1"/>
        <v>2025</v>
      </c>
      <c r="O9" s="5">
        <f t="shared" si="2"/>
        <v>5500</v>
      </c>
      <c r="P9" s="6"/>
      <c r="Q9" s="4" t="str">
        <f t="shared" si="3"/>
        <v>Receita</v>
      </c>
      <c r="R9" s="4" t="str">
        <f t="shared" si="4"/>
        <v>Pago</v>
      </c>
      <c r="T9" s="4">
        <v>6</v>
      </c>
      <c r="U9" s="4" t="s">
        <v>124</v>
      </c>
      <c r="V9" s="4">
        <v>6</v>
      </c>
      <c r="W9" s="4">
        <f t="shared" si="5"/>
        <v>2</v>
      </c>
      <c r="X9" s="4">
        <f t="shared" si="6"/>
        <v>1</v>
      </c>
      <c r="Y9" s="4" t="str">
        <f t="shared" si="7"/>
        <v>Janeiro</v>
      </c>
      <c r="AC9" s="20" t="str">
        <f t="shared" si="8"/>
        <v/>
      </c>
      <c r="AD9" s="21">
        <f t="shared" si="9"/>
        <v>0</v>
      </c>
      <c r="AE9" s="20" t="str">
        <f t="shared" si="10"/>
        <v/>
      </c>
      <c r="AG9" s="20" t="str">
        <f t="shared" si="13"/>
        <v>Receita</v>
      </c>
      <c r="AH9" s="21">
        <f t="shared" si="11"/>
        <v>6000</v>
      </c>
      <c r="AI9" s="20" t="str">
        <f t="shared" si="12"/>
        <v>Réguas e Esquadros</v>
      </c>
    </row>
    <row r="10" spans="4:37" ht="15.6" thickTop="1" thickBot="1" x14ac:dyDescent="0.35">
      <c r="E10" s="29">
        <v>45689</v>
      </c>
      <c r="F10" s="30" t="s">
        <v>33</v>
      </c>
      <c r="G10" s="31" t="s">
        <v>174</v>
      </c>
      <c r="H10" s="31"/>
      <c r="I10" s="32">
        <v>8000</v>
      </c>
      <c r="J10" s="33">
        <v>45660</v>
      </c>
      <c r="K10" s="29" t="s">
        <v>135</v>
      </c>
      <c r="L10" s="30">
        <f t="shared" si="0"/>
        <v>2</v>
      </c>
      <c r="M10" s="30">
        <f t="shared" si="1"/>
        <v>2025</v>
      </c>
      <c r="O10" s="5">
        <f t="shared" si="2"/>
        <v>13500</v>
      </c>
      <c r="P10" s="6"/>
      <c r="Q10" s="4" t="str">
        <f t="shared" si="3"/>
        <v>Receita</v>
      </c>
      <c r="R10" s="4" t="str">
        <f t="shared" si="4"/>
        <v>Pago</v>
      </c>
      <c r="T10" s="4">
        <v>7</v>
      </c>
      <c r="U10" s="4" t="s">
        <v>125</v>
      </c>
      <c r="V10" s="4">
        <v>7</v>
      </c>
      <c r="W10" s="4">
        <f t="shared" si="5"/>
        <v>3</v>
      </c>
      <c r="X10" s="4">
        <f t="shared" si="6"/>
        <v>1</v>
      </c>
      <c r="Y10" s="4" t="str">
        <f t="shared" si="7"/>
        <v>Janeiro</v>
      </c>
      <c r="AC10" s="20" t="str">
        <f t="shared" si="8"/>
        <v/>
      </c>
      <c r="AD10" s="21">
        <f t="shared" si="9"/>
        <v>0</v>
      </c>
      <c r="AE10" s="20" t="str">
        <f t="shared" si="10"/>
        <v/>
      </c>
      <c r="AG10" s="20" t="str">
        <f t="shared" si="13"/>
        <v>Receita</v>
      </c>
      <c r="AH10" s="21">
        <f t="shared" si="11"/>
        <v>8000</v>
      </c>
      <c r="AI10" s="20" t="str">
        <f t="shared" si="12"/>
        <v>Réguas e Esquadros</v>
      </c>
    </row>
    <row r="11" spans="4:37" ht="15.6" thickTop="1" thickBot="1" x14ac:dyDescent="0.35">
      <c r="E11" s="29">
        <v>45690</v>
      </c>
      <c r="F11" s="30" t="s">
        <v>33</v>
      </c>
      <c r="G11" s="31" t="s">
        <v>174</v>
      </c>
      <c r="H11" s="30"/>
      <c r="I11" s="32">
        <v>6000</v>
      </c>
      <c r="J11" s="29">
        <v>45661</v>
      </c>
      <c r="K11" s="29" t="s">
        <v>135</v>
      </c>
      <c r="L11" s="30">
        <f t="shared" si="0"/>
        <v>2</v>
      </c>
      <c r="M11" s="30">
        <f t="shared" si="1"/>
        <v>2025</v>
      </c>
      <c r="O11" s="5">
        <f t="shared" si="2"/>
        <v>19500</v>
      </c>
      <c r="P11" s="6"/>
      <c r="Q11" s="4" t="str">
        <f t="shared" si="3"/>
        <v>Receita</v>
      </c>
      <c r="R11" s="4" t="str">
        <f t="shared" si="4"/>
        <v>Pago</v>
      </c>
      <c r="T11" s="4">
        <v>8</v>
      </c>
      <c r="U11" s="4" t="s">
        <v>126</v>
      </c>
      <c r="V11" s="4">
        <v>8</v>
      </c>
      <c r="W11" s="4">
        <f t="shared" si="5"/>
        <v>4</v>
      </c>
      <c r="X11" s="4">
        <f t="shared" si="6"/>
        <v>1</v>
      </c>
      <c r="Y11" s="4" t="str">
        <f t="shared" si="7"/>
        <v>Janeiro</v>
      </c>
      <c r="AC11" s="20" t="str">
        <f t="shared" si="8"/>
        <v/>
      </c>
      <c r="AD11" s="21">
        <f t="shared" si="9"/>
        <v>0</v>
      </c>
      <c r="AE11" s="20" t="str">
        <f t="shared" si="10"/>
        <v/>
      </c>
      <c r="AG11" s="20" t="str">
        <f t="shared" si="13"/>
        <v>Receita</v>
      </c>
      <c r="AH11" s="21">
        <f t="shared" si="11"/>
        <v>6000</v>
      </c>
      <c r="AI11" s="20" t="str">
        <f t="shared" si="12"/>
        <v>Réguas e Esquadros</v>
      </c>
    </row>
    <row r="12" spans="4:37" ht="15.6" thickTop="1" thickBot="1" x14ac:dyDescent="0.35">
      <c r="E12" s="29">
        <v>45690</v>
      </c>
      <c r="F12" s="30" t="s">
        <v>33</v>
      </c>
      <c r="G12" s="31" t="s">
        <v>174</v>
      </c>
      <c r="H12" s="31"/>
      <c r="I12" s="32">
        <v>6000</v>
      </c>
      <c r="J12" s="33">
        <v>45662</v>
      </c>
      <c r="K12" s="29" t="s">
        <v>135</v>
      </c>
      <c r="L12" s="30">
        <f t="shared" si="0"/>
        <v>2</v>
      </c>
      <c r="M12" s="30">
        <f t="shared" si="1"/>
        <v>2025</v>
      </c>
      <c r="O12" s="5">
        <f t="shared" si="2"/>
        <v>25500</v>
      </c>
      <c r="P12" s="6"/>
      <c r="Q12" s="4" t="str">
        <f t="shared" si="3"/>
        <v>Receita</v>
      </c>
      <c r="R12" s="4" t="str">
        <f t="shared" si="4"/>
        <v>Pago</v>
      </c>
      <c r="T12" s="4">
        <v>9</v>
      </c>
      <c r="U12" s="4" t="s">
        <v>127</v>
      </c>
      <c r="V12" s="4">
        <v>9</v>
      </c>
      <c r="W12" s="4">
        <f t="shared" si="5"/>
        <v>5</v>
      </c>
      <c r="X12" s="4">
        <f t="shared" si="6"/>
        <v>1</v>
      </c>
      <c r="Y12" s="4" t="str">
        <f t="shared" si="7"/>
        <v>Janeiro</v>
      </c>
      <c r="AC12" s="20" t="str">
        <f t="shared" ref="AC12:AC30" si="14">IF(F12="Despesa",F12,"")</f>
        <v/>
      </c>
      <c r="AD12" s="21">
        <f t="shared" ref="AD12:AD30" si="15">IF(F12="Despesa",I12,0)</f>
        <v>0</v>
      </c>
      <c r="AE12" s="20" t="str">
        <f t="shared" ref="AE12:AE30" si="16">IF(F12="Despesa",G12,"")</f>
        <v/>
      </c>
      <c r="AG12" s="20" t="str">
        <f t="shared" si="13"/>
        <v>Receita</v>
      </c>
      <c r="AH12" s="21">
        <f t="shared" si="11"/>
        <v>6000</v>
      </c>
      <c r="AI12" s="20" t="str">
        <f t="shared" si="12"/>
        <v>Réguas e Esquadros</v>
      </c>
    </row>
    <row r="13" spans="4:37" ht="15.6" thickTop="1" thickBot="1" x14ac:dyDescent="0.35">
      <c r="E13" s="33">
        <v>45690</v>
      </c>
      <c r="F13" s="30" t="s">
        <v>33</v>
      </c>
      <c r="G13" s="31" t="s">
        <v>174</v>
      </c>
      <c r="H13" s="31"/>
      <c r="I13" s="32">
        <v>8000</v>
      </c>
      <c r="J13" s="33">
        <v>45668</v>
      </c>
      <c r="K13" s="29" t="s">
        <v>135</v>
      </c>
      <c r="L13" s="30">
        <f t="shared" si="0"/>
        <v>2</v>
      </c>
      <c r="M13" s="30">
        <f t="shared" si="1"/>
        <v>2025</v>
      </c>
      <c r="O13" s="5">
        <f t="shared" si="2"/>
        <v>33500</v>
      </c>
      <c r="P13" s="6"/>
      <c r="Q13" s="4" t="str">
        <f t="shared" si="3"/>
        <v>Receita</v>
      </c>
      <c r="R13" s="4" t="str">
        <f t="shared" si="4"/>
        <v>Pago</v>
      </c>
      <c r="T13" s="4">
        <v>10</v>
      </c>
      <c r="U13" s="4" t="s">
        <v>128</v>
      </c>
      <c r="V13" s="4">
        <v>10</v>
      </c>
      <c r="W13" s="4">
        <f t="shared" si="5"/>
        <v>11</v>
      </c>
      <c r="X13" s="4">
        <f t="shared" si="6"/>
        <v>1</v>
      </c>
      <c r="Y13" s="4" t="str">
        <f t="shared" si="7"/>
        <v>Janeiro</v>
      </c>
      <c r="AC13" s="20" t="str">
        <f t="shared" si="14"/>
        <v/>
      </c>
      <c r="AD13" s="21">
        <f t="shared" si="15"/>
        <v>0</v>
      </c>
      <c r="AE13" s="20" t="str">
        <f t="shared" si="16"/>
        <v/>
      </c>
      <c r="AG13" s="20" t="str">
        <f t="shared" si="13"/>
        <v>Receita</v>
      </c>
      <c r="AH13" s="21">
        <f t="shared" si="11"/>
        <v>8000</v>
      </c>
      <c r="AI13" s="20" t="str">
        <f t="shared" si="12"/>
        <v>Réguas e Esquadros</v>
      </c>
    </row>
    <row r="14" spans="4:37" ht="15.6" thickTop="1" thickBot="1" x14ac:dyDescent="0.35">
      <c r="E14" s="33">
        <v>45690</v>
      </c>
      <c r="F14" s="30" t="s">
        <v>118</v>
      </c>
      <c r="G14" s="31" t="s">
        <v>7</v>
      </c>
      <c r="H14" s="31"/>
      <c r="I14" s="32">
        <v>15000</v>
      </c>
      <c r="J14" s="33">
        <v>45670</v>
      </c>
      <c r="K14" s="29" t="s">
        <v>135</v>
      </c>
      <c r="L14" s="30">
        <f t="shared" si="0"/>
        <v>2</v>
      </c>
      <c r="M14" s="30">
        <f t="shared" si="1"/>
        <v>2025</v>
      </c>
      <c r="O14" s="5">
        <f t="shared" si="2"/>
        <v>18500</v>
      </c>
      <c r="P14" s="6"/>
      <c r="Q14" s="4" t="str">
        <f t="shared" si="3"/>
        <v>Despesa</v>
      </c>
      <c r="R14" s="4" t="str">
        <f t="shared" si="4"/>
        <v>Pago</v>
      </c>
      <c r="T14" s="4">
        <v>11</v>
      </c>
      <c r="U14" s="4" t="s">
        <v>129</v>
      </c>
      <c r="V14" s="4">
        <v>11</v>
      </c>
      <c r="W14" s="4">
        <f t="shared" si="5"/>
        <v>13</v>
      </c>
      <c r="X14" s="4">
        <f t="shared" si="6"/>
        <v>1</v>
      </c>
      <c r="Y14" s="4" t="str">
        <f t="shared" si="7"/>
        <v>Janeiro</v>
      </c>
      <c r="AC14" s="20" t="str">
        <f t="shared" si="14"/>
        <v>Despesa</v>
      </c>
      <c r="AD14" s="21">
        <f t="shared" si="15"/>
        <v>15000</v>
      </c>
      <c r="AE14" s="20" t="str">
        <f t="shared" si="16"/>
        <v>Cadernos</v>
      </c>
      <c r="AG14" s="20" t="str">
        <f t="shared" si="13"/>
        <v/>
      </c>
      <c r="AH14" s="21">
        <f t="shared" si="11"/>
        <v>0</v>
      </c>
      <c r="AI14" s="20" t="str">
        <f t="shared" si="12"/>
        <v/>
      </c>
    </row>
    <row r="15" spans="4:37" ht="13.8" customHeight="1" thickTop="1" thickBot="1" x14ac:dyDescent="0.35">
      <c r="E15" s="33">
        <v>45691</v>
      </c>
      <c r="F15" s="30" t="s">
        <v>33</v>
      </c>
      <c r="G15" s="31" t="s">
        <v>170</v>
      </c>
      <c r="H15" s="30"/>
      <c r="I15" s="32">
        <v>3000</v>
      </c>
      <c r="J15" s="33">
        <v>45669</v>
      </c>
      <c r="K15" s="29" t="s">
        <v>135</v>
      </c>
      <c r="L15" s="30">
        <f t="shared" si="0"/>
        <v>2</v>
      </c>
      <c r="M15" s="30">
        <f t="shared" si="1"/>
        <v>2025</v>
      </c>
      <c r="O15" s="5">
        <f t="shared" si="2"/>
        <v>21500</v>
      </c>
      <c r="P15" s="6"/>
      <c r="Q15" s="4" t="str">
        <f t="shared" si="3"/>
        <v>Receita</v>
      </c>
      <c r="R15" s="4" t="str">
        <f t="shared" si="4"/>
        <v>Pago</v>
      </c>
      <c r="T15" s="4">
        <v>11</v>
      </c>
      <c r="U15" s="4" t="s">
        <v>130</v>
      </c>
      <c r="V15" s="4">
        <v>11</v>
      </c>
      <c r="W15" s="4">
        <f t="shared" ref="W15:W33" si="17">IF(J15="","",DAY(J15))</f>
        <v>12</v>
      </c>
      <c r="X15" s="4">
        <f t="shared" si="6"/>
        <v>1</v>
      </c>
      <c r="Y15" s="4" t="str">
        <f t="shared" si="7"/>
        <v>Janeiro</v>
      </c>
      <c r="AC15" s="20" t="str">
        <f t="shared" si="14"/>
        <v/>
      </c>
      <c r="AD15" s="21">
        <f t="shared" si="15"/>
        <v>0</v>
      </c>
      <c r="AE15" s="20" t="str">
        <f t="shared" si="16"/>
        <v/>
      </c>
      <c r="AG15" s="20" t="str">
        <f t="shared" si="13"/>
        <v>Receita</v>
      </c>
      <c r="AH15" s="21">
        <f t="shared" si="11"/>
        <v>3000</v>
      </c>
      <c r="AI15" s="20" t="str">
        <f t="shared" si="12"/>
        <v xml:space="preserve">Transporte </v>
      </c>
    </row>
    <row r="16" spans="4:37" ht="15.6" thickTop="1" thickBot="1" x14ac:dyDescent="0.35">
      <c r="E16" s="33">
        <v>45693</v>
      </c>
      <c r="F16" s="30" t="s">
        <v>33</v>
      </c>
      <c r="G16" s="31" t="s">
        <v>170</v>
      </c>
      <c r="H16" s="30"/>
      <c r="I16" s="32">
        <v>2000</v>
      </c>
      <c r="J16" s="33">
        <v>45671</v>
      </c>
      <c r="K16" s="29" t="s">
        <v>135</v>
      </c>
      <c r="L16" s="30">
        <f t="shared" si="0"/>
        <v>2</v>
      </c>
      <c r="M16" s="30">
        <f t="shared" si="1"/>
        <v>2025</v>
      </c>
      <c r="O16" s="5">
        <f t="shared" si="2"/>
        <v>23500</v>
      </c>
      <c r="P16" s="6"/>
      <c r="Q16" s="4" t="str">
        <f t="shared" si="3"/>
        <v>Receita</v>
      </c>
      <c r="R16" s="4" t="str">
        <f t="shared" si="4"/>
        <v>Pago</v>
      </c>
      <c r="W16" s="4">
        <f t="shared" si="17"/>
        <v>14</v>
      </c>
      <c r="X16" s="4">
        <f t="shared" si="6"/>
        <v>1</v>
      </c>
      <c r="Y16" s="4" t="str">
        <f t="shared" si="7"/>
        <v>Janeiro</v>
      </c>
      <c r="AC16" s="20" t="str">
        <f t="shared" si="14"/>
        <v/>
      </c>
      <c r="AD16" s="21">
        <f t="shared" si="15"/>
        <v>0</v>
      </c>
      <c r="AE16" s="20" t="str">
        <f t="shared" si="16"/>
        <v/>
      </c>
      <c r="AG16" s="20" t="str">
        <f t="shared" si="13"/>
        <v>Receita</v>
      </c>
      <c r="AH16" s="21">
        <f t="shared" si="11"/>
        <v>2000</v>
      </c>
      <c r="AI16" s="20" t="str">
        <f t="shared" si="12"/>
        <v xml:space="preserve">Transporte </v>
      </c>
    </row>
    <row r="17" spans="5:35" ht="15.6" thickTop="1" thickBot="1" x14ac:dyDescent="0.35">
      <c r="E17" s="33">
        <v>45693</v>
      </c>
      <c r="F17" s="30" t="s">
        <v>33</v>
      </c>
      <c r="G17" s="31" t="s">
        <v>170</v>
      </c>
      <c r="H17" s="31"/>
      <c r="I17" s="32">
        <v>40000</v>
      </c>
      <c r="J17" s="33">
        <v>45672</v>
      </c>
      <c r="K17" s="29" t="s">
        <v>135</v>
      </c>
      <c r="L17" s="30">
        <f t="shared" si="0"/>
        <v>2</v>
      </c>
      <c r="M17" s="30">
        <f t="shared" si="1"/>
        <v>2025</v>
      </c>
      <c r="O17" s="5">
        <f t="shared" si="2"/>
        <v>63500</v>
      </c>
      <c r="P17" s="6"/>
      <c r="Q17" s="4" t="str">
        <f t="shared" si="3"/>
        <v>Receita</v>
      </c>
      <c r="R17" s="4" t="str">
        <f t="shared" si="4"/>
        <v>Pago</v>
      </c>
      <c r="W17" s="4">
        <f t="shared" si="17"/>
        <v>15</v>
      </c>
      <c r="X17" s="4">
        <f t="shared" si="6"/>
        <v>1</v>
      </c>
      <c r="Y17" s="4" t="str">
        <f t="shared" si="7"/>
        <v>Janeiro</v>
      </c>
      <c r="AC17" s="20" t="str">
        <f t="shared" si="14"/>
        <v/>
      </c>
      <c r="AD17" s="21">
        <f t="shared" si="15"/>
        <v>0</v>
      </c>
      <c r="AE17" s="20" t="str">
        <f t="shared" si="16"/>
        <v/>
      </c>
      <c r="AG17" s="20" t="str">
        <f t="shared" ref="AG17:AG30" si="18">IF(F17="Receita",F17,"")</f>
        <v>Receita</v>
      </c>
      <c r="AH17" s="21">
        <f t="shared" ref="AH17:AH30" si="19">IF(F17="Receita",I17,0)</f>
        <v>40000</v>
      </c>
      <c r="AI17" s="20" t="str">
        <f t="shared" si="12"/>
        <v xml:space="preserve">Transporte </v>
      </c>
    </row>
    <row r="18" spans="5:35" ht="15.6" thickTop="1" thickBot="1" x14ac:dyDescent="0.35">
      <c r="E18" s="33">
        <v>45695</v>
      </c>
      <c r="F18" s="30" t="s">
        <v>33</v>
      </c>
      <c r="G18" s="31" t="s">
        <v>170</v>
      </c>
      <c r="H18" s="30"/>
      <c r="I18" s="32">
        <v>1500</v>
      </c>
      <c r="J18" s="33">
        <v>45673</v>
      </c>
      <c r="K18" s="29" t="s">
        <v>135</v>
      </c>
      <c r="L18" s="30">
        <f t="shared" si="0"/>
        <v>2</v>
      </c>
      <c r="M18" s="30">
        <f t="shared" si="1"/>
        <v>2025</v>
      </c>
      <c r="O18" s="5">
        <f t="shared" si="2"/>
        <v>65000</v>
      </c>
      <c r="P18" s="6"/>
      <c r="Q18" s="4" t="str">
        <f t="shared" si="3"/>
        <v>Receita</v>
      </c>
      <c r="R18" s="4" t="str">
        <f t="shared" si="4"/>
        <v>Pago</v>
      </c>
      <c r="W18" s="4">
        <f t="shared" si="17"/>
        <v>16</v>
      </c>
      <c r="X18" s="4">
        <f t="shared" si="6"/>
        <v>1</v>
      </c>
      <c r="Y18" s="4" t="str">
        <f t="shared" si="7"/>
        <v>Janeiro</v>
      </c>
      <c r="AC18" s="20" t="str">
        <f t="shared" si="14"/>
        <v/>
      </c>
      <c r="AD18" s="21">
        <f t="shared" si="15"/>
        <v>0</v>
      </c>
      <c r="AE18" s="20" t="str">
        <f t="shared" si="16"/>
        <v/>
      </c>
      <c r="AG18" s="20" t="str">
        <f t="shared" si="18"/>
        <v>Receita</v>
      </c>
      <c r="AH18" s="21">
        <f t="shared" si="19"/>
        <v>1500</v>
      </c>
      <c r="AI18" s="20" t="str">
        <f t="shared" si="12"/>
        <v xml:space="preserve">Transporte </v>
      </c>
    </row>
    <row r="19" spans="5:35" ht="15.6" thickTop="1" thickBot="1" x14ac:dyDescent="0.35">
      <c r="E19" s="33">
        <v>45703</v>
      </c>
      <c r="F19" s="30" t="s">
        <v>33</v>
      </c>
      <c r="G19" s="31" t="s">
        <v>170</v>
      </c>
      <c r="H19" s="31"/>
      <c r="I19" s="32">
        <v>2000</v>
      </c>
      <c r="J19" s="33">
        <v>45674</v>
      </c>
      <c r="K19" s="29" t="s">
        <v>135</v>
      </c>
      <c r="L19" s="30">
        <f t="shared" si="0"/>
        <v>2</v>
      </c>
      <c r="M19" s="30">
        <f t="shared" si="1"/>
        <v>2025</v>
      </c>
      <c r="O19" s="5">
        <f t="shared" si="2"/>
        <v>67000</v>
      </c>
      <c r="P19" s="6"/>
      <c r="Q19" s="4" t="str">
        <f t="shared" si="3"/>
        <v>Receita</v>
      </c>
      <c r="R19" s="4" t="str">
        <f t="shared" si="4"/>
        <v>Pago</v>
      </c>
      <c r="W19" s="4">
        <f t="shared" si="17"/>
        <v>17</v>
      </c>
      <c r="X19" s="4">
        <f t="shared" si="6"/>
        <v>1</v>
      </c>
      <c r="Y19" s="4" t="str">
        <f t="shared" si="7"/>
        <v>Janeiro</v>
      </c>
      <c r="AC19" s="20" t="str">
        <f t="shared" si="14"/>
        <v/>
      </c>
      <c r="AD19" s="21">
        <f t="shared" si="15"/>
        <v>0</v>
      </c>
      <c r="AE19" s="20" t="str">
        <f t="shared" si="16"/>
        <v/>
      </c>
      <c r="AG19" s="20" t="str">
        <f t="shared" si="18"/>
        <v>Receita</v>
      </c>
      <c r="AH19" s="21">
        <f t="shared" si="19"/>
        <v>2000</v>
      </c>
      <c r="AI19" s="20" t="str">
        <f t="shared" si="12"/>
        <v xml:space="preserve">Transporte </v>
      </c>
    </row>
    <row r="20" spans="5:35" ht="15.6" thickTop="1" thickBot="1" x14ac:dyDescent="0.35">
      <c r="E20" s="33">
        <v>45703</v>
      </c>
      <c r="F20" s="30" t="s">
        <v>33</v>
      </c>
      <c r="G20" s="31" t="s">
        <v>170</v>
      </c>
      <c r="H20" s="30"/>
      <c r="I20" s="32">
        <v>2500</v>
      </c>
      <c r="J20" s="33">
        <v>45675</v>
      </c>
      <c r="K20" s="29" t="s">
        <v>135</v>
      </c>
      <c r="L20" s="30">
        <f t="shared" si="0"/>
        <v>2</v>
      </c>
      <c r="M20" s="30">
        <f t="shared" si="1"/>
        <v>2025</v>
      </c>
      <c r="O20" s="5">
        <f t="shared" si="2"/>
        <v>69500</v>
      </c>
      <c r="P20" s="6"/>
      <c r="Q20" s="4" t="str">
        <f t="shared" si="3"/>
        <v>Receita</v>
      </c>
      <c r="R20" s="4" t="str">
        <f t="shared" si="4"/>
        <v>Pago</v>
      </c>
      <c r="W20" s="4">
        <f t="shared" si="17"/>
        <v>18</v>
      </c>
      <c r="X20" s="4">
        <f t="shared" si="6"/>
        <v>1</v>
      </c>
      <c r="Y20" s="4" t="str">
        <f t="shared" si="7"/>
        <v>Janeiro</v>
      </c>
      <c r="AC20" s="20" t="str">
        <f t="shared" si="14"/>
        <v/>
      </c>
      <c r="AD20" s="21">
        <f t="shared" si="15"/>
        <v>0</v>
      </c>
      <c r="AE20" s="20" t="str">
        <f t="shared" si="16"/>
        <v/>
      </c>
      <c r="AG20" s="20" t="str">
        <f t="shared" si="18"/>
        <v>Receita</v>
      </c>
      <c r="AH20" s="21">
        <f t="shared" si="19"/>
        <v>2500</v>
      </c>
      <c r="AI20" s="20" t="str">
        <f t="shared" si="12"/>
        <v xml:space="preserve">Transporte </v>
      </c>
    </row>
    <row r="21" spans="5:35" ht="15.6" thickTop="1" thickBot="1" x14ac:dyDescent="0.35">
      <c r="E21" s="33">
        <v>45704</v>
      </c>
      <c r="F21" s="30" t="s">
        <v>33</v>
      </c>
      <c r="G21" s="31" t="s">
        <v>7</v>
      </c>
      <c r="H21" s="31"/>
      <c r="I21" s="32">
        <v>2500</v>
      </c>
      <c r="J21" s="33">
        <v>45676</v>
      </c>
      <c r="K21" s="29" t="s">
        <v>135</v>
      </c>
      <c r="L21" s="30">
        <f t="shared" si="0"/>
        <v>2</v>
      </c>
      <c r="M21" s="30">
        <f t="shared" si="1"/>
        <v>2025</v>
      </c>
      <c r="O21" s="5">
        <f t="shared" si="2"/>
        <v>72000</v>
      </c>
      <c r="P21" s="6"/>
      <c r="Q21" s="4" t="str">
        <f t="shared" si="3"/>
        <v>Receita</v>
      </c>
      <c r="R21" s="4" t="str">
        <f t="shared" si="4"/>
        <v>Pago</v>
      </c>
      <c r="W21" s="4">
        <f t="shared" si="17"/>
        <v>19</v>
      </c>
      <c r="X21" s="4">
        <f t="shared" si="6"/>
        <v>1</v>
      </c>
      <c r="Y21" s="4" t="str">
        <f t="shared" si="7"/>
        <v>Janeiro</v>
      </c>
      <c r="AC21" s="20" t="str">
        <f t="shared" si="14"/>
        <v/>
      </c>
      <c r="AD21" s="21">
        <f t="shared" si="15"/>
        <v>0</v>
      </c>
      <c r="AE21" s="20" t="str">
        <f t="shared" si="16"/>
        <v/>
      </c>
      <c r="AG21" s="20" t="str">
        <f t="shared" si="18"/>
        <v>Receita</v>
      </c>
      <c r="AH21" s="21">
        <f t="shared" si="19"/>
        <v>2500</v>
      </c>
      <c r="AI21" s="20" t="str">
        <f t="shared" ref="AI21:AI30" si="20">IF(F21="Receita",G21,"")</f>
        <v>Cadernos</v>
      </c>
    </row>
    <row r="22" spans="5:35" ht="15.6" thickTop="1" thickBot="1" x14ac:dyDescent="0.35">
      <c r="E22" s="33">
        <v>45704</v>
      </c>
      <c r="F22" s="30" t="s">
        <v>33</v>
      </c>
      <c r="G22" s="31" t="s">
        <v>7</v>
      </c>
      <c r="H22" s="30"/>
      <c r="I22" s="32">
        <v>2500</v>
      </c>
      <c r="J22" s="33">
        <v>45677</v>
      </c>
      <c r="K22" s="29" t="s">
        <v>135</v>
      </c>
      <c r="L22" s="30">
        <f t="shared" si="0"/>
        <v>2</v>
      </c>
      <c r="M22" s="30">
        <f t="shared" si="1"/>
        <v>2025</v>
      </c>
      <c r="O22" s="5">
        <f t="shared" si="2"/>
        <v>74500</v>
      </c>
      <c r="P22" s="6"/>
      <c r="Q22" s="4" t="str">
        <f t="shared" si="3"/>
        <v>Receita</v>
      </c>
      <c r="R22" s="4" t="str">
        <f t="shared" si="4"/>
        <v>Pago</v>
      </c>
      <c r="W22" s="4">
        <f t="shared" si="17"/>
        <v>20</v>
      </c>
      <c r="X22" s="4">
        <f t="shared" si="6"/>
        <v>1</v>
      </c>
      <c r="Y22" s="4" t="str">
        <f t="shared" si="7"/>
        <v>Janeiro</v>
      </c>
      <c r="AC22" s="20" t="str">
        <f t="shared" si="14"/>
        <v/>
      </c>
      <c r="AD22" s="21">
        <f t="shared" si="15"/>
        <v>0</v>
      </c>
      <c r="AE22" s="20" t="str">
        <f t="shared" si="16"/>
        <v/>
      </c>
      <c r="AG22" s="20" t="str">
        <f t="shared" si="18"/>
        <v>Receita</v>
      </c>
      <c r="AH22" s="21">
        <f t="shared" si="19"/>
        <v>2500</v>
      </c>
      <c r="AI22" s="20" t="str">
        <f t="shared" si="20"/>
        <v>Cadernos</v>
      </c>
    </row>
    <row r="23" spans="5:35" ht="15.6" thickTop="1" thickBot="1" x14ac:dyDescent="0.35">
      <c r="E23" s="33">
        <v>45705</v>
      </c>
      <c r="F23" s="30" t="s">
        <v>33</v>
      </c>
      <c r="G23" s="31" t="s">
        <v>7</v>
      </c>
      <c r="H23" s="31"/>
      <c r="I23" s="32">
        <v>2500</v>
      </c>
      <c r="J23" s="33">
        <v>45678</v>
      </c>
      <c r="K23" s="29" t="s">
        <v>135</v>
      </c>
      <c r="L23" s="30">
        <f t="shared" si="0"/>
        <v>2</v>
      </c>
      <c r="M23" s="30">
        <f t="shared" si="1"/>
        <v>2025</v>
      </c>
      <c r="O23" s="5">
        <f t="shared" si="2"/>
        <v>77000</v>
      </c>
      <c r="P23" s="6"/>
      <c r="Q23" s="4" t="str">
        <f t="shared" si="3"/>
        <v>Receita</v>
      </c>
      <c r="R23" s="4" t="str">
        <f t="shared" si="4"/>
        <v>Pago</v>
      </c>
      <c r="W23" s="4">
        <f t="shared" si="17"/>
        <v>21</v>
      </c>
      <c r="X23" s="4">
        <f t="shared" si="6"/>
        <v>1</v>
      </c>
      <c r="Y23" s="4" t="str">
        <f t="shared" si="7"/>
        <v>Janeiro</v>
      </c>
      <c r="AC23" s="20" t="str">
        <f t="shared" si="14"/>
        <v/>
      </c>
      <c r="AD23" s="21">
        <f t="shared" si="15"/>
        <v>0</v>
      </c>
      <c r="AE23" s="20" t="str">
        <f t="shared" si="16"/>
        <v/>
      </c>
      <c r="AG23" s="20" t="str">
        <f t="shared" si="18"/>
        <v>Receita</v>
      </c>
      <c r="AH23" s="21">
        <f t="shared" si="19"/>
        <v>2500</v>
      </c>
      <c r="AI23" s="20" t="str">
        <f t="shared" si="20"/>
        <v>Cadernos</v>
      </c>
    </row>
    <row r="24" spans="5:35" ht="15.6" thickTop="1" thickBot="1" x14ac:dyDescent="0.35">
      <c r="E24" s="33">
        <v>45706</v>
      </c>
      <c r="F24" s="30" t="s">
        <v>33</v>
      </c>
      <c r="G24" s="31" t="s">
        <v>7</v>
      </c>
      <c r="H24" s="30"/>
      <c r="I24" s="32">
        <v>2500</v>
      </c>
      <c r="J24" s="33">
        <v>45679</v>
      </c>
      <c r="K24" s="29" t="s">
        <v>135</v>
      </c>
      <c r="L24" s="30">
        <f t="shared" si="0"/>
        <v>2</v>
      </c>
      <c r="M24" s="30">
        <f t="shared" si="1"/>
        <v>2025</v>
      </c>
      <c r="O24" s="5">
        <f t="shared" si="2"/>
        <v>79500</v>
      </c>
      <c r="P24" s="6"/>
      <c r="Q24" s="4" t="str">
        <f t="shared" si="3"/>
        <v>Receita</v>
      </c>
      <c r="R24" s="4" t="str">
        <f t="shared" si="4"/>
        <v>Pago</v>
      </c>
      <c r="W24" s="4">
        <f t="shared" si="17"/>
        <v>22</v>
      </c>
      <c r="X24" s="4">
        <f t="shared" si="6"/>
        <v>1</v>
      </c>
      <c r="Y24" s="4" t="str">
        <f t="shared" si="7"/>
        <v>Janeiro</v>
      </c>
      <c r="AC24" s="20" t="str">
        <f t="shared" si="14"/>
        <v/>
      </c>
      <c r="AD24" s="21">
        <f t="shared" si="15"/>
        <v>0</v>
      </c>
      <c r="AE24" s="20" t="str">
        <f t="shared" si="16"/>
        <v/>
      </c>
      <c r="AG24" s="20" t="str">
        <f t="shared" si="18"/>
        <v>Receita</v>
      </c>
      <c r="AH24" s="21">
        <f t="shared" si="19"/>
        <v>2500</v>
      </c>
      <c r="AI24" s="20" t="str">
        <f t="shared" si="20"/>
        <v>Cadernos</v>
      </c>
    </row>
    <row r="25" spans="5:35" ht="15.6" thickTop="1" thickBot="1" x14ac:dyDescent="0.35">
      <c r="E25" s="33">
        <v>45707</v>
      </c>
      <c r="F25" s="30" t="s">
        <v>118</v>
      </c>
      <c r="G25" s="31" t="s">
        <v>84</v>
      </c>
      <c r="H25" s="31"/>
      <c r="I25" s="32">
        <v>2500</v>
      </c>
      <c r="J25" s="33">
        <v>45680</v>
      </c>
      <c r="K25" s="29" t="s">
        <v>136</v>
      </c>
      <c r="L25" s="30">
        <f t="shared" si="0"/>
        <v>2</v>
      </c>
      <c r="M25" s="30">
        <f t="shared" si="1"/>
        <v>2025</v>
      </c>
      <c r="O25" s="5">
        <f t="shared" si="2"/>
        <v>77000</v>
      </c>
      <c r="P25" s="6"/>
      <c r="Q25" s="4" t="str">
        <f t="shared" si="3"/>
        <v>Despesa</v>
      </c>
      <c r="R25" s="4" t="str">
        <f t="shared" si="4"/>
        <v>Pago</v>
      </c>
      <c r="W25" s="4">
        <f t="shared" si="17"/>
        <v>23</v>
      </c>
      <c r="X25" s="4">
        <f t="shared" si="6"/>
        <v>1</v>
      </c>
      <c r="Y25" s="4" t="str">
        <f t="shared" si="7"/>
        <v>Janeiro</v>
      </c>
      <c r="AC25" s="20" t="str">
        <f t="shared" si="14"/>
        <v>Despesa</v>
      </c>
      <c r="AD25" s="21">
        <f t="shared" si="15"/>
        <v>2500</v>
      </c>
      <c r="AE25" s="20" t="str">
        <f t="shared" si="16"/>
        <v>Serviços gráficos</v>
      </c>
      <c r="AG25" s="20" t="str">
        <f t="shared" si="18"/>
        <v/>
      </c>
      <c r="AH25" s="21">
        <f t="shared" si="19"/>
        <v>0</v>
      </c>
      <c r="AI25" s="20" t="str">
        <f t="shared" si="20"/>
        <v/>
      </c>
    </row>
    <row r="26" spans="5:35" ht="15.6" thickTop="1" thickBot="1" x14ac:dyDescent="0.35">
      <c r="E26" s="33"/>
      <c r="F26" s="30"/>
      <c r="G26" s="31"/>
      <c r="H26" s="30"/>
      <c r="I26" s="32"/>
      <c r="J26" s="33"/>
      <c r="K26" s="29"/>
      <c r="L26" s="30" t="str">
        <f t="shared" si="0"/>
        <v/>
      </c>
      <c r="M26" s="30" t="str">
        <f t="shared" si="1"/>
        <v/>
      </c>
      <c r="O26" s="5">
        <f t="shared" si="2"/>
        <v>77000</v>
      </c>
      <c r="P26" s="6"/>
      <c r="Q26" s="4" t="str">
        <f t="shared" si="3"/>
        <v/>
      </c>
      <c r="R26" s="4" t="str">
        <f t="shared" si="4"/>
        <v>Não pago</v>
      </c>
      <c r="W26" s="4" t="str">
        <f t="shared" si="17"/>
        <v/>
      </c>
      <c r="X26" s="4" t="str">
        <f t="shared" si="6"/>
        <v/>
      </c>
      <c r="Y26" s="4" t="str">
        <f t="shared" si="7"/>
        <v/>
      </c>
      <c r="AC26" s="20" t="str">
        <f t="shared" si="14"/>
        <v/>
      </c>
      <c r="AD26" s="21">
        <f t="shared" si="15"/>
        <v>0</v>
      </c>
      <c r="AE26" s="20" t="str">
        <f t="shared" si="16"/>
        <v/>
      </c>
      <c r="AG26" s="20" t="str">
        <f t="shared" si="18"/>
        <v/>
      </c>
      <c r="AH26" s="21">
        <f t="shared" si="19"/>
        <v>0</v>
      </c>
      <c r="AI26" s="20" t="str">
        <f t="shared" si="20"/>
        <v/>
      </c>
    </row>
    <row r="27" spans="5:35" ht="15.6" thickTop="1" thickBot="1" x14ac:dyDescent="0.35">
      <c r="E27" s="33"/>
      <c r="F27" s="30"/>
      <c r="G27" s="31"/>
      <c r="H27" s="31"/>
      <c r="I27" s="32"/>
      <c r="J27" s="33"/>
      <c r="K27" s="29"/>
      <c r="L27" s="30" t="str">
        <f t="shared" si="0"/>
        <v/>
      </c>
      <c r="M27" s="30" t="str">
        <f t="shared" si="1"/>
        <v/>
      </c>
      <c r="O27" s="5">
        <f t="shared" si="2"/>
        <v>77000</v>
      </c>
      <c r="Q27" s="4" t="str">
        <f t="shared" si="3"/>
        <v/>
      </c>
      <c r="R27" s="4" t="str">
        <f t="shared" si="4"/>
        <v>Não pago</v>
      </c>
      <c r="W27" s="4" t="str">
        <f t="shared" si="17"/>
        <v/>
      </c>
      <c r="X27" s="4" t="str">
        <f t="shared" si="6"/>
        <v/>
      </c>
      <c r="Y27" s="4" t="str">
        <f t="shared" si="7"/>
        <v/>
      </c>
      <c r="AC27" s="20" t="str">
        <f t="shared" si="14"/>
        <v/>
      </c>
      <c r="AD27" s="21">
        <f t="shared" si="15"/>
        <v>0</v>
      </c>
      <c r="AE27" s="20" t="str">
        <f t="shared" si="16"/>
        <v/>
      </c>
      <c r="AG27" s="20" t="str">
        <f t="shared" si="18"/>
        <v/>
      </c>
      <c r="AH27" s="21">
        <f t="shared" si="19"/>
        <v>0</v>
      </c>
      <c r="AI27" s="20" t="str">
        <f t="shared" si="20"/>
        <v/>
      </c>
    </row>
    <row r="28" spans="5:35" ht="15.6" thickTop="1" thickBot="1" x14ac:dyDescent="0.35">
      <c r="E28" s="33"/>
      <c r="F28" s="30"/>
      <c r="G28" s="31"/>
      <c r="H28" s="30"/>
      <c r="I28" s="32"/>
      <c r="J28" s="33"/>
      <c r="K28" s="29"/>
      <c r="L28" s="30" t="str">
        <f t="shared" si="0"/>
        <v/>
      </c>
      <c r="M28" s="30" t="str">
        <f t="shared" si="1"/>
        <v/>
      </c>
      <c r="O28" s="5">
        <f t="shared" si="2"/>
        <v>77000</v>
      </c>
      <c r="Q28" s="4" t="str">
        <f t="shared" si="3"/>
        <v/>
      </c>
      <c r="R28" s="4" t="str">
        <f t="shared" si="4"/>
        <v>Não pago</v>
      </c>
      <c r="W28" s="4" t="str">
        <f t="shared" si="17"/>
        <v/>
      </c>
      <c r="X28" s="4" t="str">
        <f t="shared" si="6"/>
        <v/>
      </c>
      <c r="Y28" s="4" t="str">
        <f t="shared" si="7"/>
        <v/>
      </c>
      <c r="AC28" s="20" t="str">
        <f t="shared" si="14"/>
        <v/>
      </c>
      <c r="AD28" s="21">
        <f t="shared" si="15"/>
        <v>0</v>
      </c>
      <c r="AE28" s="20" t="str">
        <f t="shared" si="16"/>
        <v/>
      </c>
      <c r="AG28" s="20" t="str">
        <f t="shared" si="18"/>
        <v/>
      </c>
      <c r="AH28" s="21">
        <f t="shared" si="19"/>
        <v>0</v>
      </c>
      <c r="AI28" s="20" t="str">
        <f t="shared" si="20"/>
        <v/>
      </c>
    </row>
    <row r="29" spans="5:35" ht="15.6" thickTop="1" thickBot="1" x14ac:dyDescent="0.35">
      <c r="E29" s="33"/>
      <c r="F29" s="30"/>
      <c r="G29" s="31"/>
      <c r="H29" s="31"/>
      <c r="I29" s="32"/>
      <c r="J29" s="33"/>
      <c r="K29" s="29"/>
      <c r="L29" s="30" t="str">
        <f t="shared" si="0"/>
        <v/>
      </c>
      <c r="M29" s="30" t="str">
        <f t="shared" si="1"/>
        <v/>
      </c>
      <c r="O29" s="5">
        <f t="shared" si="2"/>
        <v>77000</v>
      </c>
      <c r="Q29" s="4" t="str">
        <f t="shared" si="3"/>
        <v/>
      </c>
      <c r="R29" s="4" t="str">
        <f t="shared" si="4"/>
        <v>Não pago</v>
      </c>
      <c r="W29" s="4" t="str">
        <f t="shared" si="17"/>
        <v/>
      </c>
      <c r="X29" s="4" t="str">
        <f t="shared" si="6"/>
        <v/>
      </c>
      <c r="Y29" s="4" t="str">
        <f t="shared" si="7"/>
        <v/>
      </c>
      <c r="AC29" s="20" t="str">
        <f t="shared" si="14"/>
        <v/>
      </c>
      <c r="AD29" s="21">
        <f t="shared" si="15"/>
        <v>0</v>
      </c>
      <c r="AE29" s="20" t="str">
        <f t="shared" si="16"/>
        <v/>
      </c>
      <c r="AG29" s="20" t="str">
        <f t="shared" si="18"/>
        <v/>
      </c>
      <c r="AH29" s="21">
        <f t="shared" si="19"/>
        <v>0</v>
      </c>
      <c r="AI29" s="20" t="str">
        <f t="shared" si="20"/>
        <v/>
      </c>
    </row>
    <row r="30" spans="5:35" ht="15.6" thickTop="1" thickBot="1" x14ac:dyDescent="0.35">
      <c r="E30" s="33"/>
      <c r="F30" s="30"/>
      <c r="G30" s="31"/>
      <c r="H30" s="30"/>
      <c r="I30" s="32"/>
      <c r="J30" s="33"/>
      <c r="K30" s="29"/>
      <c r="L30" s="30" t="str">
        <f t="shared" si="0"/>
        <v/>
      </c>
      <c r="M30" s="30" t="str">
        <f t="shared" si="1"/>
        <v/>
      </c>
      <c r="O30" s="5">
        <f t="shared" si="2"/>
        <v>77000</v>
      </c>
      <c r="Q30" s="4" t="str">
        <f t="shared" si="3"/>
        <v/>
      </c>
      <c r="R30" s="4" t="str">
        <f t="shared" si="4"/>
        <v>Não pago</v>
      </c>
      <c r="W30" s="4" t="str">
        <f t="shared" si="17"/>
        <v/>
      </c>
      <c r="X30" s="4" t="str">
        <f t="shared" si="6"/>
        <v/>
      </c>
      <c r="Y30" s="4" t="str">
        <f t="shared" si="7"/>
        <v/>
      </c>
      <c r="AC30" s="20" t="str">
        <f t="shared" si="14"/>
        <v/>
      </c>
      <c r="AD30" s="21">
        <f t="shared" si="15"/>
        <v>0</v>
      </c>
      <c r="AE30" s="20" t="str">
        <f t="shared" si="16"/>
        <v/>
      </c>
      <c r="AG30" s="20" t="str">
        <f t="shared" si="18"/>
        <v/>
      </c>
      <c r="AH30" s="21">
        <f t="shared" si="19"/>
        <v>0</v>
      </c>
      <c r="AI30" s="20" t="str">
        <f t="shared" si="20"/>
        <v/>
      </c>
    </row>
    <row r="31" spans="5:35" ht="15" thickTop="1" x14ac:dyDescent="0.3">
      <c r="Q31" s="4" t="str">
        <f t="shared" si="3"/>
        <v/>
      </c>
      <c r="W31" s="4" t="str">
        <f t="shared" si="17"/>
        <v/>
      </c>
      <c r="X31" s="4" t="str">
        <f t="shared" si="6"/>
        <v/>
      </c>
      <c r="Y31" s="4" t="str">
        <f t="shared" si="7"/>
        <v/>
      </c>
    </row>
    <row r="32" spans="5:35" hidden="1" x14ac:dyDescent="0.3">
      <c r="W32" s="4" t="str">
        <f t="shared" si="17"/>
        <v/>
      </c>
      <c r="X32" s="4" t="str">
        <f t="shared" si="6"/>
        <v/>
      </c>
    </row>
    <row r="33" spans="23:23" hidden="1" x14ac:dyDescent="0.3">
      <c r="W33" s="4" t="str">
        <f t="shared" si="17"/>
        <v/>
      </c>
    </row>
  </sheetData>
  <autoFilter ref="E3:M30" xr:uid="{D00B6826-3381-42B0-B1C0-9AF2B99A4BB4}"/>
  <phoneticPr fontId="7" type="noConversion"/>
  <conditionalFormatting sqref="F4:F30">
    <cfRule type="containsText" dxfId="3" priority="1" operator="containsText" text="Receita">
      <formula>NOT(ISERROR(SEARCH("Receita",F4)))</formula>
    </cfRule>
    <cfRule type="containsText" dxfId="2" priority="2" operator="containsText" text="Receita">
      <formula>NOT(ISERROR(SEARCH("Receita",F4)))</formula>
    </cfRule>
    <cfRule type="containsText" dxfId="1" priority="3" operator="containsText" text="Receita">
      <formula>NOT(ISERROR(SEARCH("Receita",F4)))</formula>
    </cfRule>
    <cfRule type="containsText" dxfId="0" priority="4" operator="containsText" text="Despesa">
      <formula>NOT(ISERROR(SEARCH("Despesa",F4)))</formula>
    </cfRule>
  </conditionalFormatting>
  <dataValidations count="3">
    <dataValidation type="list" allowBlank="1" showInputMessage="1" showErrorMessage="1" sqref="F4:F30" xr:uid="{A04D3706-2EA5-4E33-AF77-54B3ED727764}">
      <formula1>"Receita,Despesa"</formula1>
    </dataValidation>
    <dataValidation type="list" allowBlank="1" showInputMessage="1" showErrorMessage="1" sqref="G4:G30" xr:uid="{DD856DA0-6E83-440D-9D14-7C858117702D}">
      <formula1>INDIRECT($F4)</formula1>
    </dataValidation>
    <dataValidation type="list" allowBlank="1" showInputMessage="1" showErrorMessage="1" sqref="K4:K30" xr:uid="{C6A1CFB9-E740-45DF-BA5E-8BB4487A5B38}">
      <formula1>$AK$4:$AK$5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9A7-F124-4F5B-84F7-7C12928A81FE}">
  <dimension ref="A1:T43"/>
  <sheetViews>
    <sheetView showGridLines="0" showRowColHeaders="0" zoomScale="90" zoomScaleNormal="90" workbookViewId="0">
      <selection activeCell="E6" sqref="E6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12" bestFit="1" customWidth="1"/>
    <col min="6" max="6" width="14.109375" style="3" bestFit="1" customWidth="1"/>
    <col min="7" max="7" width="13.77734375" style="3" bestFit="1" customWidth="1"/>
    <col min="8" max="8" width="15.33203125" style="3" bestFit="1" customWidth="1"/>
    <col min="9" max="9" width="10.77734375" customWidth="1"/>
    <col min="10" max="10" width="8.88671875" style="4" hidden="1" customWidth="1"/>
    <col min="11" max="11" width="13.21875" bestFit="1" customWidth="1"/>
    <col min="12" max="12" width="15.33203125" bestFit="1" customWidth="1"/>
    <col min="13" max="14" width="14.109375" bestFit="1" customWidth="1"/>
    <col min="15" max="15" width="8.88671875" style="4" customWidth="1"/>
    <col min="16" max="16384" width="8.88671875" style="4" hidden="1"/>
  </cols>
  <sheetData>
    <row r="1" spans="5:20" x14ac:dyDescent="0.3"/>
    <row r="2" spans="5:20" x14ac:dyDescent="0.3"/>
    <row r="3" spans="5:20" ht="13.8" hidden="1" customHeight="1" x14ac:dyDescent="0.3"/>
    <row r="4" spans="5:20" ht="18" x14ac:dyDescent="0.35">
      <c r="E4" s="91" t="s">
        <v>181</v>
      </c>
      <c r="F4" s="91"/>
    </row>
    <row r="5" spans="5:20" ht="15" thickBot="1" x14ac:dyDescent="0.35">
      <c r="E5" s="24"/>
      <c r="F5" s="25"/>
    </row>
    <row r="6" spans="5:20" ht="29.4" customHeight="1" thickTop="1" thickBot="1" x14ac:dyDescent="0.35">
      <c r="E6" s="59" t="s">
        <v>119</v>
      </c>
      <c r="F6" s="58">
        <v>2025</v>
      </c>
    </row>
    <row r="7" spans="5:20" ht="13.8" hidden="1" customHeight="1" thickTop="1" x14ac:dyDescent="0.3">
      <c r="Q7" s="57"/>
      <c r="R7" s="57"/>
      <c r="S7" s="57"/>
      <c r="T7" s="57"/>
    </row>
    <row r="8" spans="5:20" ht="15.6" thickTop="1" thickBot="1" x14ac:dyDescent="0.35"/>
    <row r="9" spans="5:20" ht="34.200000000000003" customHeight="1" thickTop="1" thickBot="1" x14ac:dyDescent="0.35">
      <c r="E9" s="69" t="s">
        <v>144</v>
      </c>
      <c r="F9" s="70" t="s">
        <v>33</v>
      </c>
      <c r="G9" s="71" t="s">
        <v>118</v>
      </c>
      <c r="H9" s="72" t="s">
        <v>167</v>
      </c>
      <c r="K9" s="73" t="s">
        <v>142</v>
      </c>
      <c r="L9" s="74" t="s">
        <v>33</v>
      </c>
      <c r="M9" s="73" t="s">
        <v>118</v>
      </c>
      <c r="N9" s="74" t="s">
        <v>145</v>
      </c>
    </row>
    <row r="10" spans="5:20" ht="15.6" thickTop="1" thickBot="1" x14ac:dyDescent="0.35">
      <c r="E10" s="47">
        <f>IF(ROW(A1)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ROW(A1)))</f>
        <v>45658</v>
      </c>
      <c r="F10" s="48">
        <f>SUMIFS('Lançamento Diário'!I:I,'Lançamento Diário'!E:E,'Fluxo de Caixa Diário'!E10,'Lançamento Diário'!F:F,"Receita")</f>
        <v>0</v>
      </c>
      <c r="G10" s="49">
        <f>SUMIFS('Lançamento Diário'!I:I, 'Lançamento Diário'!E:E, 'Fluxo de Caixa Diário'!E10, 'Lançamento Diário'!F:F, "Despesa")</f>
        <v>0</v>
      </c>
      <c r="H10" s="53">
        <f>F10-G10</f>
        <v>0</v>
      </c>
      <c r="J10" s="4">
        <v>1</v>
      </c>
      <c r="K10" s="54" t="s">
        <v>119</v>
      </c>
      <c r="L10" s="48">
        <f>SUMIFS('Lançamento Diário'!I:I, 'Lançamento Diário'!M:M, 'Fluxo de Caixa Diário'!$F$6, 'Lançamento Diário'!L:L, 'Fluxo de Caixa Diário'!J10, 'Lançamento Diário'!F:F, "Receita")</f>
        <v>26000</v>
      </c>
      <c r="M10" s="49">
        <f>SUMIFS('Lançamento Diário'!I:I, 'Lançamento Diário'!M:M, 'Fluxo de Caixa Diário'!$F$6, 'Lançamento Diário'!L:L, 'Fluxo de Caixa Diário'!J10, 'Lançamento Diário'!F:F, "Despesa")</f>
        <v>27500</v>
      </c>
      <c r="N10" s="53">
        <f>L10-M10</f>
        <v>-1500</v>
      </c>
    </row>
    <row r="11" spans="5:20" ht="15.6" thickTop="1" thickBot="1" x14ac:dyDescent="0.35">
      <c r="E11" s="47">
        <f>IF(ROW(A2)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ROW(A2)))</f>
        <v>45659</v>
      </c>
      <c r="F11" s="48">
        <f>SUMIFS('Lançamento Diário'!I:I,'Lançamento Diário'!E:E,'Fluxo de Caixa Diário'!E11,'Lançamento Diário'!F:F,"Receita")</f>
        <v>0</v>
      </c>
      <c r="G11" s="49">
        <f>SUMIFS('Lançamento Diário'!I:I, 'Lançamento Diário'!E:E, 'Fluxo de Caixa Diário'!E11, 'Lançamento Diário'!F:F, "Despesa")</f>
        <v>0</v>
      </c>
      <c r="H11" s="53">
        <f t="shared" ref="H11:H40" si="0">F11-G11</f>
        <v>0</v>
      </c>
      <c r="J11" s="4">
        <v>2</v>
      </c>
      <c r="K11" s="54" t="s">
        <v>120</v>
      </c>
      <c r="L11" s="48">
        <f>SUMIFS('Lançamento Diário'!I:I, 'Lançamento Diário'!M:M, 'Fluxo de Caixa Diário'!$F$6, 'Lançamento Diário'!L:L, 'Fluxo de Caixa Diário'!J11, 'Lançamento Diário'!F:F, "Receita")</f>
        <v>95000</v>
      </c>
      <c r="M11" s="49">
        <f>SUMIFS('Lançamento Diário'!I:I, 'Lançamento Diário'!M:M, 'Fluxo de Caixa Diário'!$F$6, 'Lançamento Diário'!L:L, 'Fluxo de Caixa Diário'!J11, 'Lançamento Diário'!F:F, "Despesa")</f>
        <v>17500</v>
      </c>
      <c r="N11" s="53">
        <f t="shared" ref="N11:N21" si="1">L11-M11</f>
        <v>77500</v>
      </c>
    </row>
    <row r="12" spans="5:20" ht="15.6" thickTop="1" thickBot="1" x14ac:dyDescent="0.35">
      <c r="E12" s="47">
        <f>IF(ROW(A3)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ROW(A3)))</f>
        <v>45660</v>
      </c>
      <c r="F12" s="48">
        <f>SUMIFS('Lançamento Diário'!I:I,'Lançamento Diário'!E:E,'Fluxo de Caixa Diário'!E12,'Lançamento Diário'!F:F,"Receita")</f>
        <v>0</v>
      </c>
      <c r="G12" s="49">
        <f>SUMIFS('Lançamento Diário'!I:I, 'Lançamento Diário'!E:E, 'Fluxo de Caixa Diário'!E12, 'Lançamento Diário'!F:F, "Despesa")</f>
        <v>0</v>
      </c>
      <c r="H12" s="53">
        <f t="shared" si="0"/>
        <v>0</v>
      </c>
      <c r="J12" s="4">
        <v>3</v>
      </c>
      <c r="K12" s="54" t="s">
        <v>121</v>
      </c>
      <c r="L12" s="48">
        <f>SUMIFS('Lançamento Diário'!I:I, 'Lançamento Diário'!M:M, 'Fluxo de Caixa Diário'!$F$6, 'Lançamento Diário'!L:L, 'Fluxo de Caixa Diário'!J12, 'Lançamento Diário'!F:F, "Receita")</f>
        <v>0</v>
      </c>
      <c r="M12" s="49">
        <f>SUMIFS('Lançamento Diário'!I:I, 'Lançamento Diário'!M:M, 'Fluxo de Caixa Diário'!$F$6, 'Lançamento Diário'!L:L, 'Fluxo de Caixa Diário'!J12, 'Lançamento Diário'!F:F, "Despesa")</f>
        <v>0</v>
      </c>
      <c r="N12" s="53">
        <f t="shared" si="1"/>
        <v>0</v>
      </c>
    </row>
    <row r="13" spans="5:20" ht="15.6" thickTop="1" thickBot="1" x14ac:dyDescent="0.35">
      <c r="E13" s="47">
        <f>IF(ROW(A4)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ROW(A4)))</f>
        <v>45661</v>
      </c>
      <c r="F13" s="48">
        <f>SUMIFS('Lançamento Diário'!I:I,'Lançamento Diário'!E:E,'Fluxo de Caixa Diário'!E13,'Lançamento Diário'!F:F,"Receita")</f>
        <v>8000</v>
      </c>
      <c r="G13" s="49">
        <f>SUMIFS('Lançamento Diário'!I:I, 'Lançamento Diário'!E:E, 'Fluxo de Caixa Diário'!E13, 'Lançamento Diário'!F:F, "Despesa")</f>
        <v>27500</v>
      </c>
      <c r="H13" s="53">
        <f t="shared" si="0"/>
        <v>-19500</v>
      </c>
      <c r="J13" s="4">
        <v>4</v>
      </c>
      <c r="K13" s="54" t="s">
        <v>122</v>
      </c>
      <c r="L13" s="48">
        <f>SUMIFS('Lançamento Diário'!I:I, 'Lançamento Diário'!M:M, 'Fluxo de Caixa Diário'!$F$6, 'Lançamento Diário'!L:L, 'Fluxo de Caixa Diário'!J13, 'Lançamento Diário'!F:F, "Receita")</f>
        <v>0</v>
      </c>
      <c r="M13" s="49">
        <f>SUMIFS('Lançamento Diário'!I:I, 'Lançamento Diário'!M:M, 'Fluxo de Caixa Diário'!$F$6, 'Lançamento Diário'!L:L, 'Fluxo de Caixa Diário'!J13, 'Lançamento Diário'!F:F, "Despesa")</f>
        <v>0</v>
      </c>
      <c r="N13" s="53">
        <f t="shared" si="1"/>
        <v>0</v>
      </c>
    </row>
    <row r="14" spans="5:20" ht="15.6" thickTop="1" thickBot="1" x14ac:dyDescent="0.35">
      <c r="E14" s="47">
        <f>IF(ROW(A5)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ROW(A5)))</f>
        <v>45662</v>
      </c>
      <c r="F14" s="48">
        <f>SUMIFS('Lançamento Diário'!I:I,'Lançamento Diário'!E:E,'Fluxo de Caixa Diário'!E14,'Lançamento Diário'!F:F,"Receita")</f>
        <v>0</v>
      </c>
      <c r="G14" s="49">
        <f>SUMIFS('Lançamento Diário'!I:I, 'Lançamento Diário'!E:E, 'Fluxo de Caixa Diário'!E14, 'Lançamento Diário'!F:F, "Despesa")</f>
        <v>0</v>
      </c>
      <c r="H14" s="53">
        <f t="shared" si="0"/>
        <v>0</v>
      </c>
      <c r="J14" s="4">
        <v>5</v>
      </c>
      <c r="K14" s="54" t="s">
        <v>123</v>
      </c>
      <c r="L14" s="48">
        <f>SUMIFS('Lançamento Diário'!I:I, 'Lançamento Diário'!M:M, 'Fluxo de Caixa Diário'!$F$6, 'Lançamento Diário'!L:L, 'Fluxo de Caixa Diário'!J14, 'Lançamento Diário'!F:F, "Receita")</f>
        <v>0</v>
      </c>
      <c r="M14" s="49">
        <f>SUMIFS('Lançamento Diário'!I:I, 'Lançamento Diário'!M:M, 'Fluxo de Caixa Diário'!$F$6, 'Lançamento Diário'!L:L, 'Fluxo de Caixa Diário'!J14, 'Lançamento Diário'!F:F, "Despesa")</f>
        <v>0</v>
      </c>
      <c r="N14" s="53">
        <f t="shared" si="1"/>
        <v>0</v>
      </c>
    </row>
    <row r="15" spans="5:20" ht="15.6" thickTop="1" thickBot="1" x14ac:dyDescent="0.35">
      <c r="E15" s="47">
        <f>IF(ROW(A6)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ROW(A6)))</f>
        <v>45663</v>
      </c>
      <c r="F15" s="48">
        <f>SUMIFS('Lançamento Diário'!I:I,'Lançamento Diário'!E:E,'Fluxo de Caixa Diário'!E15,'Lançamento Diário'!F:F,"Receita")</f>
        <v>0</v>
      </c>
      <c r="G15" s="49">
        <f>SUMIFS('Lançamento Diário'!I:I, 'Lançamento Diário'!E:E, 'Fluxo de Caixa Diário'!E15, 'Lançamento Diário'!F:F, "Despesa")</f>
        <v>0</v>
      </c>
      <c r="H15" s="53">
        <f t="shared" si="0"/>
        <v>0</v>
      </c>
      <c r="J15" s="4">
        <v>6</v>
      </c>
      <c r="K15" s="54" t="s">
        <v>124</v>
      </c>
      <c r="L15" s="48">
        <f>SUMIFS('Lançamento Diário'!I:I, 'Lançamento Diário'!M:M, 'Fluxo de Caixa Diário'!$F$6, 'Lançamento Diário'!L:L, 'Fluxo de Caixa Diário'!J15, 'Lançamento Diário'!F:F, "Receita")</f>
        <v>0</v>
      </c>
      <c r="M15" s="49">
        <f>SUMIFS('Lançamento Diário'!I:I, 'Lançamento Diário'!M:M, 'Fluxo de Caixa Diário'!$F$6, 'Lançamento Diário'!L:L, 'Fluxo de Caixa Diário'!J15, 'Lançamento Diário'!F:F, "Despesa")</f>
        <v>0</v>
      </c>
      <c r="N15" s="53">
        <f t="shared" si="1"/>
        <v>0</v>
      </c>
    </row>
    <row r="16" spans="5:20" ht="15.6" thickTop="1" thickBot="1" x14ac:dyDescent="0.35">
      <c r="E16" s="47">
        <f>IF(ROW(A7)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ROW(A7)))</f>
        <v>45664</v>
      </c>
      <c r="F16" s="48">
        <f>SUMIFS('Lançamento Diário'!I:I,'Lançamento Diário'!E:E,'Fluxo de Caixa Diário'!E16,'Lançamento Diário'!F:F,"Receita")</f>
        <v>6000</v>
      </c>
      <c r="G16" s="49">
        <f>SUMIFS('Lançamento Diário'!I:I, 'Lançamento Diário'!E:E, 'Fluxo de Caixa Diário'!E16, 'Lançamento Diário'!F:F, "Despesa")</f>
        <v>0</v>
      </c>
      <c r="H16" s="53">
        <f t="shared" si="0"/>
        <v>6000</v>
      </c>
      <c r="J16" s="4">
        <v>7</v>
      </c>
      <c r="K16" s="54" t="s">
        <v>125</v>
      </c>
      <c r="L16" s="48">
        <f>SUMIFS('Lançamento Diário'!I:I, 'Lançamento Diário'!M:M, 'Fluxo de Caixa Diário'!$F$6, 'Lançamento Diário'!L:L, 'Fluxo de Caixa Diário'!J16, 'Lançamento Diário'!F:F, "Receita")</f>
        <v>0</v>
      </c>
      <c r="M16" s="49">
        <f>SUMIFS('Lançamento Diário'!I:I, 'Lançamento Diário'!M:M, 'Fluxo de Caixa Diário'!$F$6, 'Lançamento Diário'!L:L, 'Fluxo de Caixa Diário'!J16, 'Lançamento Diário'!F:F, "Despesa")</f>
        <v>0</v>
      </c>
      <c r="N16" s="53">
        <f t="shared" si="1"/>
        <v>0</v>
      </c>
    </row>
    <row r="17" spans="5:14" ht="15.6" thickTop="1" thickBot="1" x14ac:dyDescent="0.35">
      <c r="E17" s="47">
        <f>IF(ROW(A8)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ROW(A8)))</f>
        <v>45665</v>
      </c>
      <c r="F17" s="48">
        <f>SUMIFS('Lançamento Diário'!I:I,'Lançamento Diário'!E:E,'Fluxo de Caixa Diário'!E17,'Lançamento Diário'!F:F,"Receita")</f>
        <v>6000</v>
      </c>
      <c r="G17" s="49">
        <f>SUMIFS('Lançamento Diário'!I:I, 'Lançamento Diário'!E:E, 'Fluxo de Caixa Diário'!E17, 'Lançamento Diário'!F:F, "Despesa")</f>
        <v>0</v>
      </c>
      <c r="H17" s="53">
        <f t="shared" si="0"/>
        <v>6000</v>
      </c>
      <c r="J17" s="4">
        <v>8</v>
      </c>
      <c r="K17" s="54" t="s">
        <v>126</v>
      </c>
      <c r="L17" s="48">
        <f>SUMIFS('Lançamento Diário'!I:I, 'Lançamento Diário'!M:M, 'Fluxo de Caixa Diário'!$F$6, 'Lançamento Diário'!L:L, 'Fluxo de Caixa Diário'!J17, 'Lançamento Diário'!F:F, "Receita")</f>
        <v>0</v>
      </c>
      <c r="M17" s="49">
        <f>SUMIFS('Lançamento Diário'!I:I, 'Lançamento Diário'!M:M, 'Fluxo de Caixa Diário'!$F$6, 'Lançamento Diário'!L:L, 'Fluxo de Caixa Diário'!J17, 'Lançamento Diário'!F:F, "Despesa")</f>
        <v>0</v>
      </c>
      <c r="N17" s="53">
        <f t="shared" si="1"/>
        <v>0</v>
      </c>
    </row>
    <row r="18" spans="5:14" ht="15.6" thickTop="1" thickBot="1" x14ac:dyDescent="0.35">
      <c r="E18" s="47">
        <f>IF(ROW(A9)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ROW(A9)))</f>
        <v>45666</v>
      </c>
      <c r="F18" s="48">
        <f>SUMIFS('Lançamento Diário'!I:I,'Lançamento Diário'!E:E,'Fluxo de Caixa Diário'!E18,'Lançamento Diário'!F:F,"Receita")</f>
        <v>6000</v>
      </c>
      <c r="G18" s="49">
        <f>SUMIFS('Lançamento Diário'!I:I, 'Lançamento Diário'!E:E, 'Fluxo de Caixa Diário'!E18, 'Lançamento Diário'!F:F, "Despesa")</f>
        <v>0</v>
      </c>
      <c r="H18" s="53">
        <f t="shared" si="0"/>
        <v>6000</v>
      </c>
      <c r="J18" s="4">
        <v>9</v>
      </c>
      <c r="K18" s="54" t="s">
        <v>127</v>
      </c>
      <c r="L18" s="48">
        <f>SUMIFS('Lançamento Diário'!I:I, 'Lançamento Diário'!M:M, 'Fluxo de Caixa Diário'!$F$6, 'Lançamento Diário'!L:L, 'Fluxo de Caixa Diário'!J18, 'Lançamento Diário'!F:F, "Receita")</f>
        <v>0</v>
      </c>
      <c r="M18" s="49">
        <f>SUMIFS('Lançamento Diário'!I:I, 'Lançamento Diário'!M:M, 'Fluxo de Caixa Diário'!$F$6, 'Lançamento Diário'!L:L, 'Fluxo de Caixa Diário'!J18, 'Lançamento Diário'!F:F, "Despesa")</f>
        <v>0</v>
      </c>
      <c r="N18" s="53">
        <f t="shared" si="1"/>
        <v>0</v>
      </c>
    </row>
    <row r="19" spans="5:14" ht="15.6" thickTop="1" thickBot="1" x14ac:dyDescent="0.35">
      <c r="E19" s="47">
        <f>IF(ROW(A10)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ROW(A10)))</f>
        <v>45667</v>
      </c>
      <c r="F19" s="48">
        <f>SUMIFS('Lançamento Diário'!I:I,'Lançamento Diário'!E:E,'Fluxo de Caixa Diário'!E19,'Lançamento Diário'!F:F,"Receita")</f>
        <v>0</v>
      </c>
      <c r="G19" s="49">
        <f>SUMIFS('Lançamento Diário'!I:I, 'Lançamento Diário'!E:E, 'Fluxo de Caixa Diário'!E19, 'Lançamento Diário'!F:F, "Despesa")</f>
        <v>0</v>
      </c>
      <c r="H19" s="53">
        <f t="shared" si="0"/>
        <v>0</v>
      </c>
      <c r="J19" s="4">
        <v>10</v>
      </c>
      <c r="K19" s="54" t="s">
        <v>128</v>
      </c>
      <c r="L19" s="48">
        <f>SUMIFS('Lançamento Diário'!I:I, 'Lançamento Diário'!M:M, 'Fluxo de Caixa Diário'!$F$6, 'Lançamento Diário'!L:L, 'Fluxo de Caixa Diário'!J19, 'Lançamento Diário'!F:F, "Receita")</f>
        <v>0</v>
      </c>
      <c r="M19" s="49">
        <f>SUMIFS('Lançamento Diário'!I:I, 'Lançamento Diário'!M:M, 'Fluxo de Caixa Diário'!$F$6, 'Lançamento Diário'!L:L, 'Fluxo de Caixa Diário'!J19, 'Lançamento Diário'!F:F, "Despesa")</f>
        <v>0</v>
      </c>
      <c r="N19" s="53">
        <f t="shared" si="1"/>
        <v>0</v>
      </c>
    </row>
    <row r="20" spans="5:14" ht="15.6" thickTop="1" thickBot="1" x14ac:dyDescent="0.35">
      <c r="E20" s="47">
        <f>IF(ROW(A11)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ROW(A11)))</f>
        <v>45668</v>
      </c>
      <c r="F20" s="48">
        <f>SUMIFS('Lançamento Diário'!I:I,'Lançamento Diário'!E:E,'Fluxo de Caixa Diário'!E20,'Lançamento Diário'!F:F,"Receita")</f>
        <v>0</v>
      </c>
      <c r="G20" s="49">
        <f>SUMIFS('Lançamento Diário'!I:I, 'Lançamento Diário'!E:E, 'Fluxo de Caixa Diário'!E20, 'Lançamento Diário'!F:F, "Despesa")</f>
        <v>0</v>
      </c>
      <c r="H20" s="53">
        <f t="shared" si="0"/>
        <v>0</v>
      </c>
      <c r="J20" s="4">
        <v>11</v>
      </c>
      <c r="K20" s="54" t="s">
        <v>129</v>
      </c>
      <c r="L20" s="48">
        <f>SUMIFS('Lançamento Diário'!I:I, 'Lançamento Diário'!M:M, 'Fluxo de Caixa Diário'!$F$6, 'Lançamento Diário'!L:L, 'Fluxo de Caixa Diário'!J20, 'Lançamento Diário'!F:F, "Receita")</f>
        <v>0</v>
      </c>
      <c r="M20" s="49">
        <f>SUMIFS('Lançamento Diário'!I:I, 'Lançamento Diário'!M:M, 'Fluxo de Caixa Diário'!$F$6, 'Lançamento Diário'!L:L, 'Fluxo de Caixa Diário'!J20, 'Lançamento Diário'!F:F, "Despesa")</f>
        <v>0</v>
      </c>
      <c r="N20" s="53">
        <f t="shared" si="1"/>
        <v>0</v>
      </c>
    </row>
    <row r="21" spans="5:14" ht="15.6" thickTop="1" thickBot="1" x14ac:dyDescent="0.35">
      <c r="E21" s="47">
        <f>IF(ROW(A12)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ROW(A12)))</f>
        <v>45669</v>
      </c>
      <c r="F21" s="48">
        <f>SUMIFS('Lançamento Diário'!I:I,'Lançamento Diário'!E:E,'Fluxo de Caixa Diário'!E21,'Lançamento Diário'!F:F,"Receita")</f>
        <v>0</v>
      </c>
      <c r="G21" s="49">
        <f>SUMIFS('Lançamento Diário'!I:I, 'Lançamento Diário'!E:E, 'Fluxo de Caixa Diário'!E21, 'Lançamento Diário'!F:F, "Despesa")</f>
        <v>0</v>
      </c>
      <c r="H21" s="53">
        <f t="shared" si="0"/>
        <v>0</v>
      </c>
      <c r="J21" s="4">
        <v>12</v>
      </c>
      <c r="K21" s="54" t="s">
        <v>130</v>
      </c>
      <c r="L21" s="48">
        <f>SUMIFS('Lançamento Diário'!I:I, 'Lançamento Diário'!M:M, 'Fluxo de Caixa Diário'!$F$6, 'Lançamento Diário'!L:L, 'Fluxo de Caixa Diário'!J21, 'Lançamento Diário'!F:F, "Receita")</f>
        <v>0</v>
      </c>
      <c r="M21" s="49">
        <f>SUMIFS('Lançamento Diário'!I:I, 'Lançamento Diário'!M:M, 'Fluxo de Caixa Diário'!$F$6, 'Lançamento Diário'!L:L, 'Fluxo de Caixa Diário'!J21, 'Lançamento Diário'!F:F, "Despesa")</f>
        <v>0</v>
      </c>
      <c r="N21" s="53">
        <f t="shared" si="1"/>
        <v>0</v>
      </c>
    </row>
    <row r="22" spans="5:14" ht="15.6" thickTop="1" thickBot="1" x14ac:dyDescent="0.35">
      <c r="E22" s="47">
        <f>IF(ROW(A13)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ROW(A13)))</f>
        <v>45670</v>
      </c>
      <c r="F22" s="48">
        <f>SUMIFS('Lançamento Diário'!I:I,'Lançamento Diário'!E:E,'Fluxo de Caixa Diário'!E22,'Lançamento Diário'!F:F,"Receita")</f>
        <v>0</v>
      </c>
      <c r="G22" s="49">
        <f>SUMIFS('Lançamento Diário'!I:I, 'Lançamento Diário'!E:E, 'Fluxo de Caixa Diário'!E22, 'Lançamento Diário'!F:F, "Despesa")</f>
        <v>0</v>
      </c>
      <c r="H22" s="53">
        <f t="shared" si="0"/>
        <v>0</v>
      </c>
    </row>
    <row r="23" spans="5:14" ht="15.6" thickTop="1" thickBot="1" x14ac:dyDescent="0.35">
      <c r="E23" s="47">
        <f>IF(ROW(A14)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ROW(A14)))</f>
        <v>45671</v>
      </c>
      <c r="F23" s="48">
        <f>SUMIFS('Lançamento Diário'!I:I,'Lançamento Diário'!E:E,'Fluxo de Caixa Diário'!E23,'Lançamento Diário'!F:F,"Receita")</f>
        <v>0</v>
      </c>
      <c r="G23" s="49">
        <f>SUMIFS('Lançamento Diário'!I:I, 'Lançamento Diário'!E:E, 'Fluxo de Caixa Diário'!E23, 'Lançamento Diário'!F:F, "Despesa")</f>
        <v>0</v>
      </c>
      <c r="H23" s="53">
        <f t="shared" si="0"/>
        <v>0</v>
      </c>
      <c r="K23" s="52" t="s">
        <v>168</v>
      </c>
      <c r="L23" s="45">
        <f>SUBTOTAL(9,L10:L21)</f>
        <v>121000</v>
      </c>
      <c r="M23" s="46">
        <f>SUBTOTAL(9,M10:M21)</f>
        <v>45000</v>
      </c>
      <c r="N23" s="51">
        <f>SUBTOTAL(9,N10:N21)</f>
        <v>76000</v>
      </c>
    </row>
    <row r="24" spans="5:14" ht="15.6" thickTop="1" thickBot="1" x14ac:dyDescent="0.35">
      <c r="E24" s="47">
        <f>IF(ROW(A15)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ROW(A15)))</f>
        <v>45672</v>
      </c>
      <c r="F24" s="48">
        <f>SUMIFS('Lançamento Diário'!I:I,'Lançamento Diário'!E:E,'Fluxo de Caixa Diário'!E24,'Lançamento Diário'!F:F,"Receita")</f>
        <v>0</v>
      </c>
      <c r="G24" s="49">
        <f>SUMIFS('Lançamento Diário'!I:I, 'Lançamento Diário'!E:E, 'Fluxo de Caixa Diário'!E24, 'Lançamento Diário'!F:F, "Despesa")</f>
        <v>0</v>
      </c>
      <c r="H24" s="53">
        <f t="shared" si="0"/>
        <v>0</v>
      </c>
    </row>
    <row r="25" spans="5:14" ht="15.6" thickTop="1" thickBot="1" x14ac:dyDescent="0.35">
      <c r="E25" s="47">
        <f>IF(ROW(A16)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ROW(A16)))</f>
        <v>45673</v>
      </c>
      <c r="F25" s="48">
        <f>SUMIFS('Lançamento Diário'!I:I,'Lançamento Diário'!E:E,'Fluxo de Caixa Diário'!E25,'Lançamento Diário'!F:F,"Receita")</f>
        <v>0</v>
      </c>
      <c r="G25" s="49">
        <f>SUMIFS('Lançamento Diário'!I:I, 'Lançamento Diário'!E:E, 'Fluxo de Caixa Diário'!E25, 'Lançamento Diário'!F:F, "Despesa")</f>
        <v>0</v>
      </c>
      <c r="H25" s="53">
        <f t="shared" si="0"/>
        <v>0</v>
      </c>
    </row>
    <row r="26" spans="5:14" ht="15.6" thickTop="1" thickBot="1" x14ac:dyDescent="0.35">
      <c r="E26" s="47">
        <f>IF(ROW(A17)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ROW(A17)))</f>
        <v>45674</v>
      </c>
      <c r="F26" s="48">
        <f>SUMIFS('Lançamento Diário'!I:I,'Lançamento Diário'!E:E,'Fluxo de Caixa Diário'!E26,'Lançamento Diário'!F:F,"Receita")</f>
        <v>0</v>
      </c>
      <c r="G26" s="49">
        <f>SUMIFS('Lançamento Diário'!I:I, 'Lançamento Diário'!E:E, 'Fluxo de Caixa Diário'!E26, 'Lançamento Diário'!F:F, "Despesa")</f>
        <v>0</v>
      </c>
      <c r="H26" s="53">
        <f t="shared" si="0"/>
        <v>0</v>
      </c>
    </row>
    <row r="27" spans="5:14" ht="15.6" thickTop="1" thickBot="1" x14ac:dyDescent="0.35">
      <c r="E27" s="47">
        <f>IF(ROW(A18)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ROW(A18)))</f>
        <v>45675</v>
      </c>
      <c r="F27" s="48">
        <f>SUMIFS('Lançamento Diário'!I:I,'Lançamento Diário'!E:E,'Fluxo de Caixa Diário'!E27,'Lançamento Diário'!F:F,"Receita")</f>
        <v>0</v>
      </c>
      <c r="G27" s="49">
        <f>SUMIFS('Lançamento Diário'!I:I, 'Lançamento Diário'!E:E, 'Fluxo de Caixa Diário'!E27, 'Lançamento Diário'!F:F, "Despesa")</f>
        <v>0</v>
      </c>
      <c r="H27" s="53">
        <f t="shared" si="0"/>
        <v>0</v>
      </c>
    </row>
    <row r="28" spans="5:14" ht="15.6" thickTop="1" thickBot="1" x14ac:dyDescent="0.35">
      <c r="E28" s="47">
        <f>IF(ROW(A19)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ROW(A19)))</f>
        <v>45676</v>
      </c>
      <c r="F28" s="48">
        <f>SUMIFS('Lançamento Diário'!I:I,'Lançamento Diário'!E:E,'Fluxo de Caixa Diário'!E28,'Lançamento Diário'!F:F,"Receita")</f>
        <v>0</v>
      </c>
      <c r="G28" s="49">
        <f>SUMIFS('Lançamento Diário'!I:I, 'Lançamento Diário'!E:E, 'Fluxo de Caixa Diário'!E28, 'Lançamento Diário'!F:F, "Despesa")</f>
        <v>0</v>
      </c>
      <c r="H28" s="53">
        <f t="shared" si="0"/>
        <v>0</v>
      </c>
    </row>
    <row r="29" spans="5:14" ht="15.6" thickTop="1" thickBot="1" x14ac:dyDescent="0.35">
      <c r="E29" s="47">
        <f>IF(ROW(A20)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ROW(A20)))</f>
        <v>45677</v>
      </c>
      <c r="F29" s="48">
        <f>SUMIFS('Lançamento Diário'!I:I,'Lançamento Diário'!E:E,'Fluxo de Caixa Diário'!E29,'Lançamento Diário'!F:F,"Receita")</f>
        <v>0</v>
      </c>
      <c r="G29" s="49">
        <f>SUMIFS('Lançamento Diário'!I:I, 'Lançamento Diário'!E:E, 'Fluxo de Caixa Diário'!E29, 'Lançamento Diário'!F:F, "Despesa")</f>
        <v>0</v>
      </c>
      <c r="H29" s="53">
        <f t="shared" si="0"/>
        <v>0</v>
      </c>
    </row>
    <row r="30" spans="5:14" ht="15.6" thickTop="1" thickBot="1" x14ac:dyDescent="0.35">
      <c r="E30" s="47">
        <f>IF(ROW(A21)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ROW(A21)))</f>
        <v>45678</v>
      </c>
      <c r="F30" s="48">
        <f>SUMIFS('Lançamento Diário'!I:I,'Lançamento Diário'!E:E,'Fluxo de Caixa Diário'!E30,'Lançamento Diário'!F:F,"Receita")</f>
        <v>0</v>
      </c>
      <c r="G30" s="49">
        <f>SUMIFS('Lançamento Diário'!I:I, 'Lançamento Diário'!E:E, 'Fluxo de Caixa Diário'!E30, 'Lançamento Diário'!F:F, "Despesa")</f>
        <v>0</v>
      </c>
      <c r="H30" s="53">
        <f t="shared" si="0"/>
        <v>0</v>
      </c>
    </row>
    <row r="31" spans="5:14" ht="15.6" thickTop="1" thickBot="1" x14ac:dyDescent="0.35">
      <c r="E31" s="47">
        <f>IF(ROW(A22)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ROW(A22)))</f>
        <v>45679</v>
      </c>
      <c r="F31" s="48">
        <f>SUMIFS('Lançamento Diário'!I:I,'Lançamento Diário'!E:E,'Fluxo de Caixa Diário'!E31,'Lançamento Diário'!F:F,"Receita")</f>
        <v>0</v>
      </c>
      <c r="G31" s="49">
        <f>SUMIFS('Lançamento Diário'!I:I, 'Lançamento Diário'!E:E, 'Fluxo de Caixa Diário'!E31, 'Lançamento Diário'!F:F, "Despesa")</f>
        <v>0</v>
      </c>
      <c r="H31" s="53">
        <f t="shared" si="0"/>
        <v>0</v>
      </c>
    </row>
    <row r="32" spans="5:14" ht="15.6" thickTop="1" thickBot="1" x14ac:dyDescent="0.35">
      <c r="E32" s="47">
        <f>IF(ROW(A23)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ROW(A23)))</f>
        <v>45680</v>
      </c>
      <c r="F32" s="48">
        <f>SUMIFS('Lançamento Diário'!I:I,'Lançamento Diário'!E:E,'Fluxo de Caixa Diário'!E32,'Lançamento Diário'!F:F,"Receita")</f>
        <v>0</v>
      </c>
      <c r="G32" s="49">
        <f>SUMIFS('Lançamento Diário'!I:I, 'Lançamento Diário'!E:E, 'Fluxo de Caixa Diário'!E32, 'Lançamento Diário'!F:F, "Despesa")</f>
        <v>0</v>
      </c>
      <c r="H32" s="53">
        <f t="shared" si="0"/>
        <v>0</v>
      </c>
    </row>
    <row r="33" spans="5:8" ht="15.6" thickTop="1" thickBot="1" x14ac:dyDescent="0.35">
      <c r="E33" s="47">
        <f>IF(ROW(A24)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ROW(A24)))</f>
        <v>45681</v>
      </c>
      <c r="F33" s="48">
        <f>SUMIFS('Lançamento Diário'!I:I,'Lançamento Diário'!E:E,'Fluxo de Caixa Diário'!E33,'Lançamento Diário'!F:F,"Receita")</f>
        <v>0</v>
      </c>
      <c r="G33" s="49">
        <f>SUMIFS('Lançamento Diário'!I:I, 'Lançamento Diário'!E:E, 'Fluxo de Caixa Diário'!E33, 'Lançamento Diário'!F:F, "Despesa")</f>
        <v>0</v>
      </c>
      <c r="H33" s="53">
        <f t="shared" si="0"/>
        <v>0</v>
      </c>
    </row>
    <row r="34" spans="5:8" ht="15.6" thickTop="1" thickBot="1" x14ac:dyDescent="0.35">
      <c r="E34" s="47">
        <f>IF(ROW(A25)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ROW(A25)))</f>
        <v>45682</v>
      </c>
      <c r="F34" s="48">
        <f>SUMIFS('Lançamento Diário'!I:I,'Lançamento Diário'!E:E,'Fluxo de Caixa Diário'!E34,'Lançamento Diário'!F:F,"Receita")</f>
        <v>0</v>
      </c>
      <c r="G34" s="49">
        <f>SUMIFS('Lançamento Diário'!I:I, 'Lançamento Diário'!E:E, 'Fluxo de Caixa Diário'!E34, 'Lançamento Diário'!F:F, "Despesa")</f>
        <v>0</v>
      </c>
      <c r="H34" s="53">
        <f t="shared" si="0"/>
        <v>0</v>
      </c>
    </row>
    <row r="35" spans="5:8" ht="15.6" thickTop="1" thickBot="1" x14ac:dyDescent="0.35">
      <c r="E35" s="47">
        <f>IF(ROW(A26)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ROW(A26)))</f>
        <v>45683</v>
      </c>
      <c r="F35" s="48">
        <f>SUMIFS('Lançamento Diário'!I:I,'Lançamento Diário'!E:E,'Fluxo de Caixa Diário'!E35,'Lançamento Diário'!F:F,"Receita")</f>
        <v>0</v>
      </c>
      <c r="G35" s="49">
        <f>SUMIFS('Lançamento Diário'!I:I, 'Lançamento Diário'!E:E, 'Fluxo de Caixa Diário'!E35, 'Lançamento Diário'!F:F, "Despesa")</f>
        <v>0</v>
      </c>
      <c r="H35" s="53">
        <f t="shared" si="0"/>
        <v>0</v>
      </c>
    </row>
    <row r="36" spans="5:8" ht="15.6" thickTop="1" thickBot="1" x14ac:dyDescent="0.35">
      <c r="E36" s="47">
        <f>IF(ROW(A27)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ROW(A27)))</f>
        <v>45684</v>
      </c>
      <c r="F36" s="48">
        <f>SUMIFS('Lançamento Diário'!I:I,'Lançamento Diário'!E:E,'Fluxo de Caixa Diário'!E36,'Lançamento Diário'!F:F,"Receita")</f>
        <v>0</v>
      </c>
      <c r="G36" s="49">
        <f>SUMIFS('Lançamento Diário'!I:I, 'Lançamento Diário'!E:E, 'Fluxo de Caixa Diário'!E36, 'Lançamento Diário'!F:F, "Despesa")</f>
        <v>0</v>
      </c>
      <c r="H36" s="53">
        <f t="shared" si="0"/>
        <v>0</v>
      </c>
    </row>
    <row r="37" spans="5:8" ht="15.6" thickTop="1" thickBot="1" x14ac:dyDescent="0.35">
      <c r="E37" s="47">
        <f>IF(ROW(A28)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ROW(A28)))</f>
        <v>45685</v>
      </c>
      <c r="F37" s="48">
        <f>SUMIFS('Lançamento Diário'!I:I,'Lançamento Diário'!E:E,'Fluxo de Caixa Diário'!E37,'Lançamento Diário'!F:F,"Receita")</f>
        <v>0</v>
      </c>
      <c r="G37" s="49">
        <f>SUMIFS('Lançamento Diário'!I:I, 'Lançamento Diário'!E:E, 'Fluxo de Caixa Diário'!E37, 'Lançamento Diário'!F:F, "Despesa")</f>
        <v>0</v>
      </c>
      <c r="H37" s="53">
        <f t="shared" si="0"/>
        <v>0</v>
      </c>
    </row>
    <row r="38" spans="5:8" ht="15.6" thickTop="1" thickBot="1" x14ac:dyDescent="0.35">
      <c r="E38" s="47">
        <f>IF(ROW(A29)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ROW(A29)))</f>
        <v>45686</v>
      </c>
      <c r="F38" s="48">
        <f>SUMIFS('Lançamento Diário'!I:I,'Lançamento Diário'!E:E,'Fluxo de Caixa Diário'!E38,'Lançamento Diário'!F:F,"Receita")</f>
        <v>0</v>
      </c>
      <c r="G38" s="49">
        <f>SUMIFS('Lançamento Diário'!I:I, 'Lançamento Diário'!E:E, 'Fluxo de Caixa Diário'!E38, 'Lançamento Diário'!F:F, "Despesa")</f>
        <v>0</v>
      </c>
      <c r="H38" s="53">
        <f t="shared" si="0"/>
        <v>0</v>
      </c>
    </row>
    <row r="39" spans="5:8" ht="15.6" thickTop="1" thickBot="1" x14ac:dyDescent="0.35">
      <c r="E39" s="47">
        <f>IF(ROW(A30)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ROW(A30)))</f>
        <v>45687</v>
      </c>
      <c r="F39" s="48">
        <f>SUMIFS('Lançamento Diário'!I:I,'Lançamento Diário'!E:E,'Fluxo de Caixa Diário'!E39,'Lançamento Diário'!F:F,"Receita")</f>
        <v>0</v>
      </c>
      <c r="G39" s="49">
        <f>SUMIFS('Lançamento Diário'!I:I, 'Lançamento Diário'!E:E, 'Fluxo de Caixa Diário'!E39, 'Lançamento Diário'!F:F, "Despesa")</f>
        <v>0</v>
      </c>
      <c r="H39" s="53">
        <f t="shared" si="0"/>
        <v>0</v>
      </c>
    </row>
    <row r="40" spans="5:8" ht="15.6" thickTop="1" thickBot="1" x14ac:dyDescent="0.35">
      <c r="E40" s="47">
        <f>IF(ROW(A31)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ROW(A31)))</f>
        <v>45688</v>
      </c>
      <c r="F40" s="48">
        <f>SUMIFS('Lançamento Diário'!I:I,'Lançamento Diário'!E:E,'Fluxo de Caixa Diário'!E40,'Lançamento Diário'!F:F,"Receita")</f>
        <v>0</v>
      </c>
      <c r="G40" s="49">
        <f>SUMIFS('Lançamento Diário'!I:I, 'Lançamento Diário'!E:E, 'Fluxo de Caixa Diário'!E40, 'Lançamento Diário'!F:F, "Despesa")</f>
        <v>0</v>
      </c>
      <c r="H40" s="53">
        <f t="shared" si="0"/>
        <v>0</v>
      </c>
    </row>
    <row r="41" spans="5:8" ht="15.6" thickTop="1" thickBot="1" x14ac:dyDescent="0.35">
      <c r="F41" s="50"/>
      <c r="G41" s="50"/>
      <c r="H41" s="50"/>
    </row>
    <row r="42" spans="5:8" ht="15.6" thickTop="1" thickBot="1" x14ac:dyDescent="0.35">
      <c r="E42" s="26" t="s">
        <v>169</v>
      </c>
      <c r="F42" s="45">
        <f>SUBTOTAL(9,F10:F40)</f>
        <v>26000</v>
      </c>
      <c r="G42" s="46">
        <f>SUBTOTAL(9,G10:G40)</f>
        <v>27500</v>
      </c>
      <c r="H42" s="51">
        <f>SUBTOTAL(9,H10:H40)</f>
        <v>-1500</v>
      </c>
    </row>
    <row r="43" spans="5:8" ht="14.4" customHeight="1" thickTop="1" x14ac:dyDescent="0.3">
      <c r="E43" s="2"/>
    </row>
  </sheetData>
  <autoFilter ref="E9:N40" xr:uid="{F5CCB9A7-F124-4F5B-84F7-7C12928A81FE}"/>
  <mergeCells count="1">
    <mergeCell ref="E4:F4"/>
  </mergeCells>
  <phoneticPr fontId="7" type="noConversion"/>
  <dataValidations count="2">
    <dataValidation type="list" allowBlank="1" showInputMessage="1" showErrorMessage="1" sqref="E6:E7" xr:uid="{022D2ACD-91BF-4FCE-85BB-FB3C0672E0B4}">
      <formula1>"Janeiro,Fevereiro,Março, Abril,Maio,Junho,Julho,Agosto,Setembro,Outubro,Novembro,Dezembro"</formula1>
    </dataValidation>
    <dataValidation type="list" allowBlank="1" showInputMessage="1" showErrorMessage="1" sqref="F6:F7" xr:uid="{805EB11F-2EB2-4638-9147-6FA1D9C1DFB8}">
      <formula1>"2023,2024,2025"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9F6-A88E-413B-95B4-890963F0A477}">
  <dimension ref="A1:BS37"/>
  <sheetViews>
    <sheetView showGridLines="0" showRowColHeaders="0" zoomScale="95" zoomScaleNormal="95" workbookViewId="0">
      <selection activeCell="D37" sqref="D37"/>
    </sheetView>
  </sheetViews>
  <sheetFormatPr defaultColWidth="0" defaultRowHeight="13.8" customHeight="1" zeroHeight="1" x14ac:dyDescent="0.3"/>
  <cols>
    <col min="1" max="4" width="8.88671875" customWidth="1"/>
    <col min="5" max="5" width="9" customWidth="1"/>
    <col min="6" max="6" width="12.6640625" customWidth="1"/>
    <col min="7" max="7" width="3.77734375" customWidth="1"/>
    <col min="8" max="8" width="8.88671875" customWidth="1"/>
    <col min="9" max="9" width="12.5546875" customWidth="1"/>
    <col min="10" max="10" width="3.77734375" customWidth="1"/>
    <col min="11" max="12" width="8.88671875" customWidth="1"/>
    <col min="13" max="13" width="3.77734375" customWidth="1"/>
    <col min="14" max="15" width="8.88671875" customWidth="1"/>
    <col min="16" max="16" width="3.77734375" customWidth="1"/>
    <col min="17" max="17" width="8.88671875" customWidth="1"/>
    <col min="18" max="18" width="11.21875" customWidth="1"/>
    <col min="19" max="19" width="3.77734375" style="4" customWidth="1"/>
    <col min="20" max="20" width="10.88671875" style="4" customWidth="1"/>
    <col min="21" max="21" width="7.33203125" customWidth="1"/>
    <col min="22" max="22" width="4.44140625" style="15" customWidth="1"/>
    <col min="23" max="23" width="3" style="16" customWidth="1"/>
    <col min="24" max="24" width="12.88671875" style="3" hidden="1" customWidth="1"/>
    <col min="25" max="37" width="12.88671875" hidden="1" customWidth="1"/>
    <col min="38" max="69" width="10.77734375" hidden="1" customWidth="1"/>
    <col min="70" max="71" width="0" hidden="1" customWidth="1"/>
    <col min="72" max="16384" width="8.88671875" hidden="1"/>
  </cols>
  <sheetData>
    <row r="1" spans="5:26" ht="14.4" x14ac:dyDescent="0.3"/>
    <row r="2" spans="5:26" ht="14.4" x14ac:dyDescent="0.3"/>
    <row r="3" spans="5:26" ht="14.4" x14ac:dyDescent="0.3">
      <c r="E3" s="94" t="s">
        <v>158</v>
      </c>
      <c r="F3" s="94"/>
      <c r="G3" s="78"/>
      <c r="H3" s="94" t="s">
        <v>161</v>
      </c>
      <c r="I3" s="94"/>
      <c r="J3" s="78"/>
      <c r="K3" s="94" t="s">
        <v>160</v>
      </c>
      <c r="L3" s="94"/>
      <c r="M3" s="78"/>
      <c r="N3" s="94" t="s">
        <v>156</v>
      </c>
      <c r="O3" s="94"/>
      <c r="P3" s="78"/>
      <c r="Q3" s="94" t="s">
        <v>162</v>
      </c>
      <c r="R3" s="94"/>
      <c r="V3" s="15" t="s">
        <v>146</v>
      </c>
      <c r="W3" s="16">
        <f>SUMIFS('Lançamento Diário'!I4:I1048576,'Lançamento Diário'!F4:F1048576,"Receita",'Lançamento Diário'!K4:K1048576,"Não Pago")</f>
        <v>20000</v>
      </c>
    </row>
    <row r="4" spans="5:26" ht="45" customHeight="1" x14ac:dyDescent="0.65">
      <c r="E4" s="92"/>
      <c r="F4" s="93"/>
      <c r="G4" s="68"/>
      <c r="H4" s="97"/>
      <c r="I4" s="98"/>
      <c r="J4" s="68"/>
      <c r="K4" s="92"/>
      <c r="L4" s="93"/>
      <c r="N4" s="99"/>
      <c r="O4" s="100"/>
      <c r="Q4" s="92"/>
      <c r="R4" s="93"/>
      <c r="V4" s="15" t="s">
        <v>147</v>
      </c>
      <c r="W4" s="16">
        <f>SUMIFS('Lançamento Diário'!I4:I1048576,'Lançamento Diário'!F4:F1048576,"Despesa",'Lançamento Diário'!K4:K1048576,"Não Pago")</f>
        <v>2500</v>
      </c>
    </row>
    <row r="5" spans="5:26" ht="14.4" x14ac:dyDescent="0.3"/>
    <row r="6" spans="5:26" ht="14.4" x14ac:dyDescent="0.3">
      <c r="V6" s="15" t="s">
        <v>132</v>
      </c>
      <c r="W6" s="16">
        <f>SUMIF('Lançamento Diário'!F4:F1048576,"Receita",'Lançamento Diário'!I4:I1048576)</f>
        <v>121000</v>
      </c>
    </row>
    <row r="7" spans="5:26" ht="14.4" x14ac:dyDescent="0.3">
      <c r="V7" s="15" t="s">
        <v>133</v>
      </c>
      <c r="W7" s="16">
        <f>SUMIF('Lançamento Diário'!F4:F1048576,"Despesa",'Lançamento Diário'!I4:I1048576)</f>
        <v>45000</v>
      </c>
    </row>
    <row r="8" spans="5:26" ht="14.4" x14ac:dyDescent="0.3">
      <c r="V8" s="15" t="s">
        <v>156</v>
      </c>
      <c r="W8" s="16">
        <f>'Lançamento Diário'!O3</f>
        <v>1000</v>
      </c>
    </row>
    <row r="9" spans="5:26" ht="14.4" x14ac:dyDescent="0.3">
      <c r="V9" s="15" t="s">
        <v>157</v>
      </c>
      <c r="W9" s="16">
        <f>'Lançamento Diário'!O30</f>
        <v>77000</v>
      </c>
    </row>
    <row r="10" spans="5:26" ht="14.4" x14ac:dyDescent="0.3">
      <c r="V10" s="15" t="s">
        <v>158</v>
      </c>
      <c r="W10" s="16">
        <f>W3-W4</f>
        <v>17500</v>
      </c>
    </row>
    <row r="11" spans="5:26" ht="14.4" x14ac:dyDescent="0.3">
      <c r="V11" s="15" t="s">
        <v>159</v>
      </c>
      <c r="W11" s="16">
        <f>W6-W7</f>
        <v>76000</v>
      </c>
    </row>
    <row r="12" spans="5:26" ht="14.4" x14ac:dyDescent="0.3">
      <c r="V12" s="15" t="s">
        <v>160</v>
      </c>
      <c r="W12" s="79">
        <f>W11/W6</f>
        <v>0.62809917355371903</v>
      </c>
    </row>
    <row r="13" spans="5:26" ht="14.4" x14ac:dyDescent="0.3">
      <c r="V13" s="15" t="s">
        <v>155</v>
      </c>
      <c r="W13" s="16">
        <f>SUM('Lançamento Diário'!I4:I1048576)</f>
        <v>166000</v>
      </c>
    </row>
    <row r="14" spans="5:26" ht="14.4" x14ac:dyDescent="0.3"/>
    <row r="15" spans="5:26" ht="14.4" x14ac:dyDescent="0.3">
      <c r="V15" s="96"/>
      <c r="W15" s="96"/>
      <c r="X15" s="96"/>
      <c r="Y15" s="96"/>
      <c r="Z15" s="96"/>
    </row>
    <row r="16" spans="5:26" ht="14.4" x14ac:dyDescent="0.3">
      <c r="Y16" s="3"/>
    </row>
    <row r="17" spans="22:26" ht="14.4" x14ac:dyDescent="0.3">
      <c r="Y17" s="3"/>
    </row>
    <row r="18" spans="22:26" ht="14.4" x14ac:dyDescent="0.3">
      <c r="Y18" s="3"/>
    </row>
    <row r="19" spans="22:26" ht="14.4" x14ac:dyDescent="0.3"/>
    <row r="20" spans="22:26" ht="14.4" x14ac:dyDescent="0.3">
      <c r="V20" s="96"/>
      <c r="W20" s="96"/>
      <c r="X20" s="96"/>
      <c r="Y20" s="96"/>
      <c r="Z20" s="96"/>
    </row>
    <row r="21" spans="22:26" ht="14.4" x14ac:dyDescent="0.3">
      <c r="Y21" s="3"/>
    </row>
    <row r="22" spans="22:26" ht="14.4" x14ac:dyDescent="0.3">
      <c r="Y22" s="3"/>
    </row>
    <row r="23" spans="22:26" ht="14.4" x14ac:dyDescent="0.3">
      <c r="Y23" s="3"/>
    </row>
    <row r="24" spans="22:26" ht="14.4" x14ac:dyDescent="0.3"/>
    <row r="25" spans="22:26" ht="14.4" x14ac:dyDescent="0.3"/>
    <row r="26" spans="22:26" ht="14.4" x14ac:dyDescent="0.3">
      <c r="W26" s="95"/>
      <c r="X26" s="95"/>
    </row>
    <row r="27" spans="22:26" ht="14.4" x14ac:dyDescent="0.3"/>
    <row r="28" spans="22:26" ht="14.4" x14ac:dyDescent="0.3"/>
    <row r="29" spans="22:26" ht="14.4" x14ac:dyDescent="0.3"/>
    <row r="30" spans="22:26" ht="14.4" x14ac:dyDescent="0.3"/>
    <row r="31" spans="22:26" ht="14.4" x14ac:dyDescent="0.3"/>
    <row r="32" spans="22:26" ht="14.4" x14ac:dyDescent="0.3"/>
    <row r="33" ht="14.4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</sheetData>
  <mergeCells count="13">
    <mergeCell ref="W26:X26"/>
    <mergeCell ref="Q3:R3"/>
    <mergeCell ref="V15:Z15"/>
    <mergeCell ref="V20:Z20"/>
    <mergeCell ref="H4:I4"/>
    <mergeCell ref="K4:L4"/>
    <mergeCell ref="N4:O4"/>
    <mergeCell ref="Q4:R4"/>
    <mergeCell ref="E4:F4"/>
    <mergeCell ref="E3:F3"/>
    <mergeCell ref="H3:I3"/>
    <mergeCell ref="K3:L3"/>
    <mergeCell ref="N3:O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F3A0-F69B-4125-961D-65A37448ECF6}">
  <dimension ref="A1:T106"/>
  <sheetViews>
    <sheetView showGridLines="0" showRowColHeaders="0" workbookViewId="0">
      <selection activeCell="A22" sqref="A22"/>
    </sheetView>
  </sheetViews>
  <sheetFormatPr defaultColWidth="0" defaultRowHeight="14.4" zeroHeight="1" x14ac:dyDescent="0.3"/>
  <cols>
    <col min="1" max="20" width="8.88671875" customWidth="1"/>
    <col min="21" max="21" width="8.88671875" hidden="1" customWidth="1"/>
    <col min="22" max="16384" width="8.88671875" hidden="1"/>
  </cols>
  <sheetData>
    <row r="1" spans="1:19" x14ac:dyDescent="0.3"/>
    <row r="2" spans="1:19" x14ac:dyDescent="0.3"/>
    <row r="3" spans="1:19" s="81" customFormat="1" ht="45" customHeight="1" x14ac:dyDescent="0.3">
      <c r="A3" s="101" t="s">
        <v>182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</row>
    <row r="4" spans="1:19" x14ac:dyDescent="0.3"/>
    <row r="5" spans="1:19" x14ac:dyDescent="0.3"/>
    <row r="6" spans="1:19" x14ac:dyDescent="0.3"/>
    <row r="7" spans="1:19" x14ac:dyDescent="0.3"/>
    <row r="8" spans="1:19" x14ac:dyDescent="0.3"/>
    <row r="9" spans="1:19" s="102" customFormat="1" x14ac:dyDescent="0.3"/>
    <row r="10" spans="1:19" x14ac:dyDescent="0.3"/>
    <row r="11" spans="1:19" x14ac:dyDescent="0.3"/>
    <row r="12" spans="1:19" s="102" customFormat="1" x14ac:dyDescent="0.3"/>
    <row r="13" spans="1:19" x14ac:dyDescent="0.3"/>
    <row r="14" spans="1:19" x14ac:dyDescent="0.3"/>
    <row r="15" spans="1:19" x14ac:dyDescent="0.3"/>
    <row r="16" spans="1:19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  <row r="29" customFormat="1" hidden="1" x14ac:dyDescent="0.3"/>
    <row r="30" customFormat="1" hidden="1" x14ac:dyDescent="0.3"/>
    <row r="31" customFormat="1" hidden="1" x14ac:dyDescent="0.3"/>
    <row r="32" customFormat="1" hidden="1" x14ac:dyDescent="0.3"/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  <row r="92" customFormat="1" hidden="1" x14ac:dyDescent="0.3"/>
    <row r="93" customFormat="1" hidden="1" x14ac:dyDescent="0.3"/>
    <row r="94" customFormat="1" hidden="1" x14ac:dyDescent="0.3"/>
    <row r="95" customFormat="1" hidden="1" x14ac:dyDescent="0.3"/>
    <row r="96" customFormat="1" hidden="1" x14ac:dyDescent="0.3"/>
    <row r="97" customFormat="1" hidden="1" x14ac:dyDescent="0.3"/>
    <row r="98" customFormat="1" hidden="1" x14ac:dyDescent="0.3"/>
    <row r="99" customFormat="1" hidden="1" x14ac:dyDescent="0.3"/>
    <row r="100" customFormat="1" hidden="1" x14ac:dyDescent="0.3"/>
    <row r="101" customFormat="1" hidden="1" x14ac:dyDescent="0.3"/>
    <row r="102" customFormat="1" hidden="1" x14ac:dyDescent="0.3"/>
    <row r="103" customFormat="1" hidden="1" x14ac:dyDescent="0.3"/>
    <row r="104" customFormat="1" hidden="1" x14ac:dyDescent="0.3"/>
    <row r="105" customFormat="1" hidden="1" x14ac:dyDescent="0.3"/>
    <row r="106" customFormat="1" hidden="1" x14ac:dyDescent="0.3"/>
  </sheetData>
  <mergeCells count="1">
    <mergeCell ref="A3:S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F00D-7A92-490F-8813-4C7871402AEB}">
  <dimension ref="A3:I24"/>
  <sheetViews>
    <sheetView showGridLines="0" showRowColHeaders="0" workbookViewId="0">
      <selection activeCell="A27" sqref="A27"/>
    </sheetView>
  </sheetViews>
  <sheetFormatPr defaultRowHeight="14.4" x14ac:dyDescent="0.3"/>
  <cols>
    <col min="1" max="1" width="30" bestFit="1" customWidth="1"/>
    <col min="2" max="2" width="15" bestFit="1" customWidth="1"/>
    <col min="3" max="3" width="14.109375" bestFit="1" customWidth="1"/>
    <col min="4" max="4" width="30" bestFit="1" customWidth="1"/>
    <col min="5" max="5" width="13.109375" bestFit="1" customWidth="1"/>
    <col min="6" max="6" width="30" bestFit="1" customWidth="1"/>
    <col min="7" max="8" width="13.109375" bestFit="1" customWidth="1"/>
    <col min="9" max="9" width="14" bestFit="1" customWidth="1"/>
    <col min="10" max="10" width="24.44140625" bestFit="1" customWidth="1"/>
    <col min="12" max="12" width="12.88671875" bestFit="1" customWidth="1"/>
  </cols>
  <sheetData>
    <row r="3" spans="1:9" x14ac:dyDescent="0.3">
      <c r="A3" s="83" t="s">
        <v>180</v>
      </c>
      <c r="B3" s="81" t="s">
        <v>184</v>
      </c>
      <c r="D3" s="80" t="s">
        <v>180</v>
      </c>
      <c r="E3" s="80" t="s">
        <v>183</v>
      </c>
    </row>
    <row r="4" spans="1:9" x14ac:dyDescent="0.3">
      <c r="A4" s="56" t="s">
        <v>83</v>
      </c>
      <c r="B4" s="82">
        <v>27500</v>
      </c>
      <c r="D4" s="56" t="s">
        <v>83</v>
      </c>
      <c r="E4" s="82">
        <v>27500</v>
      </c>
    </row>
    <row r="5" spans="1:9" x14ac:dyDescent="0.3">
      <c r="A5" s="56" t="s">
        <v>7</v>
      </c>
      <c r="B5" s="82">
        <v>15000</v>
      </c>
      <c r="D5" s="56" t="s">
        <v>7</v>
      </c>
      <c r="E5" s="82">
        <v>15000</v>
      </c>
    </row>
    <row r="6" spans="1:9" x14ac:dyDescent="0.3">
      <c r="A6" s="56" t="s">
        <v>84</v>
      </c>
      <c r="B6" s="82">
        <v>2500</v>
      </c>
      <c r="D6" s="56" t="s">
        <v>84</v>
      </c>
      <c r="E6" s="82">
        <v>2500</v>
      </c>
    </row>
    <row r="7" spans="1:9" x14ac:dyDescent="0.3">
      <c r="A7" s="56"/>
      <c r="B7" s="82">
        <v>0</v>
      </c>
      <c r="D7" s="56"/>
      <c r="E7" s="82">
        <v>0</v>
      </c>
    </row>
    <row r="8" spans="1:9" x14ac:dyDescent="0.3">
      <c r="A8" s="56" t="s">
        <v>148</v>
      </c>
      <c r="B8" s="3">
        <v>45000</v>
      </c>
      <c r="D8" s="80" t="s">
        <v>148</v>
      </c>
      <c r="E8" s="82">
        <v>45000</v>
      </c>
    </row>
    <row r="11" spans="1:9" x14ac:dyDescent="0.3">
      <c r="A11" s="55" t="s">
        <v>180</v>
      </c>
      <c r="B11" t="s">
        <v>153</v>
      </c>
      <c r="C11" t="s">
        <v>154</v>
      </c>
      <c r="I11" s="3"/>
    </row>
    <row r="12" spans="1:9" x14ac:dyDescent="0.3">
      <c r="A12" s="56" t="s">
        <v>119</v>
      </c>
      <c r="B12" s="3">
        <v>26000</v>
      </c>
      <c r="C12" s="3">
        <v>10000</v>
      </c>
      <c r="I12" s="3"/>
    </row>
    <row r="13" spans="1:9" x14ac:dyDescent="0.3">
      <c r="A13" s="56" t="s">
        <v>120</v>
      </c>
      <c r="B13" s="3">
        <v>95000</v>
      </c>
      <c r="C13" s="3">
        <v>17500</v>
      </c>
      <c r="I13" s="3"/>
    </row>
    <row r="14" spans="1:9" x14ac:dyDescent="0.3">
      <c r="A14" s="56" t="s">
        <v>121</v>
      </c>
      <c r="B14" s="3">
        <v>0</v>
      </c>
      <c r="C14" s="3">
        <v>0</v>
      </c>
      <c r="I14" s="3"/>
    </row>
    <row r="15" spans="1:9" x14ac:dyDescent="0.3">
      <c r="A15" s="56" t="s">
        <v>122</v>
      </c>
      <c r="B15" s="3">
        <v>0</v>
      </c>
      <c r="C15" s="3">
        <v>0</v>
      </c>
      <c r="I15" s="3"/>
    </row>
    <row r="16" spans="1:9" x14ac:dyDescent="0.3">
      <c r="A16" s="56" t="s">
        <v>123</v>
      </c>
      <c r="B16" s="3">
        <v>0</v>
      </c>
      <c r="C16" s="3">
        <v>0</v>
      </c>
      <c r="I16" s="3"/>
    </row>
    <row r="17" spans="1:9" x14ac:dyDescent="0.3">
      <c r="A17" s="56" t="s">
        <v>124</v>
      </c>
      <c r="B17" s="3">
        <v>0</v>
      </c>
      <c r="C17" s="3">
        <v>0</v>
      </c>
      <c r="I17" s="3"/>
    </row>
    <row r="18" spans="1:9" x14ac:dyDescent="0.3">
      <c r="A18" s="56" t="s">
        <v>125</v>
      </c>
      <c r="B18" s="3">
        <v>0</v>
      </c>
      <c r="C18" s="3">
        <v>0</v>
      </c>
    </row>
    <row r="19" spans="1:9" x14ac:dyDescent="0.3">
      <c r="A19" s="56" t="s">
        <v>126</v>
      </c>
      <c r="B19" s="3">
        <v>0</v>
      </c>
      <c r="C19" s="3">
        <v>0</v>
      </c>
    </row>
    <row r="20" spans="1:9" x14ac:dyDescent="0.3">
      <c r="A20" s="56" t="s">
        <v>127</v>
      </c>
      <c r="B20" s="3">
        <v>0</v>
      </c>
      <c r="C20" s="3">
        <v>0</v>
      </c>
    </row>
    <row r="21" spans="1:9" x14ac:dyDescent="0.3">
      <c r="A21" s="56" t="s">
        <v>128</v>
      </c>
      <c r="B21" s="3">
        <v>0</v>
      </c>
      <c r="C21" s="3">
        <v>0</v>
      </c>
    </row>
    <row r="22" spans="1:9" x14ac:dyDescent="0.3">
      <c r="A22" s="56" t="s">
        <v>129</v>
      </c>
      <c r="B22" s="3">
        <v>0</v>
      </c>
      <c r="C22" s="3">
        <v>0</v>
      </c>
    </row>
    <row r="23" spans="1:9" x14ac:dyDescent="0.3">
      <c r="A23" s="56" t="s">
        <v>130</v>
      </c>
      <c r="B23" s="3">
        <v>0</v>
      </c>
      <c r="C23" s="3">
        <v>0</v>
      </c>
    </row>
    <row r="24" spans="1:9" x14ac:dyDescent="0.3">
      <c r="A24" s="56" t="s">
        <v>148</v>
      </c>
      <c r="B24" s="3">
        <v>121000</v>
      </c>
      <c r="C24" s="3">
        <v>27500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Contas</vt:lpstr>
      <vt:lpstr>Lançamento Diário</vt:lpstr>
      <vt:lpstr>Fluxo de Caixa Diário</vt:lpstr>
      <vt:lpstr>DASHBOARD</vt:lpstr>
      <vt:lpstr>GRÁFICO</vt:lpstr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2025-02-22T15:09:31Z</dcterms:created>
  <dcterms:modified xsi:type="dcterms:W3CDTF">2025-02-26T15:37:52Z</dcterms:modified>
</cp:coreProperties>
</file>