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7441637E-14C9-425D-8200-FC8C1A2A147D}" xr6:coauthVersionLast="47" xr6:coauthVersionMax="47" xr10:uidLastSave="{00000000-0000-0000-0000-000000000000}"/>
  <bookViews>
    <workbookView xWindow="-108" yWindow="-108" windowWidth="23256" windowHeight="12456" activeTab="1" xr2:uid="{580A58EB-B0C4-4370-AEFE-49497A9C5FFB}"/>
  </bookViews>
  <sheets>
    <sheet name="Model" sheetId="2" r:id="rId1"/>
    <sheet name="Assumptions and Memo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C22" i="4"/>
  <c r="B22" i="4"/>
  <c r="D34" i="4"/>
  <c r="C34" i="4"/>
  <c r="B34" i="4"/>
  <c r="B32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F38" i="4" s="1"/>
  <c r="D26" i="4"/>
  <c r="D27" i="4" s="1"/>
  <c r="C26" i="4"/>
  <c r="C27" i="4" s="1"/>
  <c r="B26" i="4"/>
  <c r="B27" i="4" s="1"/>
  <c r="D25" i="4"/>
  <c r="C25" i="4"/>
  <c r="C11" i="4"/>
  <c r="D11" i="4" s="1"/>
  <c r="E11" i="4" s="1"/>
  <c r="F11" i="4" s="1"/>
  <c r="G11" i="4" s="1"/>
  <c r="H11" i="4" s="1"/>
  <c r="I11" i="4" s="1"/>
  <c r="D10" i="4"/>
  <c r="C10" i="4"/>
  <c r="B10" i="4"/>
  <c r="D8" i="4"/>
  <c r="C8" i="4"/>
  <c r="B8" i="4"/>
  <c r="E8" i="4" s="1"/>
  <c r="F8" i="4" s="1"/>
  <c r="G8" i="4" s="1"/>
  <c r="H8" i="4" s="1"/>
  <c r="I8" i="4" s="1"/>
  <c r="D7" i="4"/>
  <c r="C7" i="4"/>
  <c r="B7" i="4"/>
  <c r="D6" i="4"/>
  <c r="C6" i="4"/>
  <c r="B6" i="4"/>
  <c r="D5" i="4"/>
  <c r="C5" i="4"/>
  <c r="B5" i="4"/>
  <c r="D4" i="4"/>
  <c r="C4" i="4"/>
  <c r="F87" i="2"/>
  <c r="C134" i="2"/>
  <c r="B33" i="4" s="1"/>
  <c r="E145" i="2"/>
  <c r="C122" i="2"/>
  <c r="F93" i="2"/>
  <c r="F40" i="4" l="1"/>
  <c r="E22" i="4"/>
  <c r="F22" i="4" s="1"/>
  <c r="G22" i="4" s="1"/>
  <c r="E34" i="4"/>
  <c r="F34" i="4" s="1"/>
  <c r="G34" i="4" s="1"/>
  <c r="H34" i="4" s="1"/>
  <c r="I34" i="4" s="1"/>
  <c r="E25" i="4"/>
  <c r="F25" i="4" s="1"/>
  <c r="G25" i="4" s="1"/>
  <c r="H25" i="4" s="1"/>
  <c r="I25" i="4" s="1"/>
  <c r="F39" i="4"/>
  <c r="F42" i="4"/>
  <c r="F44" i="4"/>
  <c r="E27" i="4"/>
  <c r="F27" i="4" s="1"/>
  <c r="G27" i="4" s="1"/>
  <c r="H27" i="4" s="1"/>
  <c r="I27" i="4" s="1"/>
  <c r="F41" i="4"/>
  <c r="F43" i="4"/>
  <c r="E10" i="4"/>
  <c r="F10" i="4" s="1"/>
  <c r="G10" i="4" s="1"/>
  <c r="H10" i="4" s="1"/>
  <c r="I10" i="4" s="1"/>
  <c r="E5" i="4"/>
  <c r="F5" i="4" s="1"/>
  <c r="G5" i="4" s="1"/>
  <c r="H5" i="4" s="1"/>
  <c r="I5" i="4" s="1"/>
  <c r="E6" i="4"/>
  <c r="F6" i="4" s="1"/>
  <c r="G6" i="4" s="1"/>
  <c r="H6" i="4" s="1"/>
  <c r="I6" i="4" s="1"/>
  <c r="E7" i="4"/>
  <c r="F7" i="4" s="1"/>
  <c r="G7" i="4" s="1"/>
  <c r="H7" i="4" s="1"/>
  <c r="I7" i="4" s="1"/>
  <c r="C117" i="2"/>
  <c r="F105" i="2"/>
  <c r="D56" i="2"/>
  <c r="E56" i="2"/>
  <c r="C56" i="2"/>
  <c r="D49" i="2"/>
  <c r="E49" i="2"/>
  <c r="C49" i="2"/>
  <c r="G46" i="2"/>
  <c r="H46" i="2" s="1"/>
  <c r="I46" i="2" s="1"/>
  <c r="J46" i="2" s="1"/>
  <c r="H22" i="4" l="1"/>
  <c r="I22" i="4" s="1"/>
  <c r="F45" i="4"/>
  <c r="F17" i="2"/>
  <c r="E144" i="2"/>
  <c r="D145" i="2"/>
  <c r="D144" i="2"/>
  <c r="C144" i="2"/>
  <c r="C145" i="2"/>
  <c r="C146" i="2" l="1"/>
  <c r="D138" i="2"/>
  <c r="E138" i="2"/>
  <c r="C138" i="2"/>
  <c r="E136" i="2"/>
  <c r="D136" i="2"/>
  <c r="C136" i="2"/>
  <c r="D134" i="2"/>
  <c r="E134" i="2"/>
  <c r="F74" i="2"/>
  <c r="D110" i="2"/>
  <c r="E110" i="2"/>
  <c r="C110" i="2"/>
  <c r="D119" i="2"/>
  <c r="D114" i="2"/>
  <c r="D117" i="2" s="1"/>
  <c r="E114" i="2" s="1"/>
  <c r="F102" i="2"/>
  <c r="F103" i="2" s="1"/>
  <c r="G105" i="2"/>
  <c r="H105" i="2" s="1"/>
  <c r="I105" i="2" s="1"/>
  <c r="J105" i="2" s="1"/>
  <c r="F86" i="2"/>
  <c r="D84" i="2"/>
  <c r="D88" i="2" s="1"/>
  <c r="E84" i="2"/>
  <c r="E88" i="2" s="1"/>
  <c r="C84" i="2"/>
  <c r="C88" i="2" s="1"/>
  <c r="D71" i="2"/>
  <c r="E71" i="2"/>
  <c r="C71" i="2"/>
  <c r="D13" i="2"/>
  <c r="E13" i="2"/>
  <c r="C13" i="2"/>
  <c r="F131" i="2" l="1"/>
  <c r="D33" i="4"/>
  <c r="E131" i="2"/>
  <c r="D32" i="4" s="1"/>
  <c r="C33" i="4"/>
  <c r="D18" i="4"/>
  <c r="E18" i="2"/>
  <c r="E21" i="2" s="1"/>
  <c r="D16" i="4"/>
  <c r="D17" i="4" s="1"/>
  <c r="D18" i="2"/>
  <c r="D21" i="2" s="1"/>
  <c r="C16" i="4"/>
  <c r="C17" i="4" s="1"/>
  <c r="C18" i="2"/>
  <c r="C21" i="2" s="1"/>
  <c r="B16" i="4"/>
  <c r="B17" i="4" s="1"/>
  <c r="C18" i="4"/>
  <c r="G87" i="2"/>
  <c r="H87" i="2" s="1"/>
  <c r="I87" i="2" s="1"/>
  <c r="J87" i="2" s="1"/>
  <c r="G74" i="2"/>
  <c r="H74" i="2" s="1"/>
  <c r="I74" i="2" s="1"/>
  <c r="J74" i="2" s="1"/>
  <c r="G86" i="2"/>
  <c r="H86" i="2" s="1"/>
  <c r="I86" i="2" s="1"/>
  <c r="J86" i="2" s="1"/>
  <c r="D122" i="2"/>
  <c r="E119" i="2" s="1"/>
  <c r="E122" i="2" s="1"/>
  <c r="F119" i="2" s="1"/>
  <c r="D143" i="2"/>
  <c r="D146" i="2" s="1"/>
  <c r="C73" i="2"/>
  <c r="F41" i="2"/>
  <c r="D91" i="2"/>
  <c r="C92" i="2"/>
  <c r="C91" i="2"/>
  <c r="E117" i="2"/>
  <c r="G93" i="2"/>
  <c r="H93" i="2" s="1"/>
  <c r="I93" i="2" s="1"/>
  <c r="J93" i="2" s="1"/>
  <c r="G102" i="2"/>
  <c r="H102" i="2" s="1"/>
  <c r="I102" i="2" s="1"/>
  <c r="J102" i="2" s="1"/>
  <c r="E132" i="2" l="1"/>
  <c r="E33" i="4"/>
  <c r="F33" i="4" s="1"/>
  <c r="G33" i="4" s="1"/>
  <c r="H33" i="4" s="1"/>
  <c r="I33" i="4" s="1"/>
  <c r="C26" i="2"/>
  <c r="C42" i="2" s="1"/>
  <c r="B15" i="4" s="1"/>
  <c r="B28" i="4"/>
  <c r="D26" i="2"/>
  <c r="D42" i="2" s="1"/>
  <c r="C15" i="4" s="1"/>
  <c r="C28" i="4"/>
  <c r="E26" i="2"/>
  <c r="E42" i="2" s="1"/>
  <c r="D15" i="4" s="1"/>
  <c r="D28" i="4"/>
  <c r="J41" i="2"/>
  <c r="E18" i="4"/>
  <c r="F18" i="4" s="1"/>
  <c r="G18" i="4" s="1"/>
  <c r="H18" i="4" s="1"/>
  <c r="I18" i="4" s="1"/>
  <c r="I41" i="2"/>
  <c r="B9" i="4"/>
  <c r="C9" i="4"/>
  <c r="D9" i="4"/>
  <c r="E17" i="4"/>
  <c r="F17" i="4" s="1"/>
  <c r="G17" i="4" s="1"/>
  <c r="H17" i="4" s="1"/>
  <c r="I17" i="4" s="1"/>
  <c r="C125" i="2"/>
  <c r="C127" i="2" s="1"/>
  <c r="C94" i="2" s="1"/>
  <c r="C95" i="2" s="1"/>
  <c r="C96" i="2" s="1"/>
  <c r="E125" i="2"/>
  <c r="E127" i="2" s="1"/>
  <c r="F124" i="2" s="1"/>
  <c r="D125" i="2"/>
  <c r="D127" i="2" s="1"/>
  <c r="D94" i="2" s="1"/>
  <c r="G41" i="2"/>
  <c r="H41" i="2"/>
  <c r="F104" i="2"/>
  <c r="F108" i="2" s="1"/>
  <c r="F110" i="2" s="1"/>
  <c r="F8" i="2" s="1"/>
  <c r="E143" i="2"/>
  <c r="E146" i="2" s="1"/>
  <c r="D73" i="2"/>
  <c r="C75" i="2"/>
  <c r="F114" i="2"/>
  <c r="E91" i="2"/>
  <c r="G103" i="2"/>
  <c r="H103" i="2" s="1"/>
  <c r="D58" i="2" l="1"/>
  <c r="D60" i="2" s="1"/>
  <c r="E58" i="2"/>
  <c r="E60" i="2" s="1"/>
  <c r="F59" i="2" s="1"/>
  <c r="C58" i="2"/>
  <c r="C60" i="2" s="1"/>
  <c r="E28" i="4"/>
  <c r="F28" i="4" s="1"/>
  <c r="G28" i="4" s="1"/>
  <c r="H28" i="4" s="1"/>
  <c r="I28" i="4" s="1"/>
  <c r="E9" i="4"/>
  <c r="F9" i="4" s="1"/>
  <c r="G9" i="4" s="1"/>
  <c r="H9" i="4" s="1"/>
  <c r="I9" i="4" s="1"/>
  <c r="F83" i="2"/>
  <c r="F55" i="2" s="1"/>
  <c r="E15" i="4"/>
  <c r="F15" i="4" s="1"/>
  <c r="G15" i="4" s="1"/>
  <c r="H15" i="4" s="1"/>
  <c r="I15" i="4" s="1"/>
  <c r="F16" i="2"/>
  <c r="E4" i="4"/>
  <c r="E94" i="2"/>
  <c r="C97" i="2"/>
  <c r="D75" i="2"/>
  <c r="F143" i="2"/>
  <c r="F144" i="2" s="1"/>
  <c r="F31" i="2" s="1"/>
  <c r="E73" i="2"/>
  <c r="H104" i="2"/>
  <c r="H108" i="2" s="1"/>
  <c r="G104" i="2"/>
  <c r="G108" i="2" s="1"/>
  <c r="F10" i="2"/>
  <c r="F9" i="2"/>
  <c r="F11" i="2"/>
  <c r="F12" i="2"/>
  <c r="I103" i="2"/>
  <c r="I104" i="2" s="1"/>
  <c r="I108" i="2" s="1"/>
  <c r="F70" i="2" l="1"/>
  <c r="F82" i="2"/>
  <c r="G83" i="2"/>
  <c r="E75" i="2"/>
  <c r="F132" i="2"/>
  <c r="F28" i="2" s="1"/>
  <c r="F145" i="2"/>
  <c r="F44" i="2" s="1"/>
  <c r="H110" i="2"/>
  <c r="H8" i="2" s="1"/>
  <c r="G110" i="2"/>
  <c r="G8" i="2" s="1"/>
  <c r="F81" i="2"/>
  <c r="F13" i="2"/>
  <c r="J103" i="2"/>
  <c r="E26" i="4" l="1"/>
  <c r="F4" i="4"/>
  <c r="G132" i="2" s="1"/>
  <c r="G28" i="2" s="1"/>
  <c r="F18" i="2"/>
  <c r="F20" i="2" s="1"/>
  <c r="E16" i="4"/>
  <c r="F80" i="2" s="1"/>
  <c r="H16" i="2"/>
  <c r="G4" i="4"/>
  <c r="H83" i="2"/>
  <c r="G55" i="2"/>
  <c r="F39" i="2"/>
  <c r="F37" i="2"/>
  <c r="F40" i="2"/>
  <c r="G16" i="2"/>
  <c r="F146" i="2"/>
  <c r="I110" i="2"/>
  <c r="I8" i="2" s="1"/>
  <c r="G10" i="2"/>
  <c r="G11" i="2"/>
  <c r="G9" i="2"/>
  <c r="G12" i="2"/>
  <c r="J104" i="2"/>
  <c r="J108" i="2" s="1"/>
  <c r="H10" i="2"/>
  <c r="H12" i="2"/>
  <c r="H9" i="2"/>
  <c r="H11" i="2"/>
  <c r="H4" i="4" l="1"/>
  <c r="F21" i="2"/>
  <c r="F26" i="2" s="1"/>
  <c r="I83" i="2"/>
  <c r="H55" i="2"/>
  <c r="G70" i="2"/>
  <c r="H70" i="2" s="1"/>
  <c r="F38" i="2"/>
  <c r="G82" i="2"/>
  <c r="G81" i="2"/>
  <c r="G39" i="2" s="1"/>
  <c r="I16" i="2"/>
  <c r="G145" i="2"/>
  <c r="G44" i="2" s="1"/>
  <c r="F26" i="4" s="1"/>
  <c r="H132" i="2"/>
  <c r="H28" i="2" s="1"/>
  <c r="G143" i="2"/>
  <c r="G144" i="2" s="1"/>
  <c r="G31" i="2" s="1"/>
  <c r="F73" i="2"/>
  <c r="J110" i="2"/>
  <c r="J8" i="2" s="1"/>
  <c r="G13" i="2"/>
  <c r="F16" i="4" s="1"/>
  <c r="F115" i="2"/>
  <c r="H13" i="2"/>
  <c r="G16" i="4" s="1"/>
  <c r="I9" i="2"/>
  <c r="I12" i="2"/>
  <c r="I10" i="2"/>
  <c r="I11" i="2"/>
  <c r="G115" i="2" l="1"/>
  <c r="G52" i="2" s="1"/>
  <c r="I70" i="2"/>
  <c r="I4" i="4"/>
  <c r="F125" i="2"/>
  <c r="F127" i="2" s="1"/>
  <c r="F94" i="2" s="1"/>
  <c r="F116" i="2"/>
  <c r="F32" i="2" s="1"/>
  <c r="J83" i="2"/>
  <c r="J55" i="2" s="1"/>
  <c r="I55" i="2"/>
  <c r="G37" i="2"/>
  <c r="G40" i="2"/>
  <c r="H37" i="2"/>
  <c r="H81" i="2"/>
  <c r="H39" i="2" s="1"/>
  <c r="F52" i="2"/>
  <c r="H82" i="2"/>
  <c r="H40" i="2" s="1"/>
  <c r="H145" i="2"/>
  <c r="I145" i="2" s="1"/>
  <c r="I44" i="2" s="1"/>
  <c r="G146" i="2"/>
  <c r="H143" i="2" s="1"/>
  <c r="J16" i="2"/>
  <c r="I132" i="2"/>
  <c r="I28" i="2" s="1"/>
  <c r="G80" i="2"/>
  <c r="G38" i="2" s="1"/>
  <c r="J11" i="2"/>
  <c r="H80" i="2"/>
  <c r="I13" i="2"/>
  <c r="H16" i="4" s="1"/>
  <c r="J12" i="2"/>
  <c r="J9" i="2"/>
  <c r="J10" i="2"/>
  <c r="H26" i="4" l="1"/>
  <c r="I115" i="2" s="1"/>
  <c r="I52" i="2" s="1"/>
  <c r="F117" i="2"/>
  <c r="G114" i="2" s="1"/>
  <c r="J70" i="2"/>
  <c r="J37" i="2" s="1"/>
  <c r="G124" i="2"/>
  <c r="I37" i="2"/>
  <c r="I81" i="2"/>
  <c r="J81" i="2" s="1"/>
  <c r="J39" i="2" s="1"/>
  <c r="I82" i="2"/>
  <c r="I40" i="2" s="1"/>
  <c r="H44" i="2"/>
  <c r="H144" i="2"/>
  <c r="H31" i="2" s="1"/>
  <c r="G73" i="2"/>
  <c r="J145" i="2"/>
  <c r="J44" i="2" s="1"/>
  <c r="J132" i="2"/>
  <c r="J28" i="2" s="1"/>
  <c r="H38" i="2"/>
  <c r="I80" i="2"/>
  <c r="I38" i="2" s="1"/>
  <c r="J13" i="2"/>
  <c r="I16" i="4" s="1"/>
  <c r="I26" i="4" l="1"/>
  <c r="J115" i="2" s="1"/>
  <c r="J52" i="2" s="1"/>
  <c r="F91" i="2"/>
  <c r="G26" i="4"/>
  <c r="H115" i="2" s="1"/>
  <c r="H52" i="2" s="1"/>
  <c r="I39" i="2"/>
  <c r="H146" i="2"/>
  <c r="I143" i="2" s="1"/>
  <c r="I144" i="2" s="1"/>
  <c r="I31" i="2" s="1"/>
  <c r="J82" i="2"/>
  <c r="J40" i="2" s="1"/>
  <c r="J80" i="2"/>
  <c r="J38" i="2" s="1"/>
  <c r="I146" i="2" l="1"/>
  <c r="I73" i="2" s="1"/>
  <c r="H73" i="2"/>
  <c r="J143" i="2" l="1"/>
  <c r="J144" i="2" s="1"/>
  <c r="J31" i="2" s="1"/>
  <c r="J146" i="2" l="1"/>
  <c r="J73" i="2" s="1"/>
  <c r="D92" i="2"/>
  <c r="D95" i="2" s="1"/>
  <c r="D96" i="2" s="1"/>
  <c r="D97" i="2" s="1"/>
  <c r="E92" i="2"/>
  <c r="E95" i="2" l="1"/>
  <c r="E96" i="2" s="1"/>
  <c r="E97" i="2" s="1"/>
  <c r="C132" i="2" l="1"/>
  <c r="D131" i="2"/>
  <c r="D132" i="2" l="1"/>
  <c r="C32" i="4"/>
  <c r="E32" i="4" s="1"/>
  <c r="F32" i="4" s="1"/>
  <c r="G32" i="4" s="1"/>
  <c r="H32" i="4" s="1"/>
  <c r="I32" i="4" s="1"/>
  <c r="F133" i="2" l="1"/>
  <c r="F134" i="2" s="1"/>
  <c r="F30" i="2" l="1"/>
  <c r="F72" i="2"/>
  <c r="F136" i="2"/>
  <c r="F79" i="2" s="1"/>
  <c r="G131" i="2"/>
  <c r="G133" i="2" s="1"/>
  <c r="G30" i="2" s="1"/>
  <c r="F138" i="2"/>
  <c r="F85" i="2" s="1"/>
  <c r="F29" i="2" l="1"/>
  <c r="G134" i="2"/>
  <c r="G136" i="2" s="1"/>
  <c r="G79" i="2" s="1"/>
  <c r="F84" i="2"/>
  <c r="F88" i="2" s="1"/>
  <c r="G72" i="2" l="1"/>
  <c r="H131" i="2"/>
  <c r="H133" i="2" s="1"/>
  <c r="H30" i="2" s="1"/>
  <c r="G138" i="2"/>
  <c r="G85" i="2" s="1"/>
  <c r="G29" i="2" s="1"/>
  <c r="F42" i="2"/>
  <c r="F69" i="2" s="1"/>
  <c r="F47" i="2" s="1"/>
  <c r="G84" i="2"/>
  <c r="G88" i="2" l="1"/>
  <c r="F62" i="2"/>
  <c r="F120" i="2" s="1"/>
  <c r="F122" i="2" s="1"/>
  <c r="F48" i="2"/>
  <c r="F49" i="2" s="1"/>
  <c r="H134" i="2"/>
  <c r="F53" i="2" l="1"/>
  <c r="F56" i="2" s="1"/>
  <c r="F58" i="2" s="1"/>
  <c r="F60" i="2" s="1"/>
  <c r="F68" i="2" s="1"/>
  <c r="F92" i="2"/>
  <c r="G119" i="2"/>
  <c r="H72" i="2"/>
  <c r="H138" i="2"/>
  <c r="H85" i="2" s="1"/>
  <c r="H136" i="2"/>
  <c r="H79" i="2" s="1"/>
  <c r="I131" i="2"/>
  <c r="G59" i="2" l="1"/>
  <c r="F95" i="2"/>
  <c r="F96" i="2" s="1"/>
  <c r="G17" i="2"/>
  <c r="G18" i="2" s="1"/>
  <c r="F71" i="2"/>
  <c r="F75" i="2" s="1"/>
  <c r="I133" i="2"/>
  <c r="I30" i="2" s="1"/>
  <c r="H84" i="2"/>
  <c r="H88" i="2" s="1"/>
  <c r="H29" i="2"/>
  <c r="F97" i="2" l="1"/>
  <c r="I134" i="2"/>
  <c r="I72" i="2" s="1"/>
  <c r="G20" i="2"/>
  <c r="G21" i="2" s="1"/>
  <c r="I138" i="2" l="1"/>
  <c r="I85" i="2" s="1"/>
  <c r="I136" i="2"/>
  <c r="I79" i="2" s="1"/>
  <c r="J131" i="2"/>
  <c r="J133" i="2" s="1"/>
  <c r="J30" i="2" s="1"/>
  <c r="G26" i="2"/>
  <c r="G125" i="2"/>
  <c r="G127" i="2" s="1"/>
  <c r="G116" i="2"/>
  <c r="I29" i="2" l="1"/>
  <c r="I84" i="2"/>
  <c r="I88" i="2" s="1"/>
  <c r="J134" i="2"/>
  <c r="J136" i="2" s="1"/>
  <c r="J79" i="2" s="1"/>
  <c r="G117" i="2"/>
  <c r="G32" i="2"/>
  <c r="G94" i="2"/>
  <c r="H124" i="2"/>
  <c r="J72" i="2" l="1"/>
  <c r="J138" i="2"/>
  <c r="J85" i="2" s="1"/>
  <c r="J29" i="2" s="1"/>
  <c r="G42" i="2"/>
  <c r="G69" i="2" s="1"/>
  <c r="G91" i="2"/>
  <c r="H114" i="2"/>
  <c r="J84" i="2"/>
  <c r="J88" i="2" l="1"/>
  <c r="G47" i="2"/>
  <c r="G62" i="2"/>
  <c r="G120" i="2" s="1"/>
  <c r="G53" i="2" s="1"/>
  <c r="G48" i="2"/>
  <c r="G49" i="2" l="1"/>
  <c r="G122" i="2"/>
  <c r="H119" i="2" s="1"/>
  <c r="G56" i="2"/>
  <c r="G92" i="2" l="1"/>
  <c r="G95" i="2" s="1"/>
  <c r="G96" i="2" s="1"/>
  <c r="G58" i="2"/>
  <c r="G60" i="2" l="1"/>
  <c r="G68" i="2" s="1"/>
  <c r="H59" i="2" l="1"/>
  <c r="G71" i="2" l="1"/>
  <c r="G75" i="2" s="1"/>
  <c r="G97" i="2" s="1"/>
  <c r="H17" i="2"/>
  <c r="H18" i="2" s="1"/>
  <c r="H20" i="2" s="1"/>
  <c r="H21" i="2" s="1"/>
  <c r="H116" i="2" s="1"/>
  <c r="H125" i="2" l="1"/>
  <c r="H127" i="2" s="1"/>
  <c r="I124" i="2" s="1"/>
  <c r="H26" i="2"/>
  <c r="H32" i="2"/>
  <c r="H117" i="2"/>
  <c r="H42" i="2" l="1"/>
  <c r="H69" i="2" s="1"/>
  <c r="H47" i="2" s="1"/>
  <c r="H94" i="2"/>
  <c r="I114" i="2"/>
  <c r="H91" i="2"/>
  <c r="H62" i="2" l="1"/>
  <c r="H120" i="2" s="1"/>
  <c r="H122" i="2" s="1"/>
  <c r="H48" i="2"/>
  <c r="H49" i="2" s="1"/>
  <c r="H53" i="2" l="1"/>
  <c r="H56" i="2" s="1"/>
  <c r="H58" i="2" s="1"/>
  <c r="H60" i="2" s="1"/>
  <c r="H68" i="2" s="1"/>
  <c r="H92" i="2"/>
  <c r="H95" i="2" s="1"/>
  <c r="H96" i="2" s="1"/>
  <c r="I119" i="2"/>
  <c r="I59" i="2" l="1"/>
  <c r="I17" i="2"/>
  <c r="I18" i="2" s="1"/>
  <c r="I20" i="2" s="1"/>
  <c r="I21" i="2" s="1"/>
  <c r="H71" i="2" l="1"/>
  <c r="H75" i="2" s="1"/>
  <c r="H97" i="2" s="1"/>
  <c r="I125" i="2"/>
  <c r="I127" i="2" s="1"/>
  <c r="I116" i="2"/>
  <c r="I26" i="2"/>
  <c r="I32" i="2" l="1"/>
  <c r="I42" i="2" s="1"/>
  <c r="I69" i="2" s="1"/>
  <c r="I117" i="2"/>
  <c r="I94" i="2"/>
  <c r="J124" i="2"/>
  <c r="I91" i="2" l="1"/>
  <c r="J114" i="2"/>
  <c r="I62" i="2"/>
  <c r="I120" i="2" s="1"/>
  <c r="I47" i="2"/>
  <c r="I48" i="2" l="1"/>
  <c r="I53" i="2"/>
  <c r="I56" i="2" s="1"/>
  <c r="I122" i="2"/>
  <c r="I92" i="2" l="1"/>
  <c r="I95" i="2" s="1"/>
  <c r="I96" i="2" s="1"/>
  <c r="J119" i="2"/>
  <c r="I49" i="2"/>
  <c r="I58" i="2" s="1"/>
  <c r="I60" i="2" s="1"/>
  <c r="I68" i="2" s="1"/>
  <c r="J59" i="2" l="1"/>
  <c r="J17" i="2" l="1"/>
  <c r="J18" i="2" s="1"/>
  <c r="J20" i="2" s="1"/>
  <c r="J21" i="2" s="1"/>
  <c r="I71" i="2"/>
  <c r="I75" i="2" s="1"/>
  <c r="I97" i="2" s="1"/>
  <c r="J116" i="2" l="1"/>
  <c r="J26" i="2"/>
  <c r="J125" i="2"/>
  <c r="J127" i="2" s="1"/>
  <c r="J94" i="2" s="1"/>
  <c r="J32" i="2" l="1"/>
  <c r="J42" i="2" s="1"/>
  <c r="J69" i="2" s="1"/>
  <c r="J117" i="2"/>
  <c r="J91" i="2" s="1"/>
  <c r="J62" i="2" l="1"/>
  <c r="J120" i="2" s="1"/>
  <c r="J47" i="2"/>
  <c r="J48" i="2" l="1"/>
  <c r="J49" i="2" s="1"/>
  <c r="J122" i="2"/>
  <c r="J92" i="2" s="1"/>
  <c r="J95" i="2" s="1"/>
  <c r="J96" i="2" s="1"/>
  <c r="J53" i="2"/>
  <c r="J56" i="2" s="1"/>
  <c r="J58" i="2" l="1"/>
  <c r="J60" i="2" s="1"/>
  <c r="J68" i="2" s="1"/>
  <c r="J71" i="2" l="1"/>
  <c r="J75" i="2" s="1"/>
  <c r="J97" i="2" s="1"/>
</calcChain>
</file>

<file path=xl/sharedStrings.xml><?xml version="1.0" encoding="utf-8"?>
<sst xmlns="http://schemas.openxmlformats.org/spreadsheetml/2006/main" count="181" uniqueCount="166">
  <si>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</si>
  <si>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</si>
  <si>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</si>
  <si>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</si>
  <si>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</si>
  <si>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</si>
  <si>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</si>
  <si>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>Interest and other income (expense)</t>
  </si>
  <si>
    <t>Income before income taxes</t>
  </si>
  <si>
    <t>Net income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</si>
  <si>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</si>
  <si>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</si>
  <si>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</si>
  <si>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</si>
  <si>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</si>
  <si>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</si>
  <si>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</si>
  <si>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</si>
  <si>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</si>
  <si>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</si>
  <si>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</si>
  <si>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</si>
  <si>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</si>
  <si>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</si>
  <si>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</si>
  <si>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</si>
  <si>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</si>
  <si>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</si>
  <si>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</si>
  <si>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</si>
  <si>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</si>
  <si>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Accumulated other comprehensive loss</t>
  </si>
  <si>
    <t>Retained earnings</t>
  </si>
  <si>
    <t>Cash flows from operating activities:</t>
  </si>
  <si>
    <t>Adjustments to reconcile net income to net cash provided by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</si>
  <si>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</si>
  <si>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</si>
  <si>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</si>
  <si>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</si>
  <si>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</si>
  <si>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</si>
  <si>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</si>
  <si>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</si>
  <si>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</si>
  <si>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</si>
  <si>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operating activities</t>
  </si>
  <si>
    <t>Cash flows from investing activities:</t>
  </si>
  <si>
    <t>Purchases of property and equipment</t>
  </si>
  <si>
    <t>Acquisitions</t>
  </si>
  <si>
    <t>Purchases of short-term investments</t>
  </si>
  <si>
    <t>Proceeds from maturities of short-term investments</t>
  </si>
  <si>
    <t>Net cash provided by (used in) investing activities</t>
  </si>
  <si>
    <t>Cash flows from financing activities:</t>
  </si>
  <si>
    <t>Repayments of debt</t>
  </si>
  <si>
    <t>Proceeds from issuance of common stock</t>
  </si>
  <si>
    <t>Repurchases of common stock</t>
  </si>
  <si>
    <t>Taxes paid related to net share settlement of equity awards</t>
  </si>
  <si>
    <t>Other financing activities</t>
  </si>
  <si>
    <t>Income Statement</t>
  </si>
  <si>
    <t>Cash Flow Statement</t>
  </si>
  <si>
    <t>Change in other assets</t>
  </si>
  <si>
    <t>Predicted</t>
  </si>
  <si>
    <t>effective tax rate</t>
  </si>
  <si>
    <t>Interest expense</t>
  </si>
  <si>
    <t>Provision for income taxes</t>
  </si>
  <si>
    <t>Net cash used in financing activities</t>
  </si>
  <si>
    <t>Effect of exchange rate changes on cash, cash equivalents and restricted cash</t>
  </si>
  <si>
    <t>Net increase (decrease) in cash, cash equivalents and restricted cash</t>
  </si>
  <si>
    <t>Cash, cash equivalents and restricted cash, beginning of year</t>
  </si>
  <si>
    <t>Cash, cash equivalents and restricted cash, end of year</t>
  </si>
  <si>
    <t>Liabilities and Stockholders’ Equity</t>
  </si>
  <si>
    <t>Stockholders’ equity:</t>
  </si>
  <si>
    <t>Total stockholders’ equity</t>
  </si>
  <si>
    <t>Total liabilities and stockholders’ equity</t>
  </si>
  <si>
    <t>revenue growth rate</t>
  </si>
  <si>
    <t>cost of revenue/revenue</t>
  </si>
  <si>
    <t>marketing/revenue</t>
  </si>
  <si>
    <t>Tech and development/revenue</t>
  </si>
  <si>
    <t>general and administrative/revenue</t>
  </si>
  <si>
    <t>Depreciation</t>
  </si>
  <si>
    <t>short term investments/operating cash flow</t>
  </si>
  <si>
    <t>content asset amortization</t>
  </si>
  <si>
    <t>operating costs</t>
  </si>
  <si>
    <t>accounts payable/operating costs</t>
  </si>
  <si>
    <t>current asset growth rate</t>
  </si>
  <si>
    <t>Revenue Schedule</t>
  </si>
  <si>
    <t>Financial Results:</t>
  </si>
  <si>
    <t>Streaming revenues</t>
  </si>
  <si>
    <t>DVD revenues (1)</t>
  </si>
  <si>
    <t>Total revenues</t>
  </si>
  <si>
    <t>Global Streaming Memberships:</t>
  </si>
  <si>
    <t>Paid net membership additions</t>
  </si>
  <si>
    <t>Paid memberships at end of period</t>
  </si>
  <si>
    <t>Average paying memberships</t>
  </si>
  <si>
    <t>Average monthly revenue per paying membership</t>
  </si>
  <si>
    <t>Average paying memberships/paid memberships at end of period</t>
  </si>
  <si>
    <t>Inflation</t>
  </si>
  <si>
    <t>Income Statement Assumptions and Memos</t>
  </si>
  <si>
    <t>Common stock</t>
  </si>
  <si>
    <t>Treasury stock</t>
  </si>
  <si>
    <t>Common stock BOP</t>
  </si>
  <si>
    <t>Common stock EOP</t>
  </si>
  <si>
    <t>Treasury stock BOP</t>
  </si>
  <si>
    <t>Treasury stock EOP</t>
  </si>
  <si>
    <t>Retained earnings BOP</t>
  </si>
  <si>
    <t>Net Income</t>
  </si>
  <si>
    <t>Dividends</t>
  </si>
  <si>
    <t>Retained earnings EOP</t>
  </si>
  <si>
    <t>Stockholder's Schedule Assumptions and Memos</t>
  </si>
  <si>
    <t>buyback ratio</t>
  </si>
  <si>
    <t>Non GAAP Free Cash Flow</t>
  </si>
  <si>
    <t>Common stock Issuances</t>
  </si>
  <si>
    <t>Treasury stock purchases</t>
  </si>
  <si>
    <t>common stock issuance/sum of PP&amp;E additions and content additions</t>
  </si>
  <si>
    <t>sum of PP&amp;E additions and content additions</t>
  </si>
  <si>
    <t>Net Income/Stock-based compensation expense</t>
  </si>
  <si>
    <t>Stockholder Equity Schedule</t>
  </si>
  <si>
    <t>Balance Sheet</t>
  </si>
  <si>
    <t>Balance</t>
  </si>
  <si>
    <t>Content Schedule</t>
  </si>
  <si>
    <t>X</t>
  </si>
  <si>
    <t>Content assets BOP</t>
  </si>
  <si>
    <t>Content additions</t>
  </si>
  <si>
    <t>Content assets EOP</t>
  </si>
  <si>
    <t>current content liabilities/content assets EOP</t>
  </si>
  <si>
    <t>current content liabilities</t>
  </si>
  <si>
    <t>non-current content liabilities</t>
  </si>
  <si>
    <t>non-current content liabilities/content assets EOP</t>
  </si>
  <si>
    <t>Content amortization/content assets BOP</t>
  </si>
  <si>
    <t>*Historic content additions are not provided in Netflix's financial statements. Historic values have been backed into by using the beginning and ending period content assets and content amortization</t>
  </si>
  <si>
    <t>*Content amortization values are used from: Notes to consolidated financial statements, 5) Balance sheet components</t>
  </si>
  <si>
    <t>*Depreciation values are calculated from: Notes to consolidated financial statements, 5) Balance sheet components</t>
  </si>
  <si>
    <t>Land</t>
  </si>
  <si>
    <t>Buildings</t>
  </si>
  <si>
    <t>Information technology</t>
  </si>
  <si>
    <t>Corporate aircraft</t>
  </si>
  <si>
    <t>Machinery and equipment</t>
  </si>
  <si>
    <t>Expected useful life (years)</t>
  </si>
  <si>
    <t>Property and equipment additions</t>
  </si>
  <si>
    <t>Property and equipment, net BOP</t>
  </si>
  <si>
    <t>Property and equipment, net EOP</t>
  </si>
  <si>
    <t>Furnature and fixtures</t>
  </si>
  <si>
    <t>Lease improvements</t>
  </si>
  <si>
    <t>depreciation rate</t>
  </si>
  <si>
    <t>2023 value</t>
  </si>
  <si>
    <t>PP&amp;E and Depreciation Schedule</t>
  </si>
  <si>
    <t>Forecasted depreciation rate</t>
  </si>
  <si>
    <t>PP&amp;E type</t>
  </si>
  <si>
    <t>weighted depreciation rate</t>
  </si>
  <si>
    <t>*during 2023 Netflix has ended their DVD services</t>
  </si>
  <si>
    <t>Interest expense/revenue</t>
  </si>
  <si>
    <t>cash and cash equivalent yield</t>
  </si>
  <si>
    <t>2023 relative value</t>
  </si>
  <si>
    <t>Shares withheld related to net share settlement</t>
  </si>
  <si>
    <t>*Cash and cash equivalents differ between the balance sheet and the cash flow statement due to Netflix classifying certain assets, such as short-term investments and restricted cash, under other current assets and non-current assets.</t>
  </si>
  <si>
    <t>*Refers to foreign currency gains/losses and interest earnings on cash. Forecasting foreign currency gains/losses is beyond scope for this project and only the cash earnings will be considered</t>
  </si>
  <si>
    <t>*Captures changes in both current and non-current content liabilities</t>
  </si>
  <si>
    <t xml:space="preserve">*Netflix states  they have never issued dividends and do not plan on doing so in the foreseeable future </t>
  </si>
  <si>
    <t>Revenue Schedule Assumption</t>
  </si>
  <si>
    <t>*Base case inflation is based on the 5-year TIPS spread https://ycharts.com/indicators/5_year_tipstreasury_breakeven_rate</t>
  </si>
  <si>
    <t>Balance Sheet Assumptions and Memos</t>
  </si>
  <si>
    <t>Content Schedule Memos</t>
  </si>
  <si>
    <t>Actual</t>
  </si>
  <si>
    <t>Netflix Three-Statement Model</t>
  </si>
  <si>
    <t>(In thousands, except per membership data and percentages)</t>
  </si>
  <si>
    <t>By: Francis Stipek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</si>
</sst>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43" fontId="0" fillId="0" borderId="0" xfId="1" applyFont="1"/>
    <xf numFmtId="0" fontId="3" fillId="0" borderId="0" xfId="0" applyFont="1"/>
    <xf numFmtId="0" fontId="0" fillId="0" borderId="0" xfId="1" applyNumberFormat="1" applyFont="1"/>
    <xf numFmtId="0" fontId="5" fillId="0" borderId="1" xfId="0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43" fontId="4" fillId="0" borderId="0" xfId="1" applyFont="1" applyBorder="1"/>
    <xf numFmtId="43" fontId="0" fillId="0" borderId="0" xfId="1" applyFont="1" applyBorder="1"/>
    <xf numFmtId="43" fontId="0" fillId="0" borderId="5" xfId="1" applyFont="1" applyBorder="1"/>
    <xf numFmtId="0" fontId="3" fillId="0" borderId="4" xfId="0" applyFont="1" applyBorder="1"/>
    <xf numFmtId="0" fontId="3" fillId="0" borderId="6" xfId="0" applyFont="1" applyBorder="1"/>
    <xf numFmtId="3" fontId="0" fillId="0" borderId="5" xfId="0" applyNumberFormat="1" applyBorder="1"/>
    <xf numFmtId="43" fontId="0" fillId="0" borderId="0" xfId="1" applyFont="1" applyFill="1" applyBorder="1"/>
    <xf numFmtId="43" fontId="0" fillId="0" borderId="5" xfId="1" applyFont="1" applyFill="1" applyBorder="1"/>
    <xf numFmtId="0" fontId="0" fillId="0" borderId="6" xfId="0" applyBorder="1"/>
    <xf numFmtId="43" fontId="0" fillId="0" borderId="7" xfId="1" applyFont="1" applyBorder="1"/>
    <xf numFmtId="43" fontId="0" fillId="0" borderId="8" xfId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0" fillId="0" borderId="0" xfId="1" applyNumberFormat="1" applyFont="1" applyBorder="1"/>
    <xf numFmtId="0" fontId="0" fillId="0" borderId="5" xfId="0" applyBorder="1"/>
    <xf numFmtId="164" fontId="0" fillId="0" borderId="0" xfId="4" applyNumberFormat="1" applyFont="1" applyBorder="1"/>
    <xf numFmtId="0" fontId="0" fillId="0" borderId="7" xfId="0" applyBorder="1"/>
    <xf numFmtId="164" fontId="0" fillId="0" borderId="8" xfId="4" applyNumberFormat="1" applyFont="1" applyBorder="1"/>
    <xf numFmtId="43" fontId="0" fillId="0" borderId="5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0" xfId="4" applyNumberFormat="1" applyFont="1" applyFill="1" applyBorder="1"/>
    <xf numFmtId="164" fontId="0" fillId="0" borderId="5" xfId="4" applyNumberFormat="1" applyFont="1" applyFill="1" applyBorder="1"/>
    <xf numFmtId="164" fontId="0" fillId="0" borderId="7" xfId="4" applyNumberFormat="1" applyFont="1" applyFill="1" applyBorder="1"/>
    <xf numFmtId="164" fontId="0" fillId="0" borderId="8" xfId="4" applyNumberFormat="1" applyFont="1" applyFill="1" applyBorder="1"/>
    <xf numFmtId="0" fontId="0" fillId="0" borderId="4" xfId="0" applyBorder="1" applyAlignment="1">
      <alignment horizontal="left"/>
    </xf>
    <xf numFmtId="43" fontId="0" fillId="0" borderId="6" xfId="1" applyFont="1" applyBorder="1"/>
    <xf numFmtId="165" fontId="4" fillId="0" borderId="0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4" fillId="0" borderId="7" xfId="1" applyNumberFormat="1" applyFont="1" applyBorder="1"/>
    <xf numFmtId="0" fontId="0" fillId="0" borderId="4" xfId="0" applyBorder="1" applyAlignment="1">
      <alignment horizontal="left" indent="4"/>
    </xf>
    <xf numFmtId="0" fontId="3" fillId="0" borderId="4" xfId="0" applyFont="1" applyBorder="1" applyAlignment="1">
      <alignment horizontal="left" indent="4"/>
    </xf>
    <xf numFmtId="165" fontId="3" fillId="0" borderId="0" xfId="1" applyNumberFormat="1" applyFont="1" applyFill="1" applyBorder="1"/>
    <xf numFmtId="165" fontId="3" fillId="0" borderId="5" xfId="1" applyNumberFormat="1" applyFont="1" applyFill="1" applyBorder="1"/>
    <xf numFmtId="0" fontId="3" fillId="0" borderId="6" xfId="0" applyFont="1" applyBorder="1" applyAlignment="1">
      <alignment horizontal="left" indent="4"/>
    </xf>
    <xf numFmtId="165" fontId="3" fillId="0" borderId="7" xfId="1" applyNumberFormat="1" applyFont="1" applyFill="1" applyBorder="1"/>
    <xf numFmtId="165" fontId="3" fillId="0" borderId="8" xfId="1" applyNumberFormat="1" applyFont="1" applyFill="1" applyBorder="1"/>
    <xf numFmtId="165" fontId="4" fillId="0" borderId="0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0" fontId="0" fillId="0" borderId="4" xfId="0" applyBorder="1" applyAlignment="1">
      <alignment horizontal="left" indent="2"/>
    </xf>
    <xf numFmtId="0" fontId="3" fillId="0" borderId="4" xfId="0" applyFont="1" applyBorder="1" applyAlignment="1">
      <alignment horizontal="left" indent="6"/>
    </xf>
    <xf numFmtId="43" fontId="0" fillId="0" borderId="0" xfId="0" applyNumberFormat="1"/>
    <xf numFmtId="43" fontId="0" fillId="0" borderId="2" xfId="1" applyFont="1" applyFill="1" applyBorder="1"/>
    <xf numFmtId="43" fontId="0" fillId="0" borderId="3" xfId="1" applyFont="1" applyFill="1" applyBorder="1"/>
    <xf numFmtId="43" fontId="3" fillId="0" borderId="0" xfId="1" applyFont="1" applyFill="1" applyBorder="1"/>
    <xf numFmtId="43" fontId="3" fillId="0" borderId="5" xfId="1" applyFont="1" applyFill="1" applyBorder="1"/>
    <xf numFmtId="43" fontId="0" fillId="0" borderId="0" xfId="1" applyFont="1" applyFill="1"/>
    <xf numFmtId="165" fontId="4" fillId="0" borderId="7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0" fillId="0" borderId="3" xfId="0" applyBorder="1"/>
    <xf numFmtId="164" fontId="0" fillId="0" borderId="5" xfId="4" applyNumberFormat="1" applyFont="1" applyBorder="1"/>
    <xf numFmtId="9" fontId="0" fillId="0" borderId="2" xfId="4" applyFont="1" applyBorder="1"/>
    <xf numFmtId="164" fontId="0" fillId="0" borderId="0" xfId="4" applyNumberFormat="1" applyFont="1"/>
    <xf numFmtId="164" fontId="0" fillId="0" borderId="7" xfId="4" applyNumberFormat="1" applyFont="1" applyBorder="1"/>
    <xf numFmtId="2" fontId="0" fillId="0" borderId="0" xfId="0" applyNumberFormat="1"/>
    <xf numFmtId="2" fontId="0" fillId="0" borderId="0" xfId="1" applyNumberFormat="1" applyFont="1" applyBorder="1"/>
    <xf numFmtId="2" fontId="0" fillId="0" borderId="5" xfId="1" applyNumberFormat="1" applyFont="1" applyBorder="1"/>
    <xf numFmtId="165" fontId="0" fillId="0" borderId="0" xfId="0" applyNumberFormat="1"/>
    <xf numFmtId="165" fontId="0" fillId="0" borderId="5" xfId="0" applyNumberForma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2" xr:uid="{DC813562-FA5E-42C1-AEAE-4C4C4DCFEBA6}"/>
    <cellStyle name="Percent" xfId="4" builtinId="5"/>
    <cellStyle name="Percent 10" xfId="3" xr:uid="{2D98EA82-E008-4687-9B3C-D84B0FD3E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98F8-34F6-452F-8E21-2A7C83DB16A9}">
  <sheetPr codeName="Sheet1"/>
  <dimension ref="A1:K161"/>
  <sheetViews>
    <sheetView zoomScale="85" zoomScaleNormal="85" workbookViewId="0">
      <pane ySplit="2" topLeftCell="A3" activePane="bottomLeft" state="frozen"/>
      <selection pane="bottomLeft"/>
    </sheetView>
  </sheetViews>
  <sheetFormatPr defaultRowHeight="14.4" x14ac:dyDescent="0.3"/>
  <cols>
    <col min="2" max="2" width="69" customWidth="1"/>
    <col min="3" max="5" width="14.88671875" bestFit="1" customWidth="1"/>
    <col min="6" max="6" width="17.109375" style="2" bestFit="1" customWidth="1"/>
    <col min="7" max="10" width="15.109375" style="2" bestFit="1" customWidth="1"/>
  </cols>
  <sheetData>
    <row r="1" spans="1:10" x14ac:dyDescent="0.3">
      <c r="C1" t="s">
        <v>162</v>
      </c>
      <c r="F1" s="2" t="s">
        <v>61</v>
      </c>
    </row>
    <row r="2" spans="1:10" x14ac:dyDescent="0.3">
      <c r="C2">
        <v>2021</v>
      </c>
      <c r="D2">
        <v>2022</v>
      </c>
      <c r="E2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</row>
    <row r="3" spans="1:10" ht="25.8" x14ac:dyDescent="0.5">
      <c r="B3" s="76" t="s">
        <v>163</v>
      </c>
      <c r="C3" s="76"/>
      <c r="D3" s="76"/>
      <c r="E3" s="76"/>
      <c r="F3" s="76"/>
      <c r="G3" s="76"/>
      <c r="H3" s="76"/>
      <c r="I3" s="76"/>
      <c r="J3" s="76"/>
    </row>
    <row r="4" spans="1:10" ht="18" x14ac:dyDescent="0.35">
      <c r="B4" s="77" t="s">
        <v>164</v>
      </c>
      <c r="C4" s="77"/>
      <c r="D4" s="77"/>
      <c r="E4" s="77"/>
      <c r="F4" s="77"/>
      <c r="G4" s="77"/>
      <c r="H4" s="77"/>
      <c r="I4" s="77"/>
      <c r="J4" s="77"/>
    </row>
    <row r="5" spans="1:10" x14ac:dyDescent="0.3">
      <c r="B5" s="78" t="s">
        <v>165</v>
      </c>
      <c r="C5" s="78"/>
      <c r="D5" s="78"/>
      <c r="E5" s="78"/>
      <c r="F5" s="78"/>
      <c r="G5" s="78"/>
      <c r="H5" s="78"/>
      <c r="I5" s="78"/>
      <c r="J5" s="78"/>
    </row>
    <row r="6" spans="1:10" ht="15" thickBot="1" x14ac:dyDescent="0.35">
      <c r="F6" s="4"/>
      <c r="G6" s="4"/>
      <c r="H6" s="4"/>
      <c r="I6" s="4"/>
      <c r="J6" s="4"/>
    </row>
    <row r="7" spans="1:10" ht="18" x14ac:dyDescent="0.35">
      <c r="A7" t="s">
        <v>120</v>
      </c>
      <c r="B7" s="5" t="s">
        <v>58</v>
      </c>
      <c r="C7" s="6"/>
      <c r="D7" s="6"/>
      <c r="E7" s="6"/>
      <c r="F7" s="58"/>
      <c r="G7" s="58"/>
      <c r="H7" s="58"/>
      <c r="I7" s="58"/>
      <c r="J7" s="59"/>
    </row>
    <row r="8" spans="1:10" x14ac:dyDescent="0.3">
      <c r="B8" s="9" t="s">
        <v>0</v>
      </c>
      <c r="C8" s="52">
        <v>29697844</v>
      </c>
      <c r="D8" s="52">
        <v>31615550</v>
      </c>
      <c r="E8" s="52">
        <v>33723297</v>
      </c>
      <c r="F8" s="53">
        <f>F110</f>
        <v>37695392.592958532</v>
      </c>
      <c r="G8" s="53">
        <f t="shared" ref="G8:J8" si="0">G110</f>
        <v>41030894.698428616</v>
      </c>
      <c r="H8" s="53">
        <f t="shared" si="0"/>
        <v>44217084.478374399</v>
      </c>
      <c r="I8" s="53">
        <f t="shared" si="0"/>
        <v>48055719.933752343</v>
      </c>
      <c r="J8" s="54">
        <f t="shared" si="0"/>
        <v>51750223.47993952</v>
      </c>
    </row>
    <row r="9" spans="1:10" x14ac:dyDescent="0.3">
      <c r="B9" s="55" t="s">
        <v>1</v>
      </c>
      <c r="C9" s="52">
        <v>17332683</v>
      </c>
      <c r="D9" s="52">
        <v>19168285</v>
      </c>
      <c r="E9" s="52">
        <v>19715368</v>
      </c>
      <c r="F9" s="53">
        <f>F8*'Assumptions and Memos'!E5</f>
        <v>22297439.653935332</v>
      </c>
      <c r="G9" s="53">
        <f>G8*'Assumptions and Memos'!F5</f>
        <v>24270443.562274683</v>
      </c>
      <c r="H9" s="53">
        <f>H8*'Assumptions and Memos'!G5</f>
        <v>26155126.794293802</v>
      </c>
      <c r="I9" s="53">
        <f>I8*'Assumptions and Memos'!H5</f>
        <v>28425742.286854945</v>
      </c>
      <c r="J9" s="54">
        <f>J8*'Assumptions and Memos'!I5</f>
        <v>30611101.403866686</v>
      </c>
    </row>
    <row r="10" spans="1:10" x14ac:dyDescent="0.3">
      <c r="B10" s="55" t="s">
        <v>2</v>
      </c>
      <c r="C10" s="52">
        <v>2545146</v>
      </c>
      <c r="D10" s="52">
        <v>2530502</v>
      </c>
      <c r="E10" s="52">
        <v>2657883</v>
      </c>
      <c r="F10" s="53">
        <f>F8*'Assumptions and Memos'!E6</f>
        <v>3072873.2460851562</v>
      </c>
      <c r="G10" s="53">
        <f>G8*'Assumptions and Memos'!F6</f>
        <v>3344778.4970222255</v>
      </c>
      <c r="H10" s="53">
        <f>H8*'Assumptions and Memos'!G6</f>
        <v>3604512.0256650401</v>
      </c>
      <c r="I10" s="53">
        <f>I8*'Assumptions and Memos'!H6</f>
        <v>3917431.9710725914</v>
      </c>
      <c r="J10" s="54">
        <f>J8*'Assumptions and Memos'!I6</f>
        <v>4218602.4941451112</v>
      </c>
    </row>
    <row r="11" spans="1:10" x14ac:dyDescent="0.3">
      <c r="B11" s="55" t="s">
        <v>3</v>
      </c>
      <c r="C11" s="52">
        <v>2273885</v>
      </c>
      <c r="D11" s="52">
        <v>2711041</v>
      </c>
      <c r="E11" s="52">
        <v>2675758</v>
      </c>
      <c r="F11" s="53">
        <f>F8*'Assumptions and Memos'!E7</f>
        <v>3036515.6426784331</v>
      </c>
      <c r="G11" s="53">
        <f>G8*'Assumptions and Memos'!F7</f>
        <v>3305203.7666837713</v>
      </c>
      <c r="H11" s="53">
        <f>H8*'Assumptions and Memos'!G7</f>
        <v>3561864.1817063433</v>
      </c>
      <c r="I11" s="53">
        <f>I8*'Assumptions and Memos'!H7</f>
        <v>3871081.7227639346</v>
      </c>
      <c r="J11" s="54">
        <f>J8*'Assumptions and Memos'!I7</f>
        <v>4168688.8582318351</v>
      </c>
    </row>
    <row r="12" spans="1:10" x14ac:dyDescent="0.3">
      <c r="B12" s="55" t="s">
        <v>4</v>
      </c>
      <c r="C12" s="52">
        <v>1351621</v>
      </c>
      <c r="D12" s="52">
        <v>1572891</v>
      </c>
      <c r="E12" s="52">
        <v>1720285</v>
      </c>
      <c r="F12" s="53">
        <f>F8*'Assumptions and Memos'!E8</f>
        <v>1837961.3297714656</v>
      </c>
      <c r="G12" s="53">
        <f>G8*'Assumptions and Memos'!F8</f>
        <v>2000594.5712241756</v>
      </c>
      <c r="H12" s="53">
        <f>H8*'Assumptions and Memos'!G8</f>
        <v>2155947.6051635891</v>
      </c>
      <c r="I12" s="53">
        <f>I8*'Assumptions and Memos'!H8</f>
        <v>2343112.7476588092</v>
      </c>
      <c r="J12" s="54">
        <f>J8*'Assumptions and Memos'!I8</f>
        <v>2523250.2706690882</v>
      </c>
    </row>
    <row r="13" spans="1:10" x14ac:dyDescent="0.3">
      <c r="B13" s="13" t="s">
        <v>5</v>
      </c>
      <c r="C13" s="47">
        <f>C8-SUM(C9:C12)</f>
        <v>6194509</v>
      </c>
      <c r="D13" s="47">
        <f t="shared" ref="D13:E13" si="1">D8-SUM(D9:D12)</f>
        <v>5632831</v>
      </c>
      <c r="E13" s="47">
        <f t="shared" si="1"/>
        <v>6954003</v>
      </c>
      <c r="F13" s="47">
        <f t="shared" ref="F13" si="2">F8-SUM(F9:F12)</f>
        <v>7450602.7204881459</v>
      </c>
      <c r="G13" s="47">
        <f t="shared" ref="G13" si="3">G8-SUM(G9:G12)</f>
        <v>8109874.3012237586</v>
      </c>
      <c r="H13" s="47">
        <f t="shared" ref="H13" si="4">H8-SUM(H9:H12)</f>
        <v>8739633.8715456203</v>
      </c>
      <c r="I13" s="47">
        <f t="shared" ref="I13" si="5">I8-SUM(I9:I12)</f>
        <v>9498351.2054020613</v>
      </c>
      <c r="J13" s="48">
        <f t="shared" ref="J13" si="6">J8-SUM(J9:J12)</f>
        <v>10228580.453026801</v>
      </c>
    </row>
    <row r="14" spans="1:10" x14ac:dyDescent="0.3">
      <c r="B14" s="13"/>
      <c r="C14" s="60"/>
      <c r="D14" s="60"/>
      <c r="E14" s="60"/>
      <c r="F14" s="60"/>
      <c r="G14" s="60"/>
      <c r="H14" s="60"/>
      <c r="I14" s="60"/>
      <c r="J14" s="61"/>
    </row>
    <row r="15" spans="1:10" x14ac:dyDescent="0.3">
      <c r="B15" s="9" t="s">
        <v>6</v>
      </c>
      <c r="C15" s="16"/>
      <c r="D15" s="16"/>
      <c r="E15" s="16"/>
      <c r="F15" s="16"/>
      <c r="G15" s="16"/>
      <c r="H15" s="16"/>
      <c r="I15" s="16"/>
      <c r="J15" s="17"/>
    </row>
    <row r="16" spans="1:10" x14ac:dyDescent="0.3">
      <c r="B16" s="55" t="s">
        <v>63</v>
      </c>
      <c r="C16" s="52">
        <v>-765620</v>
      </c>
      <c r="D16" s="52">
        <v>-706212</v>
      </c>
      <c r="E16" s="52">
        <v>-699826</v>
      </c>
      <c r="F16" s="53">
        <f>'Assumptions and Memos'!E10*F8</f>
        <v>-865358.24811097782</v>
      </c>
      <c r="G16" s="53">
        <f>'Assumptions and Memos'!F10*G8</f>
        <v>-941930.05331083259</v>
      </c>
      <c r="H16" s="53">
        <f>'Assumptions and Memos'!G10*H8</f>
        <v>-1015074.1543922477</v>
      </c>
      <c r="I16" s="53">
        <f>'Assumptions and Memos'!H10*I8</f>
        <v>-1103196.1933021978</v>
      </c>
      <c r="J16" s="54">
        <f>'Assumptions and Memos'!I10*J8</f>
        <v>-1188009.452866592</v>
      </c>
    </row>
    <row r="17" spans="1:11" x14ac:dyDescent="0.3">
      <c r="B17" s="55" t="s">
        <v>7</v>
      </c>
      <c r="C17" s="52">
        <v>411214</v>
      </c>
      <c r="D17" s="52">
        <v>337310</v>
      </c>
      <c r="E17" s="52">
        <v>-48772</v>
      </c>
      <c r="F17" s="53">
        <f>E68*'Assumptions and Memos'!E11</f>
        <v>355845.65</v>
      </c>
      <c r="G17" s="53">
        <f>F68*'Assumptions and Memos'!F11</f>
        <v>502876.12051909353</v>
      </c>
      <c r="H17" s="53">
        <f>G68*'Assumptions and Memos'!G11</f>
        <v>692509.59303409257</v>
      </c>
      <c r="I17" s="53">
        <f>H68*'Assumptions and Memos'!H11</f>
        <v>882892.25150267675</v>
      </c>
      <c r="J17" s="54">
        <f>I68*'Assumptions and Memos'!I11</f>
        <v>1083454.9775544021</v>
      </c>
      <c r="K17" t="s">
        <v>155</v>
      </c>
    </row>
    <row r="18" spans="1:11" x14ac:dyDescent="0.3">
      <c r="B18" s="13" t="s">
        <v>8</v>
      </c>
      <c r="C18" s="47">
        <f>C13+SUM(C16:C17)</f>
        <v>5840103</v>
      </c>
      <c r="D18" s="47">
        <f t="shared" ref="D18:E18" si="7">D13+SUM(D16:D17)</f>
        <v>5263929</v>
      </c>
      <c r="E18" s="47">
        <f t="shared" si="7"/>
        <v>6205405</v>
      </c>
      <c r="F18" s="47">
        <f t="shared" ref="F18" si="8">F13+SUM(F16:F17)</f>
        <v>6941090.1223771684</v>
      </c>
      <c r="G18" s="47">
        <f t="shared" ref="G18" si="9">G13+SUM(G16:G17)</f>
        <v>7670820.3684320198</v>
      </c>
      <c r="H18" s="47">
        <f t="shared" ref="H18" si="10">H13+SUM(H16:H17)</f>
        <v>8417069.3101874646</v>
      </c>
      <c r="I18" s="47">
        <f t="shared" ref="I18" si="11">I13+SUM(I16:I17)</f>
        <v>9278047.2636025399</v>
      </c>
      <c r="J18" s="48">
        <f t="shared" ref="J18" si="12">J13+SUM(J16:J17)</f>
        <v>10124025.977714611</v>
      </c>
    </row>
    <row r="19" spans="1:11" x14ac:dyDescent="0.3">
      <c r="B19" s="9"/>
      <c r="C19" s="16"/>
      <c r="D19" s="16"/>
      <c r="E19" s="16"/>
      <c r="F19" s="16"/>
      <c r="G19" s="16"/>
      <c r="H19" s="16"/>
      <c r="I19" s="16"/>
      <c r="J19" s="17"/>
    </row>
    <row r="20" spans="1:11" x14ac:dyDescent="0.3">
      <c r="B20" s="9" t="s">
        <v>64</v>
      </c>
      <c r="C20" s="52">
        <v>-723875</v>
      </c>
      <c r="D20" s="52">
        <v>-772005</v>
      </c>
      <c r="E20" s="52">
        <v>-797415</v>
      </c>
      <c r="F20" s="53">
        <f>F18*'Assumptions and Memos'!E9</f>
        <v>-923423.59321944206</v>
      </c>
      <c r="G20" s="53">
        <f>G18*'Assumptions and Memos'!F9</f>
        <v>-1020504.9037934791</v>
      </c>
      <c r="H20" s="53">
        <f>H18*'Assumptions and Memos'!G9</f>
        <v>-1119783.8163392819</v>
      </c>
      <c r="I20" s="53">
        <f>I18*'Assumptions and Memos'!H9</f>
        <v>-1234325.9619400343</v>
      </c>
      <c r="J20" s="54">
        <f>J18*'Assumptions and Memos'!I9</f>
        <v>-1346872.6498808891</v>
      </c>
    </row>
    <row r="21" spans="1:11" ht="15" thickBot="1" x14ac:dyDescent="0.35">
      <c r="B21" s="14" t="s">
        <v>9</v>
      </c>
      <c r="C21" s="50">
        <f>C18+C20</f>
        <v>5116228</v>
      </c>
      <c r="D21" s="50">
        <f t="shared" ref="D21:E21" si="13">D18+D20</f>
        <v>4491924</v>
      </c>
      <c r="E21" s="50">
        <f t="shared" si="13"/>
        <v>5407990</v>
      </c>
      <c r="F21" s="50">
        <f t="shared" ref="F21:J21" si="14">F18+F20</f>
        <v>6017666.5291577261</v>
      </c>
      <c r="G21" s="50">
        <f t="shared" si="14"/>
        <v>6650315.4646385405</v>
      </c>
      <c r="H21" s="50">
        <f t="shared" si="14"/>
        <v>7297285.4938481823</v>
      </c>
      <c r="I21" s="50">
        <f t="shared" si="14"/>
        <v>8043721.3016625056</v>
      </c>
      <c r="J21" s="51">
        <f t="shared" si="14"/>
        <v>8777153.3278337214</v>
      </c>
    </row>
    <row r="22" spans="1:11" x14ac:dyDescent="0.3">
      <c r="C22" s="62"/>
      <c r="D22" s="62"/>
      <c r="E22" s="62"/>
      <c r="F22" s="62"/>
      <c r="G22" s="62"/>
      <c r="H22" s="62"/>
      <c r="I22" s="62"/>
      <c r="J22" s="62"/>
    </row>
    <row r="23" spans="1:11" ht="15" thickBot="1" x14ac:dyDescent="0.35">
      <c r="F23" s="62"/>
      <c r="G23" s="62"/>
      <c r="H23" s="62"/>
      <c r="I23" s="62"/>
      <c r="J23" s="62"/>
    </row>
    <row r="24" spans="1:11" ht="18" x14ac:dyDescent="0.35">
      <c r="A24" t="s">
        <v>120</v>
      </c>
      <c r="B24" s="5" t="s">
        <v>59</v>
      </c>
      <c r="C24" s="6"/>
      <c r="D24" s="6"/>
      <c r="E24" s="6"/>
      <c r="F24" s="58"/>
      <c r="G24" s="58"/>
      <c r="H24" s="58"/>
      <c r="I24" s="58"/>
      <c r="J24" s="59"/>
    </row>
    <row r="25" spans="1:11" x14ac:dyDescent="0.3">
      <c r="B25" s="13" t="s">
        <v>33</v>
      </c>
      <c r="F25" s="16"/>
      <c r="G25" s="16"/>
      <c r="H25" s="16"/>
      <c r="I25" s="16"/>
      <c r="J25" s="17"/>
    </row>
    <row r="26" spans="1:11" x14ac:dyDescent="0.3">
      <c r="B26" s="9" t="s">
        <v>9</v>
      </c>
      <c r="C26" s="52">
        <f t="shared" ref="C26:J26" si="15">C21</f>
        <v>5116228</v>
      </c>
      <c r="D26" s="52">
        <f t="shared" si="15"/>
        <v>4491924</v>
      </c>
      <c r="E26" s="52">
        <f t="shared" si="15"/>
        <v>5407990</v>
      </c>
      <c r="F26" s="53">
        <f t="shared" si="15"/>
        <v>6017666.5291577261</v>
      </c>
      <c r="G26" s="53">
        <f t="shared" si="15"/>
        <v>6650315.4646385405</v>
      </c>
      <c r="H26" s="53">
        <f t="shared" si="15"/>
        <v>7297285.4938481823</v>
      </c>
      <c r="I26" s="53">
        <f t="shared" si="15"/>
        <v>8043721.3016625056</v>
      </c>
      <c r="J26" s="54">
        <f t="shared" si="15"/>
        <v>8777153.3278337214</v>
      </c>
    </row>
    <row r="27" spans="1:11" ht="15" customHeight="1" x14ac:dyDescent="0.3">
      <c r="B27" s="9" t="s">
        <v>34</v>
      </c>
      <c r="C27" s="52"/>
      <c r="D27" s="52"/>
      <c r="E27" s="52"/>
      <c r="F27" s="53"/>
      <c r="G27" s="53"/>
      <c r="H27" s="53"/>
      <c r="I27" s="53"/>
      <c r="J27" s="54"/>
    </row>
    <row r="28" spans="1:11" x14ac:dyDescent="0.3">
      <c r="B28" s="55" t="s">
        <v>35</v>
      </c>
      <c r="C28" s="52">
        <v>-17702202</v>
      </c>
      <c r="D28" s="52">
        <v>-16839038</v>
      </c>
      <c r="E28" s="52">
        <v>-12554703</v>
      </c>
      <c r="F28" s="53">
        <f>F132*(-1)</f>
        <v>-14663974.356975019</v>
      </c>
      <c r="G28" s="53">
        <f t="shared" ref="G28:J28" si="16">G132*(-1)</f>
        <v>-15961525.966807202</v>
      </c>
      <c r="H28" s="53">
        <f t="shared" si="16"/>
        <v>-17200993.233645231</v>
      </c>
      <c r="I28" s="53">
        <f t="shared" si="16"/>
        <v>-18694269.944973398</v>
      </c>
      <c r="J28" s="54">
        <f t="shared" si="16"/>
        <v>-20131477.5593905</v>
      </c>
    </row>
    <row r="29" spans="1:11" x14ac:dyDescent="0.3">
      <c r="B29" s="55" t="s">
        <v>36</v>
      </c>
      <c r="C29" s="52">
        <v>232898</v>
      </c>
      <c r="D29" s="52">
        <v>179310</v>
      </c>
      <c r="E29" s="52">
        <v>-585602</v>
      </c>
      <c r="F29" s="53">
        <f>F79-E79+F85-E85</f>
        <v>312046.00295761833</v>
      </c>
      <c r="G29" s="53">
        <f t="shared" ref="G29:J29" si="17">G79-F79+G85-F85</f>
        <v>326575.69569183839</v>
      </c>
      <c r="H29" s="53">
        <f t="shared" si="17"/>
        <v>463609.47400817694</v>
      </c>
      <c r="I29" s="53">
        <f t="shared" si="17"/>
        <v>596684.64798555849</v>
      </c>
      <c r="J29" s="54">
        <f t="shared" si="17"/>
        <v>656086.20322558144</v>
      </c>
      <c r="K29" t="s">
        <v>156</v>
      </c>
    </row>
    <row r="30" spans="1:11" x14ac:dyDescent="0.3">
      <c r="B30" s="55" t="s">
        <v>37</v>
      </c>
      <c r="C30" s="52">
        <v>12230367</v>
      </c>
      <c r="D30" s="52">
        <v>14026132</v>
      </c>
      <c r="E30" s="52">
        <v>14197437</v>
      </c>
      <c r="F30" s="53">
        <f>F133</f>
        <v>14448037.3944492</v>
      </c>
      <c r="G30" s="53">
        <f t="shared" ref="G30:J30" si="18">G133</f>
        <v>14546586.253842739</v>
      </c>
      <c r="H30" s="53">
        <f t="shared" si="18"/>
        <v>15192333.481145695</v>
      </c>
      <c r="I30" s="53">
        <f t="shared" si="18"/>
        <v>16109041.418513622</v>
      </c>
      <c r="J30" s="54">
        <f t="shared" si="18"/>
        <v>17288882.607229933</v>
      </c>
    </row>
    <row r="31" spans="1:11" x14ac:dyDescent="0.3">
      <c r="B31" s="55" t="s">
        <v>38</v>
      </c>
      <c r="C31" s="52">
        <v>208412</v>
      </c>
      <c r="D31" s="52">
        <v>336682</v>
      </c>
      <c r="E31" s="52">
        <v>356947</v>
      </c>
      <c r="F31" s="53">
        <f>F144*(-1)</f>
        <v>257807.32424686657</v>
      </c>
      <c r="G31" s="53">
        <f t="shared" ref="G31:J31" si="19">G144*(-1)</f>
        <v>250822.07296652431</v>
      </c>
      <c r="H31" s="53">
        <f t="shared" si="19"/>
        <v>248369.45017915778</v>
      </c>
      <c r="I31" s="53">
        <f t="shared" si="19"/>
        <v>249517.10687747406</v>
      </c>
      <c r="J31" s="54">
        <f t="shared" si="19"/>
        <v>254293.13331628765</v>
      </c>
    </row>
    <row r="32" spans="1:11" x14ac:dyDescent="0.3">
      <c r="B32" s="55" t="s">
        <v>39</v>
      </c>
      <c r="C32" s="52">
        <v>403220</v>
      </c>
      <c r="D32" s="52">
        <v>575452</v>
      </c>
      <c r="E32" s="52">
        <v>339368</v>
      </c>
      <c r="F32" s="53">
        <f>F116</f>
        <v>540934.41649662401</v>
      </c>
      <c r="G32" s="53">
        <f t="shared" ref="G32:J32" si="20">G116</f>
        <v>597803.8992277357</v>
      </c>
      <c r="H32" s="53">
        <f t="shared" si="20"/>
        <v>655960.72023893683</v>
      </c>
      <c r="I32" s="53">
        <f t="shared" si="20"/>
        <v>723058.62541460653</v>
      </c>
      <c r="J32" s="54">
        <f t="shared" si="20"/>
        <v>788987.60688849248</v>
      </c>
    </row>
    <row r="33" spans="2:10" x14ac:dyDescent="0.3">
      <c r="B33" s="55" t="s">
        <v>40</v>
      </c>
      <c r="C33" s="52">
        <v>-430661</v>
      </c>
      <c r="D33" s="52">
        <v>-353111</v>
      </c>
      <c r="E33" s="52">
        <v>176296</v>
      </c>
      <c r="F33" s="53">
        <v>0</v>
      </c>
      <c r="G33" s="53">
        <v>0</v>
      </c>
      <c r="H33" s="53">
        <v>0</v>
      </c>
      <c r="I33" s="53">
        <v>0</v>
      </c>
      <c r="J33" s="54">
        <v>0</v>
      </c>
    </row>
    <row r="34" spans="2:10" x14ac:dyDescent="0.3">
      <c r="B34" s="55" t="s">
        <v>41</v>
      </c>
      <c r="C34" s="52">
        <v>376777</v>
      </c>
      <c r="D34" s="52">
        <v>533543</v>
      </c>
      <c r="E34" s="52">
        <v>512075</v>
      </c>
      <c r="F34" s="53">
        <v>0</v>
      </c>
      <c r="G34" s="53">
        <v>0</v>
      </c>
      <c r="H34" s="53">
        <v>0</v>
      </c>
      <c r="I34" s="53">
        <v>0</v>
      </c>
      <c r="J34" s="54">
        <v>0</v>
      </c>
    </row>
    <row r="35" spans="2:10" x14ac:dyDescent="0.3">
      <c r="B35" s="55" t="s">
        <v>42</v>
      </c>
      <c r="C35" s="52">
        <v>199548</v>
      </c>
      <c r="D35" s="52">
        <v>-166550</v>
      </c>
      <c r="E35" s="52">
        <v>-459359</v>
      </c>
      <c r="F35" s="53">
        <v>0</v>
      </c>
      <c r="G35" s="53">
        <v>0</v>
      </c>
      <c r="H35" s="53">
        <v>0</v>
      </c>
      <c r="I35" s="53">
        <v>0</v>
      </c>
      <c r="J35" s="54">
        <v>0</v>
      </c>
    </row>
    <row r="36" spans="2:10" x14ac:dyDescent="0.3">
      <c r="B36" s="55" t="s">
        <v>43</v>
      </c>
      <c r="C36" s="52"/>
      <c r="D36" s="52"/>
      <c r="E36" s="52"/>
      <c r="F36" s="53"/>
      <c r="G36" s="53"/>
      <c r="H36" s="53"/>
      <c r="I36" s="53"/>
      <c r="J36" s="54"/>
    </row>
    <row r="37" spans="2:10" x14ac:dyDescent="0.3">
      <c r="B37" s="45" t="s">
        <v>14</v>
      </c>
      <c r="C37" s="52">
        <v>-369681</v>
      </c>
      <c r="D37" s="52">
        <v>-353834</v>
      </c>
      <c r="E37" s="52">
        <v>-181003</v>
      </c>
      <c r="F37" s="53">
        <f>-(F70-E70)</f>
        <v>-327471.15016767755</v>
      </c>
      <c r="G37" s="53">
        <f t="shared" ref="G37:J37" si="21">-(G70-F70)</f>
        <v>-274988.52565414552</v>
      </c>
      <c r="H37" s="53">
        <f t="shared" si="21"/>
        <v>-262678.78188555874</v>
      </c>
      <c r="I37" s="53">
        <f t="shared" si="21"/>
        <v>-316468.3070255015</v>
      </c>
      <c r="J37" s="54">
        <f t="shared" si="21"/>
        <v>-304585.65189448278</v>
      </c>
    </row>
    <row r="38" spans="2:10" x14ac:dyDescent="0.3">
      <c r="B38" s="45" t="s">
        <v>22</v>
      </c>
      <c r="C38" s="52">
        <v>145115</v>
      </c>
      <c r="D38" s="52">
        <v>-158543</v>
      </c>
      <c r="E38" s="52">
        <v>93502</v>
      </c>
      <c r="F38" s="53">
        <f>F80-E80</f>
        <v>153858.70106838387</v>
      </c>
      <c r="G38" s="53">
        <f t="shared" ref="G38:J39" si="22">G80-F80</f>
        <v>79749.542695402168</v>
      </c>
      <c r="H38" s="53">
        <f t="shared" si="22"/>
        <v>76179.588516742922</v>
      </c>
      <c r="I38" s="53">
        <f t="shared" si="22"/>
        <v>91779.112247810699</v>
      </c>
      <c r="J38" s="54">
        <f t="shared" si="22"/>
        <v>88333.018231881782</v>
      </c>
    </row>
    <row r="39" spans="2:10" x14ac:dyDescent="0.3">
      <c r="B39" s="45" t="s">
        <v>23</v>
      </c>
      <c r="C39" s="52">
        <v>180338</v>
      </c>
      <c r="D39" s="52">
        <v>-55513</v>
      </c>
      <c r="E39" s="52">
        <v>103565</v>
      </c>
      <c r="F39" s="53">
        <f>F81-E81</f>
        <v>212479.271106662</v>
      </c>
      <c r="G39" s="53">
        <f t="shared" si="22"/>
        <v>178425.98184227967</v>
      </c>
      <c r="H39" s="53">
        <f t="shared" si="22"/>
        <v>170438.81905826088</v>
      </c>
      <c r="I39" s="53">
        <f t="shared" si="22"/>
        <v>205340.08925887663</v>
      </c>
      <c r="J39" s="54">
        <f t="shared" si="22"/>
        <v>197630.04243564373</v>
      </c>
    </row>
    <row r="40" spans="2:10" x14ac:dyDescent="0.3">
      <c r="B40" s="45" t="s">
        <v>24</v>
      </c>
      <c r="C40" s="52">
        <v>91350</v>
      </c>
      <c r="D40" s="52">
        <v>27356</v>
      </c>
      <c r="E40" s="52">
        <v>178708</v>
      </c>
      <c r="F40" s="53">
        <f>F82-E82</f>
        <v>169959.97768770321</v>
      </c>
      <c r="G40" s="53">
        <f t="shared" ref="G40:J40" si="23">G82-F82</f>
        <v>142721.10279217525</v>
      </c>
      <c r="H40" s="53">
        <f t="shared" si="23"/>
        <v>136332.25365178799</v>
      </c>
      <c r="I40" s="53">
        <f t="shared" si="23"/>
        <v>164249.4197530942</v>
      </c>
      <c r="J40" s="54">
        <f t="shared" si="23"/>
        <v>158082.23281187983</v>
      </c>
    </row>
    <row r="41" spans="2:10" x14ac:dyDescent="0.3">
      <c r="B41" s="45" t="s">
        <v>44</v>
      </c>
      <c r="C41" s="52">
        <v>-289099</v>
      </c>
      <c r="D41" s="52">
        <v>-217553</v>
      </c>
      <c r="E41" s="52">
        <v>-310920</v>
      </c>
      <c r="F41" s="53">
        <f>(F87-E87)-(F74-E74)</f>
        <v>0</v>
      </c>
      <c r="G41" s="53">
        <f t="shared" ref="G41:J41" si="24">(G87-F87)-(G74-F74)</f>
        <v>0</v>
      </c>
      <c r="H41" s="53">
        <f t="shared" si="24"/>
        <v>0</v>
      </c>
      <c r="I41" s="53">
        <f t="shared" si="24"/>
        <v>0</v>
      </c>
      <c r="J41" s="54">
        <f t="shared" si="24"/>
        <v>0</v>
      </c>
    </row>
    <row r="42" spans="2:10" x14ac:dyDescent="0.3">
      <c r="B42" s="56" t="s">
        <v>45</v>
      </c>
      <c r="C42" s="47">
        <f>SUM(C26:C41)</f>
        <v>392610</v>
      </c>
      <c r="D42" s="47">
        <f t="shared" ref="D42:J42" si="25">SUM(D26:D41)</f>
        <v>2026257</v>
      </c>
      <c r="E42" s="47">
        <f t="shared" si="25"/>
        <v>7274301</v>
      </c>
      <c r="F42" s="47">
        <f t="shared" si="25"/>
        <v>7121344.1100280881</v>
      </c>
      <c r="G42" s="47">
        <f t="shared" si="25"/>
        <v>6536485.5212358888</v>
      </c>
      <c r="H42" s="47">
        <f t="shared" si="25"/>
        <v>6776837.2651161514</v>
      </c>
      <c r="I42" s="47">
        <f t="shared" si="25"/>
        <v>7172653.4697146481</v>
      </c>
      <c r="J42" s="48">
        <f t="shared" si="25"/>
        <v>7773384.9606884383</v>
      </c>
    </row>
    <row r="43" spans="2:10" x14ac:dyDescent="0.3">
      <c r="B43" s="13" t="s">
        <v>46</v>
      </c>
      <c r="D43" s="57"/>
      <c r="E43" s="57"/>
      <c r="F43" s="16"/>
      <c r="G43" s="16"/>
      <c r="H43" s="16"/>
      <c r="I43" s="16"/>
      <c r="J43" s="17"/>
    </row>
    <row r="44" spans="2:10" x14ac:dyDescent="0.3">
      <c r="B44" s="9" t="s">
        <v>47</v>
      </c>
      <c r="C44" s="52">
        <v>-524585</v>
      </c>
      <c r="D44" s="52">
        <v>-407729</v>
      </c>
      <c r="E44" s="52">
        <v>-348552</v>
      </c>
      <c r="F44" s="53">
        <f>F145*(-1)</f>
        <v>-217396.86988528768</v>
      </c>
      <c r="G44" s="53">
        <f t="shared" ref="G44:J44" si="26">G145*(-1)</f>
        <v>-236633.37778043121</v>
      </c>
      <c r="H44" s="53">
        <f t="shared" si="26"/>
        <v>-255008.77162498544</v>
      </c>
      <c r="I44" s="53">
        <f t="shared" si="26"/>
        <v>-277146.95019871747</v>
      </c>
      <c r="J44" s="54">
        <f t="shared" si="26"/>
        <v>-298453.89121917577</v>
      </c>
    </row>
    <row r="45" spans="2:10" x14ac:dyDescent="0.3">
      <c r="B45" s="9" t="s">
        <v>60</v>
      </c>
      <c r="C45" s="52">
        <v>-26919</v>
      </c>
      <c r="D45" s="52">
        <v>0</v>
      </c>
      <c r="E45" s="52">
        <v>0</v>
      </c>
      <c r="F45" s="53">
        <v>0</v>
      </c>
      <c r="G45" s="53">
        <v>0</v>
      </c>
      <c r="H45" s="53">
        <v>0</v>
      </c>
      <c r="I45" s="53">
        <v>0</v>
      </c>
      <c r="J45" s="54">
        <v>0</v>
      </c>
    </row>
    <row r="46" spans="2:10" x14ac:dyDescent="0.3">
      <c r="B46" s="9" t="s">
        <v>48</v>
      </c>
      <c r="C46" s="52">
        <v>-788349</v>
      </c>
      <c r="D46" s="52">
        <v>-757387</v>
      </c>
      <c r="E46" s="52">
        <v>0</v>
      </c>
      <c r="F46" s="53">
        <v>0</v>
      </c>
      <c r="G46" s="53">
        <f t="shared" ref="G46:J46" si="27">F46</f>
        <v>0</v>
      </c>
      <c r="H46" s="53">
        <f t="shared" si="27"/>
        <v>0</v>
      </c>
      <c r="I46" s="53">
        <f t="shared" si="27"/>
        <v>0</v>
      </c>
      <c r="J46" s="54">
        <f t="shared" si="27"/>
        <v>0</v>
      </c>
    </row>
    <row r="47" spans="2:10" x14ac:dyDescent="0.3">
      <c r="B47" s="9" t="s">
        <v>49</v>
      </c>
      <c r="C47" s="52">
        <v>0</v>
      </c>
      <c r="D47" s="52">
        <v>-911276</v>
      </c>
      <c r="E47" s="52">
        <v>-504862</v>
      </c>
      <c r="F47" s="53">
        <f>MIN(0,-(F69-E69))</f>
        <v>-1053440.4109443754</v>
      </c>
      <c r="G47" s="53">
        <f t="shared" ref="G47:J47" si="28">MIN(0,-(G69-F69))</f>
        <v>0</v>
      </c>
      <c r="H47" s="53">
        <f t="shared" si="28"/>
        <v>-36262.415209676372</v>
      </c>
      <c r="I47" s="53">
        <f t="shared" si="28"/>
        <v>-59717.69260396692</v>
      </c>
      <c r="J47" s="54">
        <f t="shared" si="28"/>
        <v>-90633.728732468793</v>
      </c>
    </row>
    <row r="48" spans="2:10" x14ac:dyDescent="0.3">
      <c r="B48" s="9" t="s">
        <v>50</v>
      </c>
      <c r="C48" s="52">
        <v>0</v>
      </c>
      <c r="D48" s="52">
        <v>0</v>
      </c>
      <c r="E48" s="52">
        <v>1395165</v>
      </c>
      <c r="F48" s="53">
        <f>MAX(0,E69-F69)</f>
        <v>0</v>
      </c>
      <c r="G48" s="53">
        <f t="shared" ref="G48:J48" si="29">MAX(0,F69-G69)</f>
        <v>88238.947815970983</v>
      </c>
      <c r="H48" s="53">
        <f t="shared" si="29"/>
        <v>0</v>
      </c>
      <c r="I48" s="53">
        <f t="shared" si="29"/>
        <v>0</v>
      </c>
      <c r="J48" s="54">
        <f t="shared" si="29"/>
        <v>0</v>
      </c>
    </row>
    <row r="49" spans="2:10" x14ac:dyDescent="0.3">
      <c r="B49" s="56" t="s">
        <v>51</v>
      </c>
      <c r="C49" s="47">
        <f>SUM(C44:C48)</f>
        <v>-1339853</v>
      </c>
      <c r="D49" s="47">
        <f t="shared" ref="D49:E49" si="30">SUM(D44:D48)</f>
        <v>-2076392</v>
      </c>
      <c r="E49" s="47">
        <f t="shared" si="30"/>
        <v>541751</v>
      </c>
      <c r="F49" s="47">
        <f>SUM(F44:F48)</f>
        <v>-1270837.2808296632</v>
      </c>
      <c r="G49" s="47">
        <f>SUM(G44:G48)</f>
        <v>-148394.42996446023</v>
      </c>
      <c r="H49" s="47">
        <f>SUM(H44:H48)</f>
        <v>-291271.18683466181</v>
      </c>
      <c r="I49" s="47">
        <f>SUM(I44:I48)</f>
        <v>-336864.64280268439</v>
      </c>
      <c r="J49" s="48">
        <f>SUM(J44:J48)</f>
        <v>-389087.61995164456</v>
      </c>
    </row>
    <row r="50" spans="2:10" x14ac:dyDescent="0.3">
      <c r="B50" s="13" t="s">
        <v>52</v>
      </c>
      <c r="C50" s="1"/>
      <c r="F50" s="16"/>
      <c r="G50" s="16"/>
      <c r="H50" s="16"/>
      <c r="I50" s="16"/>
      <c r="J50" s="17"/>
    </row>
    <row r="51" spans="2:10" x14ac:dyDescent="0.3">
      <c r="B51" s="9" t="s">
        <v>53</v>
      </c>
      <c r="C51" s="52">
        <v>-500000</v>
      </c>
      <c r="D51" s="52">
        <v>-700000</v>
      </c>
      <c r="E51" s="52">
        <v>0</v>
      </c>
      <c r="F51" s="53">
        <v>0</v>
      </c>
      <c r="G51" s="53">
        <v>0</v>
      </c>
      <c r="H51" s="53">
        <v>0</v>
      </c>
      <c r="I51" s="53">
        <v>0</v>
      </c>
      <c r="J51" s="54">
        <v>0</v>
      </c>
    </row>
    <row r="52" spans="2:10" x14ac:dyDescent="0.3">
      <c r="B52" s="9" t="s">
        <v>54</v>
      </c>
      <c r="C52" s="52">
        <v>174414</v>
      </c>
      <c r="D52" s="52">
        <v>35746</v>
      </c>
      <c r="E52" s="52">
        <v>169990</v>
      </c>
      <c r="F52" s="53">
        <f>F115</f>
        <v>122731.27414266349</v>
      </c>
      <c r="G52" s="53">
        <f t="shared" ref="G52:J52" si="31">G115</f>
        <v>133591.23328224148</v>
      </c>
      <c r="H52" s="53">
        <f t="shared" si="31"/>
        <v>143965.05099454525</v>
      </c>
      <c r="I52" s="53">
        <f t="shared" si="31"/>
        <v>156463.14659723549</v>
      </c>
      <c r="J52" s="54">
        <f t="shared" si="31"/>
        <v>168491.96753151706</v>
      </c>
    </row>
    <row r="53" spans="2:10" x14ac:dyDescent="0.3">
      <c r="B53" s="9" t="s">
        <v>55</v>
      </c>
      <c r="C53" s="52">
        <v>-600022</v>
      </c>
      <c r="D53" s="52">
        <v>0</v>
      </c>
      <c r="E53" s="52">
        <v>-6045347</v>
      </c>
      <c r="F53" s="53">
        <f>F120</f>
        <v>-3039406.9514981844</v>
      </c>
      <c r="G53" s="53">
        <f t="shared" ref="G53:J53" si="32">G120</f>
        <v>-2773458.9695145474</v>
      </c>
      <c r="H53" s="53">
        <f t="shared" si="32"/>
        <v>-2871182.2628566287</v>
      </c>
      <c r="I53" s="53">
        <f t="shared" si="32"/>
        <v>-3035690.9924885626</v>
      </c>
      <c r="J53" s="54">
        <f t="shared" si="32"/>
        <v>-3290777.9657430742</v>
      </c>
    </row>
    <row r="54" spans="2:10" x14ac:dyDescent="0.3">
      <c r="B54" s="9" t="s">
        <v>56</v>
      </c>
      <c r="C54" s="52">
        <v>-224168</v>
      </c>
      <c r="D54" s="52">
        <v>0</v>
      </c>
      <c r="E54" s="52">
        <v>0</v>
      </c>
      <c r="F54" s="53">
        <v>0</v>
      </c>
      <c r="G54" s="53">
        <v>0</v>
      </c>
      <c r="H54" s="53">
        <v>0</v>
      </c>
      <c r="I54" s="53">
        <v>0</v>
      </c>
      <c r="J54" s="54">
        <v>0</v>
      </c>
    </row>
    <row r="55" spans="2:10" x14ac:dyDescent="0.3">
      <c r="B55" s="9" t="s">
        <v>57</v>
      </c>
      <c r="C55" s="52">
        <v>0</v>
      </c>
      <c r="D55" s="52">
        <v>0</v>
      </c>
      <c r="E55" s="52">
        <v>-75446</v>
      </c>
      <c r="F55" s="53">
        <f>F83-E83</f>
        <v>6778.2585389664746</v>
      </c>
      <c r="G55" s="53">
        <f t="shared" ref="G55:J55" si="33">G83-F83</f>
        <v>44446.09526085679</v>
      </c>
      <c r="H55" s="53">
        <f t="shared" si="33"/>
        <v>49304.302952278231</v>
      </c>
      <c r="I55" s="53">
        <f t="shared" si="33"/>
        <v>54693.540013871854</v>
      </c>
      <c r="J55" s="54">
        <f t="shared" si="33"/>
        <v>60671.850936506875</v>
      </c>
    </row>
    <row r="56" spans="2:10" x14ac:dyDescent="0.3">
      <c r="B56" s="56" t="s">
        <v>65</v>
      </c>
      <c r="C56" s="47">
        <f>SUM(C51:C55)</f>
        <v>-1149776</v>
      </c>
      <c r="D56" s="47">
        <f t="shared" ref="D56:J56" si="34">SUM(D51:D55)</f>
        <v>-664254</v>
      </c>
      <c r="E56" s="47">
        <f t="shared" si="34"/>
        <v>-5950803</v>
      </c>
      <c r="F56" s="47">
        <f t="shared" si="34"/>
        <v>-2909897.4188165544</v>
      </c>
      <c r="G56" s="47">
        <f t="shared" si="34"/>
        <v>-2595421.6409714492</v>
      </c>
      <c r="H56" s="47">
        <f t="shared" si="34"/>
        <v>-2677912.9089098051</v>
      </c>
      <c r="I56" s="47">
        <f t="shared" si="34"/>
        <v>-2824534.3058774555</v>
      </c>
      <c r="J56" s="48">
        <f t="shared" si="34"/>
        <v>-3061614.1472750502</v>
      </c>
    </row>
    <row r="57" spans="2:10" x14ac:dyDescent="0.3">
      <c r="B57" s="9" t="s">
        <v>66</v>
      </c>
      <c r="C57" s="52">
        <v>-86740</v>
      </c>
      <c r="D57" s="52">
        <v>-170140</v>
      </c>
      <c r="E57" s="52">
        <v>82684</v>
      </c>
      <c r="F57" s="53">
        <v>0</v>
      </c>
      <c r="G57" s="53">
        <v>0</v>
      </c>
      <c r="H57" s="53">
        <v>0</v>
      </c>
      <c r="I57" s="53">
        <v>0</v>
      </c>
      <c r="J57" s="54">
        <v>0</v>
      </c>
    </row>
    <row r="58" spans="2:10" x14ac:dyDescent="0.3">
      <c r="B58" s="9" t="s">
        <v>67</v>
      </c>
      <c r="C58" s="52">
        <f>SUM(C42,C49,C56,C57)</f>
        <v>-2183759</v>
      </c>
      <c r="D58" s="52">
        <f t="shared" ref="D58:J58" si="35">SUM(D42,D49,D56,D57)</f>
        <v>-884529</v>
      </c>
      <c r="E58" s="52">
        <f t="shared" si="35"/>
        <v>1947933</v>
      </c>
      <c r="F58" s="53">
        <f t="shared" si="35"/>
        <v>2940609.4103818703</v>
      </c>
      <c r="G58" s="53">
        <f t="shared" si="35"/>
        <v>3792669.4502999792</v>
      </c>
      <c r="H58" s="53">
        <f t="shared" si="35"/>
        <v>3807653.1693716841</v>
      </c>
      <c r="I58" s="53">
        <f t="shared" si="35"/>
        <v>4011254.521034508</v>
      </c>
      <c r="J58" s="54">
        <f t="shared" si="35"/>
        <v>4322683.1934617432</v>
      </c>
    </row>
    <row r="59" spans="2:10" x14ac:dyDescent="0.3">
      <c r="B59" s="9" t="s">
        <v>68</v>
      </c>
      <c r="C59" s="52">
        <v>8238870</v>
      </c>
      <c r="D59" s="52">
        <v>6055111</v>
      </c>
      <c r="E59" s="52">
        <v>5170582</v>
      </c>
      <c r="F59" s="53">
        <f>E60</f>
        <v>7118515</v>
      </c>
      <c r="G59" s="53">
        <f t="shared" ref="G59:J59" si="36">F60</f>
        <v>10059124.41038187</v>
      </c>
      <c r="H59" s="53">
        <f t="shared" si="36"/>
        <v>13851793.86068185</v>
      </c>
      <c r="I59" s="53">
        <f t="shared" si="36"/>
        <v>17659447.030053534</v>
      </c>
      <c r="J59" s="54">
        <f t="shared" si="36"/>
        <v>21670701.551088043</v>
      </c>
    </row>
    <row r="60" spans="2:10" x14ac:dyDescent="0.3">
      <c r="B60" s="56" t="s">
        <v>69</v>
      </c>
      <c r="C60" s="47">
        <f>SUM(C58:C59)</f>
        <v>6055111</v>
      </c>
      <c r="D60" s="47">
        <f t="shared" ref="D60:E60" si="37">SUM(D58:D59)</f>
        <v>5170582</v>
      </c>
      <c r="E60" s="47">
        <f t="shared" si="37"/>
        <v>7118515</v>
      </c>
      <c r="F60" s="47">
        <f>SUM(F58:F59)</f>
        <v>10059124.41038187</v>
      </c>
      <c r="G60" s="47">
        <f t="shared" ref="G60:J60" si="38">SUM(G58:G59)</f>
        <v>13851793.86068185</v>
      </c>
      <c r="H60" s="47">
        <f t="shared" si="38"/>
        <v>17659447.030053534</v>
      </c>
      <c r="I60" s="47">
        <f t="shared" si="38"/>
        <v>21670701.551088043</v>
      </c>
      <c r="J60" s="48">
        <f t="shared" si="38"/>
        <v>25993384.744549785</v>
      </c>
    </row>
    <row r="61" spans="2:10" x14ac:dyDescent="0.3">
      <c r="B61" s="9"/>
      <c r="C61" s="1"/>
      <c r="D61" s="1"/>
      <c r="E61" s="1"/>
      <c r="F61" s="16"/>
      <c r="G61" s="16"/>
      <c r="H61" s="16"/>
      <c r="I61" s="16"/>
      <c r="J61" s="17"/>
    </row>
    <row r="62" spans="2:10" ht="15" thickBot="1" x14ac:dyDescent="0.35">
      <c r="B62" s="18" t="s">
        <v>110</v>
      </c>
      <c r="C62" s="63">
        <v>-158894</v>
      </c>
      <c r="D62" s="63">
        <v>1618528</v>
      </c>
      <c r="E62" s="63">
        <v>6925749</v>
      </c>
      <c r="F62" s="64">
        <f>F42+F44</f>
        <v>6903947.2401428008</v>
      </c>
      <c r="G62" s="64">
        <f>G42+G44</f>
        <v>6299852.1434554579</v>
      </c>
      <c r="H62" s="64">
        <f>H42+H44</f>
        <v>6521828.4934911663</v>
      </c>
      <c r="I62" s="64">
        <f>I42+I44</f>
        <v>6895506.5195159307</v>
      </c>
      <c r="J62" s="65">
        <f>J42+J44</f>
        <v>7474931.0694692628</v>
      </c>
    </row>
    <row r="63" spans="2:10" x14ac:dyDescent="0.3">
      <c r="C63" s="1"/>
      <c r="D63" s="1"/>
      <c r="E63" s="1"/>
      <c r="F63" s="62"/>
      <c r="G63" s="62"/>
      <c r="H63" s="62"/>
      <c r="I63" s="62"/>
      <c r="J63" s="62"/>
    </row>
    <row r="64" spans="2:10" ht="15" thickBot="1" x14ac:dyDescent="0.35">
      <c r="D64" s="57"/>
      <c r="F64" s="62"/>
      <c r="G64" s="62"/>
      <c r="H64" s="62"/>
      <c r="I64" s="62"/>
      <c r="J64" s="62"/>
    </row>
    <row r="65" spans="1:11" ht="18" x14ac:dyDescent="0.35">
      <c r="A65" t="s">
        <v>120</v>
      </c>
      <c r="B65" s="5" t="s">
        <v>117</v>
      </c>
      <c r="C65" s="6"/>
      <c r="D65" s="6"/>
      <c r="E65" s="6"/>
      <c r="F65" s="58"/>
      <c r="G65" s="58"/>
      <c r="H65" s="58"/>
      <c r="I65" s="58"/>
      <c r="J65" s="59"/>
    </row>
    <row r="66" spans="1:11" x14ac:dyDescent="0.3">
      <c r="B66" s="13" t="s">
        <v>10</v>
      </c>
      <c r="C66" s="57"/>
      <c r="F66" s="16"/>
      <c r="G66" s="16"/>
      <c r="H66" s="16"/>
      <c r="I66" s="16"/>
      <c r="J66" s="17"/>
    </row>
    <row r="67" spans="1:11" x14ac:dyDescent="0.3">
      <c r="B67" s="9" t="s">
        <v>11</v>
      </c>
      <c r="F67" s="16"/>
      <c r="G67" s="16"/>
      <c r="H67" s="16"/>
      <c r="I67" s="16"/>
      <c r="J67" s="17"/>
    </row>
    <row r="68" spans="1:11" x14ac:dyDescent="0.3">
      <c r="B68" s="55" t="s">
        <v>12</v>
      </c>
      <c r="C68" s="52">
        <v>6027804</v>
      </c>
      <c r="D68" s="52">
        <v>5147176</v>
      </c>
      <c r="E68" s="52">
        <v>7116913</v>
      </c>
      <c r="F68" s="53">
        <f>F60-1602</f>
        <v>10057522.41038187</v>
      </c>
      <c r="G68" s="53">
        <f>G60-1602</f>
        <v>13850191.86068185</v>
      </c>
      <c r="H68" s="53">
        <f>H60-1602</f>
        <v>17657845.030053534</v>
      </c>
      <c r="I68" s="53">
        <f>I60-1602</f>
        <v>21669099.551088043</v>
      </c>
      <c r="J68" s="54">
        <f>J60-1602</f>
        <v>25991782.744549785</v>
      </c>
      <c r="K68" t="s">
        <v>154</v>
      </c>
    </row>
    <row r="69" spans="1:11" x14ac:dyDescent="0.3">
      <c r="B69" s="55" t="s">
        <v>13</v>
      </c>
      <c r="C69" s="52">
        <v>0</v>
      </c>
      <c r="D69" s="52">
        <v>911276</v>
      </c>
      <c r="E69" s="52">
        <v>20973</v>
      </c>
      <c r="F69" s="53">
        <f>F42*'Assumptions and Memos'!E15</f>
        <v>1074413.4109443754</v>
      </c>
      <c r="G69" s="53">
        <f>G42*'Assumptions and Memos'!F15</f>
        <v>986174.46312840446</v>
      </c>
      <c r="H69" s="53">
        <f>H42*'Assumptions and Memos'!G15</f>
        <v>1022436.8783380808</v>
      </c>
      <c r="I69" s="53">
        <f>I42*'Assumptions and Memos'!H15</f>
        <v>1082154.5709420478</v>
      </c>
      <c r="J69" s="54">
        <f>J42*'Assumptions and Memos'!I15</f>
        <v>1172788.2996745165</v>
      </c>
    </row>
    <row r="70" spans="1:11" x14ac:dyDescent="0.3">
      <c r="B70" s="55" t="s">
        <v>14</v>
      </c>
      <c r="C70" s="52">
        <v>2042021</v>
      </c>
      <c r="D70" s="52">
        <v>3208021</v>
      </c>
      <c r="E70" s="52">
        <v>2780247</v>
      </c>
      <c r="F70" s="53">
        <f>E70*(1+'Assumptions and Memos'!E4)</f>
        <v>3107718.1501676776</v>
      </c>
      <c r="G70" s="53">
        <f>F70*(1+'Assumptions and Memos'!F4)</f>
        <v>3382706.6758218231</v>
      </c>
      <c r="H70" s="53">
        <f>G70*(1+'Assumptions and Memos'!G4)</f>
        <v>3645385.4577073818</v>
      </c>
      <c r="I70" s="53">
        <f>H70*(1+'Assumptions and Memos'!H4)</f>
        <v>3961853.7647328833</v>
      </c>
      <c r="J70" s="54">
        <f>I70*(1+'Assumptions and Memos'!I4)</f>
        <v>4266439.4166273661</v>
      </c>
    </row>
    <row r="71" spans="1:11" s="3" customFormat="1" x14ac:dyDescent="0.3">
      <c r="B71" s="46" t="s">
        <v>15</v>
      </c>
      <c r="C71" s="47">
        <f>SUM(C68:C70)</f>
        <v>8069825</v>
      </c>
      <c r="D71" s="47">
        <f t="shared" ref="D71:J71" si="39">SUM(D68:D70)</f>
        <v>9266473</v>
      </c>
      <c r="E71" s="47">
        <f t="shared" si="39"/>
        <v>9918133</v>
      </c>
      <c r="F71" s="47">
        <f>SUM(F68:F70)</f>
        <v>14239653.971493924</v>
      </c>
      <c r="G71" s="47">
        <f t="shared" si="39"/>
        <v>18219072.999632079</v>
      </c>
      <c r="H71" s="47">
        <f t="shared" si="39"/>
        <v>22325667.366098996</v>
      </c>
      <c r="I71" s="47">
        <f t="shared" si="39"/>
        <v>26713107.886762973</v>
      </c>
      <c r="J71" s="48">
        <f t="shared" si="39"/>
        <v>31431010.460851666</v>
      </c>
    </row>
    <row r="72" spans="1:11" x14ac:dyDescent="0.3">
      <c r="B72" s="9" t="s">
        <v>16</v>
      </c>
      <c r="C72" s="52">
        <v>30919539</v>
      </c>
      <c r="D72" s="52">
        <v>32736713</v>
      </c>
      <c r="E72" s="52">
        <v>31658056</v>
      </c>
      <c r="F72" s="53">
        <f>F134</f>
        <v>31873992.962525818</v>
      </c>
      <c r="G72" s="53">
        <f t="shared" ref="G72:J72" si="40">G134</f>
        <v>33288932.675490275</v>
      </c>
      <c r="H72" s="53">
        <f t="shared" si="40"/>
        <v>35297592.427989811</v>
      </c>
      <c r="I72" s="53">
        <f t="shared" si="40"/>
        <v>37882820.954449579</v>
      </c>
      <c r="J72" s="54">
        <f t="shared" si="40"/>
        <v>40725415.906610146</v>
      </c>
    </row>
    <row r="73" spans="1:11" x14ac:dyDescent="0.3">
      <c r="B73" s="9" t="s">
        <v>17</v>
      </c>
      <c r="C73" s="52">
        <f>C146</f>
        <v>1323453</v>
      </c>
      <c r="D73" s="52">
        <f t="shared" ref="D73:E73" si="41">D146</f>
        <v>1398257</v>
      </c>
      <c r="E73" s="52">
        <f t="shared" si="41"/>
        <v>1491444</v>
      </c>
      <c r="F73" s="53">
        <f>F146</f>
        <v>1451033.5456384211</v>
      </c>
      <c r="G73" s="53">
        <f t="shared" ref="G73:J73" si="42">G146</f>
        <v>1436844.8504523279</v>
      </c>
      <c r="H73" s="53">
        <f t="shared" si="42"/>
        <v>1443484.1718981555</v>
      </c>
      <c r="I73" s="53">
        <f t="shared" si="42"/>
        <v>1471114.0152193988</v>
      </c>
      <c r="J73" s="54">
        <f t="shared" si="42"/>
        <v>1515274.7731222869</v>
      </c>
    </row>
    <row r="74" spans="1:11" x14ac:dyDescent="0.3">
      <c r="B74" s="9" t="s">
        <v>18</v>
      </c>
      <c r="C74" s="52">
        <v>4271846</v>
      </c>
      <c r="D74" s="52">
        <v>5193325</v>
      </c>
      <c r="E74" s="52">
        <v>5664359</v>
      </c>
      <c r="F74" s="53">
        <f>E74</f>
        <v>5664359</v>
      </c>
      <c r="G74" s="53">
        <f t="shared" ref="G74:J74" si="43">F74</f>
        <v>5664359</v>
      </c>
      <c r="H74" s="53">
        <f t="shared" si="43"/>
        <v>5664359</v>
      </c>
      <c r="I74" s="53">
        <f t="shared" si="43"/>
        <v>5664359</v>
      </c>
      <c r="J74" s="54">
        <f t="shared" si="43"/>
        <v>5664359</v>
      </c>
    </row>
    <row r="75" spans="1:11" s="3" customFormat="1" x14ac:dyDescent="0.3">
      <c r="B75" s="46" t="s">
        <v>19</v>
      </c>
      <c r="C75" s="47">
        <f>SUM(C71:C74)</f>
        <v>44584663</v>
      </c>
      <c r="D75" s="47">
        <f t="shared" ref="D75:E75" si="44">SUM(D71:D74)</f>
        <v>48594768</v>
      </c>
      <c r="E75" s="47">
        <f t="shared" si="44"/>
        <v>48731992</v>
      </c>
      <c r="F75" s="47">
        <f>SUM(F71:F74)</f>
        <v>53229039.479658164</v>
      </c>
      <c r="G75" s="47">
        <f t="shared" ref="G75" si="45">SUM(G71:G74)</f>
        <v>58609209.525574677</v>
      </c>
      <c r="H75" s="47">
        <f t="shared" ref="H75" si="46">SUM(H71:H74)</f>
        <v>64731102.965986967</v>
      </c>
      <c r="I75" s="47">
        <f t="shared" ref="I75" si="47">SUM(I71:I74)</f>
        <v>71731401.856431961</v>
      </c>
      <c r="J75" s="48">
        <f t="shared" ref="J75" si="48">SUM(J71:J74)</f>
        <v>79336060.140584096</v>
      </c>
    </row>
    <row r="76" spans="1:11" x14ac:dyDescent="0.3">
      <c r="B76" s="45"/>
      <c r="F76" s="16"/>
      <c r="G76" s="16"/>
      <c r="H76" s="16"/>
      <c r="I76" s="16"/>
      <c r="J76" s="17"/>
    </row>
    <row r="77" spans="1:11" x14ac:dyDescent="0.3">
      <c r="B77" s="13" t="s">
        <v>70</v>
      </c>
      <c r="F77" s="16"/>
      <c r="G77" s="16"/>
      <c r="H77" s="16"/>
      <c r="I77" s="16"/>
      <c r="J77" s="17"/>
    </row>
    <row r="78" spans="1:11" x14ac:dyDescent="0.3">
      <c r="B78" s="9" t="s">
        <v>20</v>
      </c>
      <c r="F78" s="16"/>
      <c r="G78" s="16"/>
      <c r="H78" s="16"/>
      <c r="I78" s="16"/>
      <c r="J78" s="17"/>
    </row>
    <row r="79" spans="1:11" x14ac:dyDescent="0.3">
      <c r="B79" s="55" t="s">
        <v>21</v>
      </c>
      <c r="C79" s="52">
        <v>4292967</v>
      </c>
      <c r="D79" s="52">
        <v>4480150</v>
      </c>
      <c r="E79" s="52">
        <v>4466470</v>
      </c>
      <c r="F79" s="53">
        <f>F136</f>
        <v>4428168.3848647112</v>
      </c>
      <c r="G79" s="53">
        <f t="shared" ref="G79:J79" si="49">G136</f>
        <v>4624742.1655894918</v>
      </c>
      <c r="H79" s="53">
        <f t="shared" si="49"/>
        <v>4903799.8795830319</v>
      </c>
      <c r="I79" s="53">
        <f t="shared" si="49"/>
        <v>5262958.7475033049</v>
      </c>
      <c r="J79" s="54">
        <f t="shared" si="49"/>
        <v>5657872.8429206097</v>
      </c>
    </row>
    <row r="80" spans="1:11" x14ac:dyDescent="0.3">
      <c r="B80" s="55" t="s">
        <v>22</v>
      </c>
      <c r="C80" s="52">
        <v>837483</v>
      </c>
      <c r="D80" s="52">
        <v>671513</v>
      </c>
      <c r="E80" s="52">
        <v>747412</v>
      </c>
      <c r="F80" s="53">
        <f>'Assumptions and Memos'!E17*'Assumptions and Memos'!E16</f>
        <v>901270.70106838387</v>
      </c>
      <c r="G80" s="53">
        <f>'Assumptions and Memos'!F17*'Assumptions and Memos'!F16</f>
        <v>981020.24376378604</v>
      </c>
      <c r="H80" s="53">
        <f>'Assumptions and Memos'!G17*'Assumptions and Memos'!G16</f>
        <v>1057199.832280529</v>
      </c>
      <c r="I80" s="53">
        <f>'Assumptions and Memos'!H17*'Assumptions and Memos'!H16</f>
        <v>1148978.9445283397</v>
      </c>
      <c r="J80" s="54">
        <f>'Assumptions and Memos'!I17*'Assumptions and Memos'!I16</f>
        <v>1237311.9627602214</v>
      </c>
    </row>
    <row r="81" spans="2:10" x14ac:dyDescent="0.3">
      <c r="B81" s="55" t="s">
        <v>23</v>
      </c>
      <c r="C81" s="52">
        <v>1449351</v>
      </c>
      <c r="D81" s="52">
        <v>1514650</v>
      </c>
      <c r="E81" s="52">
        <v>1803960</v>
      </c>
      <c r="F81" s="53">
        <f>E81*(1+'Assumptions and Memos'!E4)</f>
        <v>2016439.271106662</v>
      </c>
      <c r="G81" s="53">
        <f>F81*(1+'Assumptions and Memos'!F4)</f>
        <v>2194865.2529489417</v>
      </c>
      <c r="H81" s="53">
        <f>G81*(1+'Assumptions and Memos'!G4)</f>
        <v>2365304.0720072025</v>
      </c>
      <c r="I81" s="53">
        <f>H81*(1+'Assumptions and Memos'!H4)</f>
        <v>2570644.1612660792</v>
      </c>
      <c r="J81" s="54">
        <f>I81*(1+'Assumptions and Memos'!I4)</f>
        <v>2768274.2037017229</v>
      </c>
    </row>
    <row r="82" spans="2:10" x14ac:dyDescent="0.3">
      <c r="B82" s="55" t="s">
        <v>24</v>
      </c>
      <c r="C82" s="52">
        <v>1209342</v>
      </c>
      <c r="D82" s="52">
        <v>1264661</v>
      </c>
      <c r="E82" s="52">
        <v>1442969</v>
      </c>
      <c r="F82" s="53">
        <f>E82*(1+'Assumptions and Memos'!E4)</f>
        <v>1612928.9776877032</v>
      </c>
      <c r="G82" s="53">
        <f>F82*(1+'Assumptions and Memos'!F4)</f>
        <v>1755650.0804798785</v>
      </c>
      <c r="H82" s="53">
        <f>G82*(1+'Assumptions and Memos'!G4)</f>
        <v>1891982.3341316665</v>
      </c>
      <c r="I82" s="53">
        <f>H82*(1+'Assumptions and Memos'!H4)</f>
        <v>2056231.7538847607</v>
      </c>
      <c r="J82" s="54">
        <f>I82*(1+'Assumptions and Memos'!I4)</f>
        <v>2214313.9866966405</v>
      </c>
    </row>
    <row r="83" spans="2:10" x14ac:dyDescent="0.3">
      <c r="B83" s="55" t="s">
        <v>25</v>
      </c>
      <c r="C83" s="52">
        <v>699823</v>
      </c>
      <c r="D83" s="52">
        <v>0</v>
      </c>
      <c r="E83" s="52">
        <v>399844</v>
      </c>
      <c r="F83" s="53">
        <f>AVERAGE(C83:E83)*(1+'Assumptions and Memos'!E18)</f>
        <v>406622.25853896647</v>
      </c>
      <c r="G83" s="53">
        <f>F83*(1+'Assumptions and Memos'!F18)</f>
        <v>451068.35379982326</v>
      </c>
      <c r="H83" s="53">
        <f>G83*(1+'Assumptions and Memos'!G18)</f>
        <v>500372.65675210149</v>
      </c>
      <c r="I83" s="53">
        <f>H83*(1+'Assumptions and Memos'!H18)</f>
        <v>555066.19676597335</v>
      </c>
      <c r="J83" s="54">
        <f>I83*(1+'Assumptions and Memos'!I18)</f>
        <v>615738.04770248022</v>
      </c>
    </row>
    <row r="84" spans="2:10" s="3" customFormat="1" x14ac:dyDescent="0.3">
      <c r="B84" s="46" t="s">
        <v>26</v>
      </c>
      <c r="C84" s="47">
        <f>SUM(C79:C83)</f>
        <v>8488966</v>
      </c>
      <c r="D84" s="47">
        <f t="shared" ref="D84:J84" si="50">SUM(D79:D83)</f>
        <v>7930974</v>
      </c>
      <c r="E84" s="47">
        <f t="shared" si="50"/>
        <v>8860655</v>
      </c>
      <c r="F84" s="47">
        <f t="shared" si="50"/>
        <v>9365429.5932664275</v>
      </c>
      <c r="G84" s="47">
        <f t="shared" si="50"/>
        <v>10007346.096581921</v>
      </c>
      <c r="H84" s="47">
        <f t="shared" si="50"/>
        <v>10718658.774754532</v>
      </c>
      <c r="I84" s="47">
        <f t="shared" si="50"/>
        <v>11593879.803948458</v>
      </c>
      <c r="J84" s="48">
        <f t="shared" si="50"/>
        <v>12493511.043781674</v>
      </c>
    </row>
    <row r="85" spans="2:10" x14ac:dyDescent="0.3">
      <c r="B85" s="9" t="s">
        <v>27</v>
      </c>
      <c r="C85" s="52">
        <v>3094213</v>
      </c>
      <c r="D85" s="52">
        <v>3081277</v>
      </c>
      <c r="E85" s="52">
        <v>2578173</v>
      </c>
      <c r="F85" s="53">
        <f>F138</f>
        <v>2928520.6180929071</v>
      </c>
      <c r="G85" s="53">
        <f t="shared" ref="G85:J85" si="51">G138</f>
        <v>3058522.5330599649</v>
      </c>
      <c r="H85" s="53">
        <f t="shared" si="51"/>
        <v>3243074.2930746018</v>
      </c>
      <c r="I85" s="53">
        <f t="shared" si="51"/>
        <v>3480600.0731398873</v>
      </c>
      <c r="J85" s="54">
        <f t="shared" si="51"/>
        <v>3741772.1809481638</v>
      </c>
    </row>
    <row r="86" spans="2:10" x14ac:dyDescent="0.3">
      <c r="B86" s="9" t="s">
        <v>28</v>
      </c>
      <c r="C86" s="52">
        <v>14693072</v>
      </c>
      <c r="D86" s="52">
        <v>14353076</v>
      </c>
      <c r="E86" s="52">
        <v>14143417</v>
      </c>
      <c r="F86" s="53">
        <f>E86</f>
        <v>14143417</v>
      </c>
      <c r="G86" s="53">
        <f t="shared" ref="G86:J86" si="52">F86</f>
        <v>14143417</v>
      </c>
      <c r="H86" s="53">
        <f t="shared" si="52"/>
        <v>14143417</v>
      </c>
      <c r="I86" s="53">
        <f t="shared" si="52"/>
        <v>14143417</v>
      </c>
      <c r="J86" s="54">
        <f t="shared" si="52"/>
        <v>14143417</v>
      </c>
    </row>
    <row r="87" spans="2:10" x14ac:dyDescent="0.3">
      <c r="B87" s="9" t="s">
        <v>29</v>
      </c>
      <c r="C87" s="52">
        <v>2459164</v>
      </c>
      <c r="D87" s="52">
        <v>2452040</v>
      </c>
      <c r="E87" s="52">
        <v>2561434</v>
      </c>
      <c r="F87" s="53">
        <f>E87</f>
        <v>2561434</v>
      </c>
      <c r="G87" s="53">
        <f t="shared" ref="G87:J87" si="53">F87</f>
        <v>2561434</v>
      </c>
      <c r="H87" s="53">
        <f t="shared" si="53"/>
        <v>2561434</v>
      </c>
      <c r="I87" s="53">
        <f t="shared" si="53"/>
        <v>2561434</v>
      </c>
      <c r="J87" s="54">
        <f t="shared" si="53"/>
        <v>2561434</v>
      </c>
    </row>
    <row r="88" spans="2:10" s="3" customFormat="1" x14ac:dyDescent="0.3">
      <c r="B88" s="46" t="s">
        <v>30</v>
      </c>
      <c r="C88" s="47">
        <f t="shared" ref="C88:J88" si="54">SUM(C84:C87)</f>
        <v>28735415</v>
      </c>
      <c r="D88" s="47">
        <f t="shared" si="54"/>
        <v>27817367</v>
      </c>
      <c r="E88" s="47">
        <f t="shared" si="54"/>
        <v>28143679</v>
      </c>
      <c r="F88" s="47">
        <f t="shared" si="54"/>
        <v>28998801.211359337</v>
      </c>
      <c r="G88" s="47">
        <f t="shared" si="54"/>
        <v>29770719.629641887</v>
      </c>
      <c r="H88" s="47">
        <f t="shared" si="54"/>
        <v>30666584.067829132</v>
      </c>
      <c r="I88" s="47">
        <f t="shared" si="54"/>
        <v>31779330.877088346</v>
      </c>
      <c r="J88" s="48">
        <f t="shared" si="54"/>
        <v>32940134.224729836</v>
      </c>
    </row>
    <row r="89" spans="2:10" x14ac:dyDescent="0.3">
      <c r="B89" s="45"/>
      <c r="F89" s="16"/>
      <c r="G89" s="16"/>
      <c r="H89" s="16"/>
      <c r="I89" s="16"/>
      <c r="J89" s="17"/>
    </row>
    <row r="90" spans="2:10" x14ac:dyDescent="0.3">
      <c r="B90" s="13" t="s">
        <v>71</v>
      </c>
      <c r="F90" s="16"/>
      <c r="G90" s="16"/>
      <c r="H90" s="16"/>
      <c r="I90" s="16"/>
      <c r="J90" s="17"/>
    </row>
    <row r="91" spans="2:10" x14ac:dyDescent="0.3">
      <c r="B91" s="9" t="s">
        <v>98</v>
      </c>
      <c r="C91" s="52">
        <f>C117</f>
        <v>4024561</v>
      </c>
      <c r="D91" s="52">
        <f t="shared" ref="D91:J91" si="55">D117</f>
        <v>4637601</v>
      </c>
      <c r="E91" s="52">
        <f t="shared" si="55"/>
        <v>5145172</v>
      </c>
      <c r="F91" s="53">
        <f t="shared" si="55"/>
        <v>5808837.6906392882</v>
      </c>
      <c r="G91" s="53">
        <f t="shared" si="55"/>
        <v>6540232.8231492648</v>
      </c>
      <c r="H91" s="53">
        <f t="shared" si="55"/>
        <v>7340158.5943827471</v>
      </c>
      <c r="I91" s="53">
        <f t="shared" si="55"/>
        <v>8219680.3663945887</v>
      </c>
      <c r="J91" s="54">
        <f t="shared" si="55"/>
        <v>9177159.9408145975</v>
      </c>
    </row>
    <row r="92" spans="2:10" x14ac:dyDescent="0.3">
      <c r="B92" s="9" t="s">
        <v>99</v>
      </c>
      <c r="C92" s="52">
        <f>C122</f>
        <v>-824190</v>
      </c>
      <c r="D92" s="52">
        <f t="shared" ref="D92:J92" si="56">D122</f>
        <v>-824190</v>
      </c>
      <c r="E92" s="52">
        <f t="shared" si="56"/>
        <v>-6922200</v>
      </c>
      <c r="F92" s="53">
        <f t="shared" si="56"/>
        <v>-9961606.9514981844</v>
      </c>
      <c r="G92" s="53">
        <f t="shared" si="56"/>
        <v>-12735065.921012731</v>
      </c>
      <c r="H92" s="53">
        <f t="shared" si="56"/>
        <v>-15606248.18386936</v>
      </c>
      <c r="I92" s="53">
        <f t="shared" si="56"/>
        <v>-18641939.176357921</v>
      </c>
      <c r="J92" s="54">
        <f t="shared" si="56"/>
        <v>-21932717.142100997</v>
      </c>
    </row>
    <row r="93" spans="2:10" x14ac:dyDescent="0.3">
      <c r="B93" s="9" t="s">
        <v>31</v>
      </c>
      <c r="C93" s="52">
        <v>-40495</v>
      </c>
      <c r="D93" s="52">
        <v>-217306</v>
      </c>
      <c r="E93" s="52">
        <v>-223945</v>
      </c>
      <c r="F93" s="53">
        <f>E93</f>
        <v>-223945</v>
      </c>
      <c r="G93" s="53">
        <f t="shared" ref="G93:J93" si="57">F93</f>
        <v>-223945</v>
      </c>
      <c r="H93" s="53">
        <f t="shared" si="57"/>
        <v>-223945</v>
      </c>
      <c r="I93" s="53">
        <f t="shared" si="57"/>
        <v>-223945</v>
      </c>
      <c r="J93" s="54">
        <f t="shared" si="57"/>
        <v>-223945</v>
      </c>
    </row>
    <row r="94" spans="2:10" x14ac:dyDescent="0.3">
      <c r="B94" s="9" t="s">
        <v>32</v>
      </c>
      <c r="C94" s="52">
        <f>C127</f>
        <v>12689372</v>
      </c>
      <c r="D94" s="52">
        <f t="shared" ref="D94:J94" si="58">D127</f>
        <v>17181296</v>
      </c>
      <c r="E94" s="52">
        <f t="shared" si="58"/>
        <v>22589286</v>
      </c>
      <c r="F94" s="53">
        <f t="shared" si="58"/>
        <v>28606952.529157728</v>
      </c>
      <c r="G94" s="53">
        <f t="shared" si="58"/>
        <v>35257267.993796267</v>
      </c>
      <c r="H94" s="53">
        <f t="shared" si="58"/>
        <v>42554553.487644449</v>
      </c>
      <c r="I94" s="53">
        <f t="shared" si="58"/>
        <v>50598274.789306954</v>
      </c>
      <c r="J94" s="54">
        <f t="shared" si="58"/>
        <v>59375428.117140673</v>
      </c>
    </row>
    <row r="95" spans="2:10" x14ac:dyDescent="0.3">
      <c r="B95" s="46" t="s">
        <v>72</v>
      </c>
      <c r="C95" s="47">
        <f>SUM(C91:C94)</f>
        <v>15849248</v>
      </c>
      <c r="D95" s="47">
        <f t="shared" ref="D95:E95" si="59">SUM(D91:D94)</f>
        <v>20777401</v>
      </c>
      <c r="E95" s="47">
        <f t="shared" si="59"/>
        <v>20588313</v>
      </c>
      <c r="F95" s="47">
        <f>SUM(F91:F94)</f>
        <v>24230238.268298831</v>
      </c>
      <c r="G95" s="47">
        <f>SUM(G91:G94)</f>
        <v>28838489.895932801</v>
      </c>
      <c r="H95" s="47">
        <f>SUM(H91:H94)</f>
        <v>34064518.898157835</v>
      </c>
      <c r="I95" s="47">
        <f>SUM(I91:I94)</f>
        <v>39952070.979343623</v>
      </c>
      <c r="J95" s="48">
        <f>SUM(J91:J94)</f>
        <v>46395925.915854275</v>
      </c>
    </row>
    <row r="96" spans="2:10" s="3" customFormat="1" ht="15" thickBot="1" x14ac:dyDescent="0.35">
      <c r="B96" s="49" t="s">
        <v>73</v>
      </c>
      <c r="C96" s="50">
        <f>C88+C95</f>
        <v>44584663</v>
      </c>
      <c r="D96" s="50">
        <f t="shared" ref="D96:J96" si="60">D88+D95</f>
        <v>48594768</v>
      </c>
      <c r="E96" s="50">
        <f t="shared" si="60"/>
        <v>48731992</v>
      </c>
      <c r="F96" s="50">
        <f t="shared" si="60"/>
        <v>53229039.479658172</v>
      </c>
      <c r="G96" s="50">
        <f t="shared" si="60"/>
        <v>58609209.525574684</v>
      </c>
      <c r="H96" s="50">
        <f t="shared" si="60"/>
        <v>64731102.965986967</v>
      </c>
      <c r="I96" s="50">
        <f t="shared" si="60"/>
        <v>71731401.856431961</v>
      </c>
      <c r="J96" s="51">
        <f t="shared" si="60"/>
        <v>79336060.140584111</v>
      </c>
    </row>
    <row r="97" spans="1:11" x14ac:dyDescent="0.3">
      <c r="B97" t="s">
        <v>118</v>
      </c>
      <c r="C97" s="1">
        <f t="shared" ref="C97:J97" si="61">C75-C96</f>
        <v>0</v>
      </c>
      <c r="D97" s="1">
        <f t="shared" si="61"/>
        <v>0</v>
      </c>
      <c r="E97" s="1">
        <f t="shared" si="61"/>
        <v>0</v>
      </c>
      <c r="F97" s="1">
        <f t="shared" si="61"/>
        <v>0</v>
      </c>
      <c r="G97" s="1">
        <f t="shared" si="61"/>
        <v>0</v>
      </c>
      <c r="H97" s="1">
        <f t="shared" si="61"/>
        <v>0</v>
      </c>
      <c r="I97" s="1">
        <f t="shared" si="61"/>
        <v>0</v>
      </c>
      <c r="J97" s="1">
        <f t="shared" si="61"/>
        <v>0</v>
      </c>
    </row>
    <row r="98" spans="1:11" x14ac:dyDescent="0.3">
      <c r="C98" s="1"/>
      <c r="D98" s="1"/>
      <c r="E98" s="1"/>
      <c r="F98" s="1"/>
      <c r="G98" s="1"/>
      <c r="H98" s="1"/>
      <c r="I98" s="1"/>
      <c r="J98" s="1"/>
    </row>
    <row r="99" spans="1:11" ht="15" thickBot="1" x14ac:dyDescent="0.35"/>
    <row r="100" spans="1:11" ht="18" x14ac:dyDescent="0.35">
      <c r="A100" t="s">
        <v>120</v>
      </c>
      <c r="B100" s="5" t="s">
        <v>85</v>
      </c>
      <c r="C100" s="6"/>
      <c r="D100" s="6"/>
      <c r="E100" s="6"/>
      <c r="F100" s="21"/>
      <c r="G100" s="21"/>
      <c r="H100" s="21"/>
      <c r="I100" s="21"/>
      <c r="J100" s="22"/>
    </row>
    <row r="101" spans="1:11" x14ac:dyDescent="0.3">
      <c r="B101" s="9" t="s">
        <v>90</v>
      </c>
      <c r="C101" s="11"/>
      <c r="D101" s="11"/>
      <c r="E101" s="11"/>
      <c r="F101" s="11"/>
      <c r="G101" s="11"/>
      <c r="H101" s="11"/>
      <c r="I101" s="11"/>
      <c r="J101" s="12"/>
    </row>
    <row r="102" spans="1:11" x14ac:dyDescent="0.3">
      <c r="B102" s="9" t="s">
        <v>91</v>
      </c>
      <c r="C102" s="37">
        <v>18181</v>
      </c>
      <c r="D102" s="37">
        <v>8903</v>
      </c>
      <c r="E102" s="37">
        <v>29529</v>
      </c>
      <c r="F102" s="38">
        <f>AVERAGE(C102:E102)</f>
        <v>18871</v>
      </c>
      <c r="G102" s="38">
        <f>F102</f>
        <v>18871</v>
      </c>
      <c r="H102" s="38">
        <f t="shared" ref="H102:J102" si="62">G102</f>
        <v>18871</v>
      </c>
      <c r="I102" s="38">
        <f t="shared" si="62"/>
        <v>18871</v>
      </c>
      <c r="J102" s="39">
        <f t="shared" si="62"/>
        <v>18871</v>
      </c>
    </row>
    <row r="103" spans="1:11" x14ac:dyDescent="0.3">
      <c r="B103" s="9" t="s">
        <v>92</v>
      </c>
      <c r="C103" s="37">
        <v>221844</v>
      </c>
      <c r="D103" s="37">
        <v>230747</v>
      </c>
      <c r="E103" s="37">
        <v>260276</v>
      </c>
      <c r="F103" s="38">
        <f>E103+F102</f>
        <v>279147</v>
      </c>
      <c r="G103" s="38">
        <f t="shared" ref="G103:J103" si="63">F103+G102</f>
        <v>298018</v>
      </c>
      <c r="H103" s="38">
        <f t="shared" si="63"/>
        <v>316889</v>
      </c>
      <c r="I103" s="38">
        <f t="shared" si="63"/>
        <v>335760</v>
      </c>
      <c r="J103" s="39">
        <f t="shared" si="63"/>
        <v>354631</v>
      </c>
    </row>
    <row r="104" spans="1:11" x14ac:dyDescent="0.3">
      <c r="B104" s="9" t="s">
        <v>93</v>
      </c>
      <c r="C104" s="37">
        <v>210784</v>
      </c>
      <c r="D104" s="37">
        <v>222924</v>
      </c>
      <c r="E104" s="37">
        <v>240889</v>
      </c>
      <c r="F104" s="38">
        <f>F103*'Assumptions and Memos'!E22</f>
        <v>264422.54472639214</v>
      </c>
      <c r="G104" s="38">
        <f>G103*'Assumptions and Memos'!F22</f>
        <v>282010.72997445136</v>
      </c>
      <c r="H104" s="38">
        <f>H103*'Assumptions and Memos'!G22</f>
        <v>297775.65249786078</v>
      </c>
      <c r="I104" s="38">
        <f>I103*'Assumptions and Memos'!H22</f>
        <v>317094.42428065359</v>
      </c>
      <c r="J104" s="39">
        <f>J103*'Assumptions and Memos'!I22</f>
        <v>334580.15903866995</v>
      </c>
    </row>
    <row r="105" spans="1:11" x14ac:dyDescent="0.3">
      <c r="B105" s="9" t="s">
        <v>94</v>
      </c>
      <c r="C105" s="10">
        <v>11.67</v>
      </c>
      <c r="D105" s="10">
        <v>11.76</v>
      </c>
      <c r="E105" s="10">
        <v>11.64</v>
      </c>
      <c r="F105" s="11">
        <f>E105*(1+'Assumptions and Memos'!E21)</f>
        <v>11.879784000000001</v>
      </c>
      <c r="G105" s="11">
        <f>F105*(1+'Assumptions and Memos'!F21)</f>
        <v>12.124507550400001</v>
      </c>
      <c r="H105" s="11">
        <f>G105*(1+'Assumptions and Memos'!G21)</f>
        <v>12.374272405938241</v>
      </c>
      <c r="I105" s="11">
        <f>H105*(1+'Assumptions and Memos'!H21)</f>
        <v>12.629182417500568</v>
      </c>
      <c r="J105" s="12">
        <f>I105*(1+'Assumptions and Memos'!I21)</f>
        <v>12.889343575301078</v>
      </c>
    </row>
    <row r="106" spans="1:11" x14ac:dyDescent="0.3">
      <c r="B106" s="9"/>
      <c r="C106" s="11"/>
      <c r="D106" s="11"/>
      <c r="E106" s="11"/>
      <c r="F106" s="11"/>
      <c r="G106" s="11"/>
      <c r="H106" s="11"/>
      <c r="I106" s="11"/>
      <c r="J106" s="12"/>
    </row>
    <row r="107" spans="1:11" x14ac:dyDescent="0.3">
      <c r="B107" s="9" t="s">
        <v>86</v>
      </c>
      <c r="C107" s="11"/>
      <c r="D107" s="11"/>
      <c r="E107" s="11"/>
      <c r="F107" s="11"/>
      <c r="G107" s="11"/>
      <c r="H107" s="11"/>
      <c r="I107" s="11"/>
      <c r="J107" s="12"/>
    </row>
    <row r="108" spans="1:11" x14ac:dyDescent="0.3">
      <c r="B108" s="9" t="s">
        <v>87</v>
      </c>
      <c r="C108" s="37">
        <v>29515496</v>
      </c>
      <c r="D108" s="37">
        <v>31469852</v>
      </c>
      <c r="E108" s="37">
        <v>33640458</v>
      </c>
      <c r="F108" s="38">
        <f>F104*F105*12</f>
        <v>37695392.592958532</v>
      </c>
      <c r="G108" s="38">
        <f t="shared" ref="G108:J108" si="64">G104*G105*12</f>
        <v>41030894.698428616</v>
      </c>
      <c r="H108" s="38">
        <f t="shared" si="64"/>
        <v>44217084.478374399</v>
      </c>
      <c r="I108" s="38">
        <f t="shared" si="64"/>
        <v>48055719.933752343</v>
      </c>
      <c r="J108" s="39">
        <f t="shared" si="64"/>
        <v>51750223.47993952</v>
      </c>
    </row>
    <row r="109" spans="1:11" x14ac:dyDescent="0.3">
      <c r="B109" s="9" t="s">
        <v>88</v>
      </c>
      <c r="C109" s="37">
        <v>182348</v>
      </c>
      <c r="D109" s="37">
        <v>145698</v>
      </c>
      <c r="E109" s="37">
        <v>82839</v>
      </c>
      <c r="F109" s="38">
        <v>0</v>
      </c>
      <c r="G109" s="38">
        <v>0</v>
      </c>
      <c r="H109" s="38">
        <v>0</v>
      </c>
      <c r="I109" s="38">
        <v>0</v>
      </c>
      <c r="J109" s="39">
        <v>0</v>
      </c>
      <c r="K109" t="s">
        <v>149</v>
      </c>
    </row>
    <row r="110" spans="1:11" s="3" customFormat="1" ht="15" thickBot="1" x14ac:dyDescent="0.35">
      <c r="B110" s="14" t="s">
        <v>89</v>
      </c>
      <c r="C110" s="42">
        <f>SUM(C108:C109)</f>
        <v>29697844</v>
      </c>
      <c r="D110" s="42">
        <f t="shared" ref="D110:J110" si="65">SUM(D108:D109)</f>
        <v>31615550</v>
      </c>
      <c r="E110" s="42">
        <f t="shared" si="65"/>
        <v>33723297</v>
      </c>
      <c r="F110" s="42">
        <f t="shared" si="65"/>
        <v>37695392.592958532</v>
      </c>
      <c r="G110" s="42">
        <f t="shared" si="65"/>
        <v>41030894.698428616</v>
      </c>
      <c r="H110" s="42">
        <f t="shared" si="65"/>
        <v>44217084.478374399</v>
      </c>
      <c r="I110" s="42">
        <f t="shared" si="65"/>
        <v>48055719.933752343</v>
      </c>
      <c r="J110" s="43">
        <f t="shared" si="65"/>
        <v>51750223.47993952</v>
      </c>
    </row>
    <row r="111" spans="1:11" x14ac:dyDescent="0.3">
      <c r="F111"/>
      <c r="G111"/>
      <c r="H111"/>
      <c r="I111"/>
      <c r="J111"/>
    </row>
    <row r="112" spans="1:11" ht="15" thickBot="1" x14ac:dyDescent="0.35"/>
    <row r="113" spans="1:11" ht="18" x14ac:dyDescent="0.35">
      <c r="A113" t="s">
        <v>120</v>
      </c>
      <c r="B113" s="5" t="s">
        <v>116</v>
      </c>
      <c r="C113" s="6"/>
      <c r="D113" s="6"/>
      <c r="E113" s="6"/>
      <c r="F113" s="7"/>
      <c r="G113" s="7"/>
      <c r="H113" s="7"/>
      <c r="I113" s="7"/>
      <c r="J113" s="8"/>
    </row>
    <row r="114" spans="1:11" x14ac:dyDescent="0.3">
      <c r="B114" s="9" t="s">
        <v>100</v>
      </c>
      <c r="C114" s="37">
        <v>3447698</v>
      </c>
      <c r="D114" s="37">
        <f>C117</f>
        <v>4024561</v>
      </c>
      <c r="E114" s="37">
        <f>D117</f>
        <v>4637601</v>
      </c>
      <c r="F114" s="38">
        <f t="shared" ref="F114:J114" si="66">E117</f>
        <v>5145172</v>
      </c>
      <c r="G114" s="38">
        <f t="shared" si="66"/>
        <v>5808837.6906392882</v>
      </c>
      <c r="H114" s="38">
        <f t="shared" si="66"/>
        <v>6540232.8231492648</v>
      </c>
      <c r="I114" s="38">
        <f t="shared" si="66"/>
        <v>7340158.5943827471</v>
      </c>
      <c r="J114" s="39">
        <f t="shared" si="66"/>
        <v>8219680.3663945887</v>
      </c>
    </row>
    <row r="115" spans="1:11" x14ac:dyDescent="0.3">
      <c r="B115" s="9" t="s">
        <v>111</v>
      </c>
      <c r="C115" s="37">
        <v>173643</v>
      </c>
      <c r="D115" s="37">
        <v>37588</v>
      </c>
      <c r="E115" s="37">
        <v>168203</v>
      </c>
      <c r="F115" s="38">
        <f>'Assumptions and Memos'!E26*'Assumptions and Memos'!E27</f>
        <v>122731.27414266349</v>
      </c>
      <c r="G115" s="38">
        <f>'Assumptions and Memos'!F26*'Assumptions and Memos'!F27</f>
        <v>133591.23328224148</v>
      </c>
      <c r="H115" s="38">
        <f>'Assumptions and Memos'!G26*'Assumptions and Memos'!G27</f>
        <v>143965.05099454525</v>
      </c>
      <c r="I115" s="38">
        <f>'Assumptions and Memos'!H26*'Assumptions and Memos'!H27</f>
        <v>156463.14659723549</v>
      </c>
      <c r="J115" s="39">
        <f>'Assumptions and Memos'!I26*'Assumptions and Memos'!I27</f>
        <v>168491.96753151706</v>
      </c>
    </row>
    <row r="116" spans="1:11" x14ac:dyDescent="0.3">
      <c r="B116" s="9" t="s">
        <v>39</v>
      </c>
      <c r="C116" s="37">
        <v>403220</v>
      </c>
      <c r="D116" s="37">
        <v>575452</v>
      </c>
      <c r="E116" s="37">
        <v>339368</v>
      </c>
      <c r="F116" s="38">
        <f>F21*'Assumptions and Memos'!E28</f>
        <v>540934.41649662401</v>
      </c>
      <c r="G116" s="38">
        <f>G21*'Assumptions and Memos'!F28</f>
        <v>597803.8992277357</v>
      </c>
      <c r="H116" s="38">
        <f>H21*'Assumptions and Memos'!G28</f>
        <v>655960.72023893683</v>
      </c>
      <c r="I116" s="38">
        <f>I21*'Assumptions and Memos'!H28</f>
        <v>723058.62541460653</v>
      </c>
      <c r="J116" s="39">
        <f>J21*'Assumptions and Memos'!I28</f>
        <v>788987.60688849248</v>
      </c>
    </row>
    <row r="117" spans="1:11" s="3" customFormat="1" x14ac:dyDescent="0.3">
      <c r="B117" s="13" t="s">
        <v>101</v>
      </c>
      <c r="C117" s="40">
        <f>SUM(C114:C116)</f>
        <v>4024561</v>
      </c>
      <c r="D117" s="40">
        <f t="shared" ref="D117:J117" si="67">SUM(D114:D116)</f>
        <v>4637601</v>
      </c>
      <c r="E117" s="40">
        <f t="shared" si="67"/>
        <v>5145172</v>
      </c>
      <c r="F117" s="40">
        <f>SUM(F114:F116)</f>
        <v>5808837.6906392882</v>
      </c>
      <c r="G117" s="40">
        <f t="shared" si="67"/>
        <v>6540232.8231492648</v>
      </c>
      <c r="H117" s="40">
        <f t="shared" si="67"/>
        <v>7340158.5943827471</v>
      </c>
      <c r="I117" s="40">
        <f t="shared" si="67"/>
        <v>8219680.3663945887</v>
      </c>
      <c r="J117" s="41">
        <f t="shared" si="67"/>
        <v>9177159.9408145975</v>
      </c>
    </row>
    <row r="118" spans="1:11" x14ac:dyDescent="0.3">
      <c r="B118" s="9"/>
      <c r="F118" s="11"/>
      <c r="G118" s="11"/>
      <c r="H118" s="11"/>
      <c r="I118" s="11"/>
      <c r="J118" s="12"/>
    </row>
    <row r="119" spans="1:11" x14ac:dyDescent="0.3">
      <c r="B119" s="9" t="s">
        <v>102</v>
      </c>
      <c r="C119" s="37">
        <v>0</v>
      </c>
      <c r="D119" s="37">
        <f>C122</f>
        <v>-824190</v>
      </c>
      <c r="E119" s="37">
        <f t="shared" ref="E119:J119" si="68">D122</f>
        <v>-824190</v>
      </c>
      <c r="F119" s="38">
        <f t="shared" si="68"/>
        <v>-6922200</v>
      </c>
      <c r="G119" s="38">
        <f t="shared" si="68"/>
        <v>-9961606.9514981844</v>
      </c>
      <c r="H119" s="38">
        <f t="shared" si="68"/>
        <v>-12735065.921012731</v>
      </c>
      <c r="I119" s="38">
        <f t="shared" si="68"/>
        <v>-15606248.18386936</v>
      </c>
      <c r="J119" s="39">
        <f t="shared" si="68"/>
        <v>-18641939.176357921</v>
      </c>
    </row>
    <row r="120" spans="1:11" x14ac:dyDescent="0.3">
      <c r="B120" s="9" t="s">
        <v>112</v>
      </c>
      <c r="C120" s="37">
        <v>-600022</v>
      </c>
      <c r="D120" s="37">
        <v>0</v>
      </c>
      <c r="E120" s="37">
        <v>-6098010</v>
      </c>
      <c r="F120" s="38">
        <f>'Assumptions and Memos'!E25*F62*(-1)</f>
        <v>-3039406.9514981844</v>
      </c>
      <c r="G120" s="38">
        <f>'Assumptions and Memos'!F25*G62*(-1)</f>
        <v>-2773458.9695145474</v>
      </c>
      <c r="H120" s="38">
        <f>'Assumptions and Memos'!G25*H62*(-1)</f>
        <v>-2871182.2628566287</v>
      </c>
      <c r="I120" s="38">
        <f>'Assumptions and Memos'!H25*I62*(-1)</f>
        <v>-3035690.9924885626</v>
      </c>
      <c r="J120" s="39">
        <f>'Assumptions and Memos'!I25*J62*(-1)</f>
        <v>-3290777.9657430742</v>
      </c>
    </row>
    <row r="121" spans="1:11" x14ac:dyDescent="0.3">
      <c r="B121" s="9" t="s">
        <v>153</v>
      </c>
      <c r="C121" s="37">
        <v>-224168</v>
      </c>
      <c r="D121" s="37">
        <v>0</v>
      </c>
      <c r="E121" s="37">
        <v>0</v>
      </c>
      <c r="F121" s="38">
        <v>0</v>
      </c>
      <c r="G121" s="38">
        <v>0</v>
      </c>
      <c r="H121" s="38">
        <v>0</v>
      </c>
      <c r="I121" s="38">
        <v>0</v>
      </c>
      <c r="J121" s="39">
        <v>0</v>
      </c>
    </row>
    <row r="122" spans="1:11" s="3" customFormat="1" x14ac:dyDescent="0.3">
      <c r="B122" s="13" t="s">
        <v>103</v>
      </c>
      <c r="C122" s="40">
        <f>SUM(C119:C121)</f>
        <v>-824190</v>
      </c>
      <c r="D122" s="40">
        <f t="shared" ref="D122:J122" si="69">SUM(D119:D121)</f>
        <v>-824190</v>
      </c>
      <c r="E122" s="40">
        <f t="shared" si="69"/>
        <v>-6922200</v>
      </c>
      <c r="F122" s="40">
        <f t="shared" si="69"/>
        <v>-9961606.9514981844</v>
      </c>
      <c r="G122" s="40">
        <f t="shared" si="69"/>
        <v>-12735065.921012731</v>
      </c>
      <c r="H122" s="40">
        <f t="shared" si="69"/>
        <v>-15606248.18386936</v>
      </c>
      <c r="I122" s="40">
        <f t="shared" si="69"/>
        <v>-18641939.176357921</v>
      </c>
      <c r="J122" s="41">
        <f t="shared" si="69"/>
        <v>-21932717.142100997</v>
      </c>
    </row>
    <row r="123" spans="1:11" x14ac:dyDescent="0.3">
      <c r="B123" s="9"/>
      <c r="F123" s="11"/>
      <c r="G123" s="11"/>
      <c r="H123" s="11"/>
      <c r="I123" s="11"/>
      <c r="J123" s="12"/>
    </row>
    <row r="124" spans="1:11" x14ac:dyDescent="0.3">
      <c r="B124" s="9" t="s">
        <v>104</v>
      </c>
      <c r="C124" s="37">
        <v>7573144</v>
      </c>
      <c r="D124" s="37">
        <v>12689372</v>
      </c>
      <c r="E124" s="37">
        <v>17181296</v>
      </c>
      <c r="F124" s="38">
        <f>E127</f>
        <v>22589286</v>
      </c>
      <c r="G124" s="38">
        <f t="shared" ref="G124:J124" si="70">F127</f>
        <v>28606952.529157728</v>
      </c>
      <c r="H124" s="38">
        <f t="shared" si="70"/>
        <v>35257267.993796267</v>
      </c>
      <c r="I124" s="38">
        <f t="shared" si="70"/>
        <v>42554553.487644449</v>
      </c>
      <c r="J124" s="39">
        <f t="shared" si="70"/>
        <v>50598274.789306954</v>
      </c>
    </row>
    <row r="125" spans="1:11" x14ac:dyDescent="0.3">
      <c r="B125" s="9" t="s">
        <v>105</v>
      </c>
      <c r="C125" s="37">
        <f t="shared" ref="C125:J125" si="71">C21</f>
        <v>5116228</v>
      </c>
      <c r="D125" s="37">
        <f t="shared" si="71"/>
        <v>4491924</v>
      </c>
      <c r="E125" s="37">
        <f t="shared" si="71"/>
        <v>5407990</v>
      </c>
      <c r="F125" s="38">
        <f t="shared" si="71"/>
        <v>6017666.5291577261</v>
      </c>
      <c r="G125" s="38">
        <f t="shared" si="71"/>
        <v>6650315.4646385405</v>
      </c>
      <c r="H125" s="38">
        <f t="shared" si="71"/>
        <v>7297285.4938481823</v>
      </c>
      <c r="I125" s="38">
        <f t="shared" si="71"/>
        <v>8043721.3016625056</v>
      </c>
      <c r="J125" s="39">
        <f t="shared" si="71"/>
        <v>8777153.3278337214</v>
      </c>
    </row>
    <row r="126" spans="1:11" x14ac:dyDescent="0.3">
      <c r="B126" s="9" t="s">
        <v>106</v>
      </c>
      <c r="C126" s="10">
        <v>0</v>
      </c>
      <c r="D126" s="10">
        <v>0</v>
      </c>
      <c r="E126" s="10">
        <v>0</v>
      </c>
      <c r="F126" s="38">
        <v>0</v>
      </c>
      <c r="G126" s="38">
        <v>0</v>
      </c>
      <c r="H126" s="38">
        <v>0</v>
      </c>
      <c r="I126" s="38">
        <v>0</v>
      </c>
      <c r="J126" s="39">
        <v>0</v>
      </c>
      <c r="K126" t="s">
        <v>157</v>
      </c>
    </row>
    <row r="127" spans="1:11" s="3" customFormat="1" ht="15" thickBot="1" x14ac:dyDescent="0.35">
      <c r="B127" s="14" t="s">
        <v>107</v>
      </c>
      <c r="C127" s="42">
        <f>SUM(C124:C126)</f>
        <v>12689372</v>
      </c>
      <c r="D127" s="42">
        <f t="shared" ref="D127:I127" si="72">SUM(D124:D126)</f>
        <v>17181296</v>
      </c>
      <c r="E127" s="42">
        <f t="shared" si="72"/>
        <v>22589286</v>
      </c>
      <c r="F127" s="42">
        <f>SUM(F124:F126)</f>
        <v>28606952.529157728</v>
      </c>
      <c r="G127" s="42">
        <f>SUM(G124:G126)</f>
        <v>35257267.993796267</v>
      </c>
      <c r="H127" s="42">
        <f>SUM(H124:H126)</f>
        <v>42554553.487644449</v>
      </c>
      <c r="I127" s="42">
        <f t="shared" si="72"/>
        <v>50598274.789306954</v>
      </c>
      <c r="J127" s="43">
        <f>SUM(J124:J126)</f>
        <v>59375428.117140673</v>
      </c>
    </row>
    <row r="128" spans="1:11" x14ac:dyDescent="0.3">
      <c r="F128" s="11"/>
      <c r="G128" s="11"/>
      <c r="H128" s="11"/>
      <c r="I128" s="11"/>
      <c r="J128" s="11"/>
    </row>
    <row r="129" spans="1:11" ht="15" thickBot="1" x14ac:dyDescent="0.35"/>
    <row r="130" spans="1:11" ht="18" x14ac:dyDescent="0.35">
      <c r="A130" t="s">
        <v>120</v>
      </c>
      <c r="B130" s="5" t="s">
        <v>119</v>
      </c>
      <c r="C130" s="6"/>
      <c r="D130" s="6"/>
      <c r="E130" s="6"/>
      <c r="F130" s="7"/>
      <c r="G130" s="7"/>
      <c r="H130" s="7"/>
      <c r="I130" s="7"/>
      <c r="J130" s="8"/>
    </row>
    <row r="131" spans="1:11" x14ac:dyDescent="0.3">
      <c r="B131" s="9" t="s">
        <v>121</v>
      </c>
      <c r="C131" s="37">
        <v>25383950</v>
      </c>
      <c r="D131" s="37">
        <f t="shared" ref="D131:J131" si="73">C134</f>
        <v>30919539</v>
      </c>
      <c r="E131" s="37">
        <f t="shared" si="73"/>
        <v>32736713</v>
      </c>
      <c r="F131" s="38">
        <f t="shared" si="73"/>
        <v>31658056</v>
      </c>
      <c r="G131" s="38">
        <f t="shared" si="73"/>
        <v>31873992.962525818</v>
      </c>
      <c r="H131" s="38">
        <f t="shared" si="73"/>
        <v>33288932.675490275</v>
      </c>
      <c r="I131" s="38">
        <f t="shared" si="73"/>
        <v>35297592.427989811</v>
      </c>
      <c r="J131" s="39">
        <f t="shared" si="73"/>
        <v>37882820.954449579</v>
      </c>
    </row>
    <row r="132" spans="1:11" x14ac:dyDescent="0.3">
      <c r="B132" s="9" t="s">
        <v>122</v>
      </c>
      <c r="C132" s="38">
        <f>C134-C131+C133</f>
        <v>17765956</v>
      </c>
      <c r="D132" s="38">
        <f t="shared" ref="D132:E132" si="74">D134-D131+D133</f>
        <v>15843306</v>
      </c>
      <c r="E132" s="38">
        <f t="shared" si="74"/>
        <v>13118780</v>
      </c>
      <c r="F132" s="38">
        <f>E132*(1+'Assumptions and Memos'!E4)</f>
        <v>14663974.356975019</v>
      </c>
      <c r="G132" s="38">
        <f>F132*(1+'Assumptions and Memos'!F4)</f>
        <v>15961525.966807202</v>
      </c>
      <c r="H132" s="38">
        <f>G132*(1+'Assumptions and Memos'!G4)</f>
        <v>17200993.233645231</v>
      </c>
      <c r="I132" s="38">
        <f>H132*(1+'Assumptions and Memos'!H4)</f>
        <v>18694269.944973398</v>
      </c>
      <c r="J132" s="39">
        <f>I132*(1+'Assumptions and Memos'!I4)</f>
        <v>20131477.5593905</v>
      </c>
      <c r="K132" t="s">
        <v>129</v>
      </c>
    </row>
    <row r="133" spans="1:11" x14ac:dyDescent="0.3">
      <c r="B133" s="9" t="s">
        <v>81</v>
      </c>
      <c r="C133" s="37">
        <v>12230367</v>
      </c>
      <c r="D133" s="37">
        <v>14026132</v>
      </c>
      <c r="E133" s="37">
        <v>14197437</v>
      </c>
      <c r="F133" s="38">
        <f>F131*'Assumptions and Memos'!E32</f>
        <v>14448037.3944492</v>
      </c>
      <c r="G133" s="38">
        <f>G131*'Assumptions and Memos'!F32</f>
        <v>14546586.253842739</v>
      </c>
      <c r="H133" s="38">
        <f>H131*'Assumptions and Memos'!G32</f>
        <v>15192333.481145695</v>
      </c>
      <c r="I133" s="38">
        <f>I131*'Assumptions and Memos'!H32</f>
        <v>16109041.418513622</v>
      </c>
      <c r="J133" s="39">
        <f>J131*'Assumptions and Memos'!I32</f>
        <v>17288882.607229933</v>
      </c>
      <c r="K133" t="s">
        <v>130</v>
      </c>
    </row>
    <row r="134" spans="1:11" x14ac:dyDescent="0.3">
      <c r="B134" s="13" t="s">
        <v>123</v>
      </c>
      <c r="C134" s="40">
        <f>C72</f>
        <v>30919539</v>
      </c>
      <c r="D134" s="40">
        <f>D72</f>
        <v>32736713</v>
      </c>
      <c r="E134" s="40">
        <f>E72</f>
        <v>31658056</v>
      </c>
      <c r="F134" s="40">
        <f>F131+F132-F133</f>
        <v>31873992.962525818</v>
      </c>
      <c r="G134" s="40">
        <f t="shared" ref="G134:J134" si="75">G131+G132-G133</f>
        <v>33288932.675490275</v>
      </c>
      <c r="H134" s="40">
        <f t="shared" si="75"/>
        <v>35297592.427989811</v>
      </c>
      <c r="I134" s="40">
        <f t="shared" si="75"/>
        <v>37882820.954449579</v>
      </c>
      <c r="J134" s="41">
        <f t="shared" si="75"/>
        <v>40725415.906610146</v>
      </c>
    </row>
    <row r="135" spans="1:11" x14ac:dyDescent="0.3">
      <c r="B135" s="9"/>
      <c r="F135" s="11"/>
      <c r="G135" s="11"/>
      <c r="H135" s="11"/>
      <c r="I135" s="11"/>
      <c r="J135" s="12"/>
    </row>
    <row r="136" spans="1:11" x14ac:dyDescent="0.3">
      <c r="B136" s="9" t="s">
        <v>125</v>
      </c>
      <c r="C136" s="37">
        <f>C79</f>
        <v>4292967</v>
      </c>
      <c r="D136" s="37">
        <f>D79</f>
        <v>4480150</v>
      </c>
      <c r="E136" s="37">
        <f>E79</f>
        <v>4466470</v>
      </c>
      <c r="F136" s="38">
        <f>F134*'Assumptions and Memos'!E33</f>
        <v>4428168.3848647112</v>
      </c>
      <c r="G136" s="38">
        <f>G134*'Assumptions and Memos'!F33</f>
        <v>4624742.1655894918</v>
      </c>
      <c r="H136" s="38">
        <f>H134*'Assumptions and Memos'!G33</f>
        <v>4903799.8795830319</v>
      </c>
      <c r="I136" s="38">
        <f>I134*'Assumptions and Memos'!H33</f>
        <v>5262958.7475033049</v>
      </c>
      <c r="J136" s="39">
        <f>J134*'Assumptions and Memos'!I33</f>
        <v>5657872.8429206097</v>
      </c>
    </row>
    <row r="137" spans="1:11" x14ac:dyDescent="0.3">
      <c r="B137" s="9"/>
      <c r="F137" s="11"/>
      <c r="G137" s="11"/>
      <c r="H137" s="11"/>
      <c r="I137" s="11"/>
      <c r="J137" s="12"/>
    </row>
    <row r="138" spans="1:11" ht="15" thickBot="1" x14ac:dyDescent="0.35">
      <c r="B138" s="18" t="s">
        <v>126</v>
      </c>
      <c r="C138" s="44">
        <f>C85</f>
        <v>3094213</v>
      </c>
      <c r="D138" s="44">
        <f>D85</f>
        <v>3081277</v>
      </c>
      <c r="E138" s="44">
        <f>E85</f>
        <v>2578173</v>
      </c>
      <c r="F138" s="19">
        <f>F134*'Assumptions and Memos'!E34</f>
        <v>2928520.6180929071</v>
      </c>
      <c r="G138" s="19">
        <f>G134*'Assumptions and Memos'!F34</f>
        <v>3058522.5330599649</v>
      </c>
      <c r="H138" s="19">
        <f>H134*'Assumptions and Memos'!G34</f>
        <v>3243074.2930746018</v>
      </c>
      <c r="I138" s="19">
        <f>I134*'Assumptions and Memos'!H34</f>
        <v>3480600.0731398873</v>
      </c>
      <c r="J138" s="20">
        <f>J134*'Assumptions and Memos'!I34</f>
        <v>3741772.1809481638</v>
      </c>
    </row>
    <row r="141" spans="1:11" ht="15" thickBot="1" x14ac:dyDescent="0.35"/>
    <row r="142" spans="1:11" ht="18" x14ac:dyDescent="0.35">
      <c r="A142" t="s">
        <v>120</v>
      </c>
      <c r="B142" s="5" t="s">
        <v>145</v>
      </c>
      <c r="C142" s="6"/>
      <c r="D142" s="6"/>
      <c r="E142" s="6"/>
      <c r="F142" s="7"/>
      <c r="G142" s="7"/>
      <c r="H142" s="7"/>
      <c r="I142" s="7"/>
      <c r="J142" s="8"/>
    </row>
    <row r="143" spans="1:11" x14ac:dyDescent="0.3">
      <c r="B143" s="9" t="s">
        <v>139</v>
      </c>
      <c r="C143" s="37">
        <v>960183</v>
      </c>
      <c r="D143" s="37">
        <f>C146</f>
        <v>1323453</v>
      </c>
      <c r="E143" s="37">
        <f>D146</f>
        <v>1398257</v>
      </c>
      <c r="F143" s="1">
        <f>E146</f>
        <v>1491444</v>
      </c>
      <c r="G143" s="1">
        <f t="shared" ref="G143:J143" si="76">F146</f>
        <v>1451033.5456384211</v>
      </c>
      <c r="H143" s="1">
        <f t="shared" si="76"/>
        <v>1436844.8504523279</v>
      </c>
      <c r="I143" s="1">
        <f t="shared" si="76"/>
        <v>1443484.1718981555</v>
      </c>
      <c r="J143" s="15">
        <f t="shared" si="76"/>
        <v>1471114.0152193988</v>
      </c>
    </row>
    <row r="144" spans="1:11" x14ac:dyDescent="0.3">
      <c r="B144" s="9" t="s">
        <v>79</v>
      </c>
      <c r="C144" s="37">
        <f>(-1)*((616306)-(494790))</f>
        <v>-121516</v>
      </c>
      <c r="D144" s="37">
        <f>(-1)*((753741)-(616306))</f>
        <v>-137435</v>
      </c>
      <c r="E144" s="37">
        <f>(-1)*((855043)-(753741))</f>
        <v>-101302</v>
      </c>
      <c r="F144" s="1">
        <f>F143*'Assumptions and Memos'!$F$45*(-1)</f>
        <v>-257807.32424686657</v>
      </c>
      <c r="G144" s="1">
        <f>G143*'Assumptions and Memos'!$F$45*(-1)</f>
        <v>-250822.07296652431</v>
      </c>
      <c r="H144" s="1">
        <f>H143*'Assumptions and Memos'!$F$45*(-1)</f>
        <v>-248369.45017915778</v>
      </c>
      <c r="I144" s="1">
        <f>I143*'Assumptions and Memos'!$F$45*(-1)</f>
        <v>-249517.10687747406</v>
      </c>
      <c r="J144" s="15">
        <f>J143*'Assumptions and Memos'!$F$45*(-1)</f>
        <v>-254293.13331628765</v>
      </c>
      <c r="K144" t="s">
        <v>131</v>
      </c>
    </row>
    <row r="145" spans="2:10" x14ac:dyDescent="0.3">
      <c r="B145" s="9" t="s">
        <v>138</v>
      </c>
      <c r="C145" s="37">
        <f>1939759-1454973</f>
        <v>484786</v>
      </c>
      <c r="D145" s="37">
        <f>2151998-1939759</f>
        <v>212239</v>
      </c>
      <c r="E145" s="37">
        <f>2346487-2151998</f>
        <v>194489</v>
      </c>
      <c r="F145" s="1">
        <f>E145*(1+'Assumptions and Memos'!E4)</f>
        <v>217396.86988528768</v>
      </c>
      <c r="G145" s="1">
        <f>F145*(1+'Assumptions and Memos'!F4)</f>
        <v>236633.37778043121</v>
      </c>
      <c r="H145" s="1">
        <f>G145*(1+'Assumptions and Memos'!G4)</f>
        <v>255008.77162498544</v>
      </c>
      <c r="I145" s="1">
        <f>H145*(1+'Assumptions and Memos'!H4)</f>
        <v>277146.95019871747</v>
      </c>
      <c r="J145" s="15">
        <f>I145*(1+'Assumptions and Memos'!I4)</f>
        <v>298453.89121917577</v>
      </c>
    </row>
    <row r="146" spans="2:10" ht="15" thickBot="1" x14ac:dyDescent="0.35">
      <c r="B146" s="14" t="s">
        <v>140</v>
      </c>
      <c r="C146" s="42">
        <f>SUM(C143:C145)</f>
        <v>1323453</v>
      </c>
      <c r="D146" s="42">
        <f t="shared" ref="D146:E146" si="77">SUM(D143:D145)</f>
        <v>1398257</v>
      </c>
      <c r="E146" s="42">
        <f t="shared" si="77"/>
        <v>1491444</v>
      </c>
      <c r="F146" s="42">
        <f>SUM(F143:F145)</f>
        <v>1451033.5456384211</v>
      </c>
      <c r="G146" s="42">
        <f t="shared" ref="G146:J146" si="78">SUM(G143:G145)</f>
        <v>1436844.8504523279</v>
      </c>
      <c r="H146" s="42">
        <f t="shared" si="78"/>
        <v>1443484.1718981555</v>
      </c>
      <c r="I146" s="42">
        <f t="shared" si="78"/>
        <v>1471114.0152193988</v>
      </c>
      <c r="J146" s="43">
        <f t="shared" si="78"/>
        <v>1515274.7731222869</v>
      </c>
    </row>
    <row r="147" spans="2:10" x14ac:dyDescent="0.3">
      <c r="C147" s="1"/>
      <c r="D147" s="1"/>
      <c r="E147" s="1"/>
      <c r="F147" s="1"/>
      <c r="G147" s="1"/>
      <c r="H147" s="1"/>
      <c r="I147" s="1"/>
      <c r="J147" s="1"/>
    </row>
    <row r="148" spans="2:10" x14ac:dyDescent="0.3">
      <c r="C148" s="1"/>
      <c r="D148" s="25"/>
      <c r="E148" s="25"/>
      <c r="F148" s="11"/>
      <c r="G148" s="11"/>
      <c r="H148" s="11"/>
      <c r="I148" s="11"/>
      <c r="J148" s="11"/>
    </row>
    <row r="149" spans="2:10" x14ac:dyDescent="0.3">
      <c r="F149" s="11"/>
      <c r="G149" s="11"/>
      <c r="H149" s="11"/>
      <c r="I149" s="11"/>
      <c r="J149" s="11"/>
    </row>
    <row r="150" spans="2:10" x14ac:dyDescent="0.3">
      <c r="F150" s="11"/>
      <c r="G150" s="11"/>
      <c r="H150" s="11"/>
      <c r="I150" s="11"/>
      <c r="J150" s="11"/>
    </row>
    <row r="151" spans="2:10" x14ac:dyDescent="0.3">
      <c r="F151" s="11"/>
      <c r="G151" s="11"/>
      <c r="H151" s="11"/>
      <c r="I151" s="11"/>
      <c r="J151" s="11"/>
    </row>
    <row r="152" spans="2:10" x14ac:dyDescent="0.3">
      <c r="F152" s="11"/>
      <c r="G152" s="11"/>
      <c r="H152" s="11"/>
      <c r="I152" s="11"/>
      <c r="J152" s="11"/>
    </row>
    <row r="153" spans="2:10" x14ac:dyDescent="0.3">
      <c r="F153" s="11"/>
      <c r="G153" s="11"/>
      <c r="H153" s="11"/>
      <c r="I153" s="11"/>
      <c r="J153" s="11"/>
    </row>
    <row r="154" spans="2:10" x14ac:dyDescent="0.3">
      <c r="F154" s="11"/>
      <c r="G154" s="11"/>
      <c r="H154" s="11"/>
      <c r="I154" s="11"/>
      <c r="J154" s="11"/>
    </row>
    <row r="155" spans="2:10" x14ac:dyDescent="0.3">
      <c r="F155" s="11"/>
      <c r="G155" s="11"/>
      <c r="H155" s="11"/>
      <c r="I155" s="11"/>
      <c r="J155" s="11"/>
    </row>
    <row r="156" spans="2:10" x14ac:dyDescent="0.3">
      <c r="F156" s="11"/>
      <c r="G156" s="11"/>
      <c r="H156" s="11"/>
      <c r="I156" s="11"/>
      <c r="J156" s="11"/>
    </row>
    <row r="157" spans="2:10" x14ac:dyDescent="0.3">
      <c r="F157" s="11"/>
      <c r="G157" s="11"/>
      <c r="H157" s="11"/>
      <c r="I157" s="11"/>
      <c r="J157" s="11"/>
    </row>
    <row r="158" spans="2:10" x14ac:dyDescent="0.3">
      <c r="F158" s="11"/>
      <c r="G158" s="11"/>
      <c r="H158" s="11"/>
      <c r="I158" s="11"/>
      <c r="J158" s="11"/>
    </row>
    <row r="159" spans="2:10" x14ac:dyDescent="0.3">
      <c r="E159" s="11"/>
      <c r="F159" s="11"/>
      <c r="G159" s="11"/>
      <c r="H159" s="11"/>
      <c r="I159" s="11"/>
      <c r="J159" s="11"/>
    </row>
    <row r="160" spans="2:10" ht="14.4" customHeight="1" x14ac:dyDescent="0.3">
      <c r="E160" s="11"/>
      <c r="F160" s="11"/>
      <c r="G160" s="11"/>
      <c r="H160" s="11"/>
      <c r="I160" s="11"/>
      <c r="J160" s="11"/>
    </row>
    <row r="161" spans="6:10" x14ac:dyDescent="0.3">
      <c r="F161" s="11"/>
      <c r="G161" s="11"/>
      <c r="H161" s="11"/>
      <c r="I161" s="11"/>
      <c r="J161" s="11"/>
    </row>
  </sheetData>
  <mergeCells count="3">
    <mergeCell ref="B3:J3"/>
    <mergeCell ref="B4:J4"/>
    <mergeCell ref="B5:J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E81-2EB3-4D9C-9386-472B8A222F75}">
  <dimension ref="A1:J45"/>
  <sheetViews>
    <sheetView tabSelected="1" workbookViewId="0">
      <pane ySplit="2" topLeftCell="A3" activePane="bottomLeft" state="frozen"/>
      <selection pane="bottomLeft" activeCell="J28" sqref="J28"/>
    </sheetView>
  </sheetViews>
  <sheetFormatPr defaultRowHeight="14.4" x14ac:dyDescent="0.3"/>
  <cols>
    <col min="1" max="1" width="64.5546875" bestFit="1" customWidth="1"/>
    <col min="2" max="2" width="16.6640625" customWidth="1"/>
    <col min="3" max="3" width="16.109375" bestFit="1" customWidth="1"/>
    <col min="4" max="4" width="15" bestFit="1" customWidth="1"/>
    <col min="5" max="5" width="17.33203125" bestFit="1" customWidth="1"/>
    <col min="6" max="6" width="24.6640625" bestFit="1" customWidth="1"/>
    <col min="7" max="9" width="15" bestFit="1" customWidth="1"/>
  </cols>
  <sheetData>
    <row r="1" spans="1:9" x14ac:dyDescent="0.3">
      <c r="B1" t="s">
        <v>162</v>
      </c>
      <c r="E1" s="2" t="s">
        <v>61</v>
      </c>
      <c r="F1" s="2"/>
      <c r="G1" s="2"/>
      <c r="H1" s="2"/>
      <c r="I1" s="2"/>
    </row>
    <row r="2" spans="1:9" ht="15" thickBot="1" x14ac:dyDescent="0.35">
      <c r="B2">
        <v>2021</v>
      </c>
      <c r="C2">
        <v>2022</v>
      </c>
      <c r="D2">
        <v>2023</v>
      </c>
      <c r="E2" s="4">
        <v>2024</v>
      </c>
      <c r="F2" s="4">
        <v>2025</v>
      </c>
      <c r="G2" s="4">
        <v>2026</v>
      </c>
      <c r="H2" s="4">
        <v>2027</v>
      </c>
      <c r="I2" s="4">
        <v>2028</v>
      </c>
    </row>
    <row r="3" spans="1:9" ht="18" x14ac:dyDescent="0.35">
      <c r="A3" s="5" t="s">
        <v>97</v>
      </c>
      <c r="B3" s="6"/>
      <c r="C3" s="6"/>
      <c r="D3" s="6"/>
      <c r="E3" s="58"/>
      <c r="F3" s="58"/>
      <c r="G3" s="58"/>
      <c r="H3" s="58"/>
      <c r="I3" s="59"/>
    </row>
    <row r="4" spans="1:9" x14ac:dyDescent="0.3">
      <c r="A4" s="9" t="s">
        <v>74</v>
      </c>
      <c r="B4" s="31"/>
      <c r="C4" s="31">
        <f>Model!D8/Model!C8-1</f>
        <v>6.45739131769969E-2</v>
      </c>
      <c r="D4" s="31">
        <f>Model!E8/Model!D8-1</f>
        <v>6.6668047843545297E-2</v>
      </c>
      <c r="E4" s="31">
        <f>Model!F8/Model!E8-1</f>
        <v>0.11778491269577041</v>
      </c>
      <c r="F4" s="31">
        <f>Model!G8/Model!F8-1</f>
        <v>8.8485670954204343E-2</v>
      </c>
      <c r="G4" s="31">
        <f>Model!H8/Model!G8-1</f>
        <v>7.7653431721726562E-2</v>
      </c>
      <c r="H4" s="31">
        <f>Model!I8/Model!H8-1</f>
        <v>8.6813400310356004E-2</v>
      </c>
      <c r="I4" s="32">
        <f>Model!J8/Model!I8-1</f>
        <v>7.6879579606345949E-2</v>
      </c>
    </row>
    <row r="5" spans="1:9" x14ac:dyDescent="0.3">
      <c r="A5" s="9" t="s">
        <v>75</v>
      </c>
      <c r="B5" s="31">
        <f>Model!C9/Model!C8</f>
        <v>0.58363438773535214</v>
      </c>
      <c r="C5" s="31">
        <f>Model!D9/Model!D8</f>
        <v>0.60629294761596741</v>
      </c>
      <c r="D5" s="31">
        <f>Model!E9/Model!E8</f>
        <v>0.58462160446530476</v>
      </c>
      <c r="E5" s="31">
        <f t="shared" ref="E5:E10" si="0">AVERAGE(B5:D5)</f>
        <v>0.59151631327220811</v>
      </c>
      <c r="F5" s="31">
        <f t="shared" ref="F5:I11" si="1">E5</f>
        <v>0.59151631327220811</v>
      </c>
      <c r="G5" s="31">
        <f t="shared" si="1"/>
        <v>0.59151631327220811</v>
      </c>
      <c r="H5" s="31">
        <f t="shared" si="1"/>
        <v>0.59151631327220811</v>
      </c>
      <c r="I5" s="32">
        <f t="shared" si="1"/>
        <v>0.59151631327220811</v>
      </c>
    </row>
    <row r="6" spans="1:9" x14ac:dyDescent="0.3">
      <c r="A6" s="9" t="s">
        <v>76</v>
      </c>
      <c r="B6" s="31">
        <f>Model!C10/Model!C8</f>
        <v>8.5701372799991807E-2</v>
      </c>
      <c r="C6" s="31">
        <f>Model!D10/Model!D8</f>
        <v>8.0039790546107853E-2</v>
      </c>
      <c r="D6" s="31">
        <f>Model!E10/Model!E8</f>
        <v>7.8814446879259759E-2</v>
      </c>
      <c r="E6" s="31">
        <f t="shared" si="0"/>
        <v>8.1518536741786482E-2</v>
      </c>
      <c r="F6" s="31">
        <f t="shared" si="1"/>
        <v>8.1518536741786482E-2</v>
      </c>
      <c r="G6" s="31">
        <f t="shared" si="1"/>
        <v>8.1518536741786482E-2</v>
      </c>
      <c r="H6" s="31">
        <f t="shared" si="1"/>
        <v>8.1518536741786482E-2</v>
      </c>
      <c r="I6" s="32">
        <f t="shared" si="1"/>
        <v>8.1518536741786482E-2</v>
      </c>
    </row>
    <row r="7" spans="1:9" x14ac:dyDescent="0.3">
      <c r="A7" s="9" t="s">
        <v>77</v>
      </c>
      <c r="B7" s="31">
        <f>Model!C11/Model!C8</f>
        <v>7.6567342733701471E-2</v>
      </c>
      <c r="C7" s="31">
        <f>Model!D11/Model!D8</f>
        <v>8.5750239992661834E-2</v>
      </c>
      <c r="D7" s="31">
        <f>Model!E11/Model!E8</f>
        <v>7.9344495883661673E-2</v>
      </c>
      <c r="E7" s="31">
        <f t="shared" si="0"/>
        <v>8.0554026203341664E-2</v>
      </c>
      <c r="F7" s="31">
        <f t="shared" si="1"/>
        <v>8.0554026203341664E-2</v>
      </c>
      <c r="G7" s="31">
        <f t="shared" si="1"/>
        <v>8.0554026203341664E-2</v>
      </c>
      <c r="H7" s="31">
        <f t="shared" si="1"/>
        <v>8.0554026203341664E-2</v>
      </c>
      <c r="I7" s="32">
        <f t="shared" si="1"/>
        <v>8.0554026203341664E-2</v>
      </c>
    </row>
    <row r="8" spans="1:9" x14ac:dyDescent="0.3">
      <c r="A8" s="9" t="s">
        <v>78</v>
      </c>
      <c r="B8" s="31">
        <f>Model!C12/Model!C8</f>
        <v>4.5512428444300534E-2</v>
      </c>
      <c r="C8" s="31">
        <f>Model!D12/Model!D8</f>
        <v>4.9750549966709419E-2</v>
      </c>
      <c r="D8" s="31">
        <f>Model!E12/Model!E8</f>
        <v>5.1011767918184278E-2</v>
      </c>
      <c r="E8" s="31">
        <f t="shared" si="0"/>
        <v>4.8758248776398082E-2</v>
      </c>
      <c r="F8" s="31">
        <f t="shared" si="1"/>
        <v>4.8758248776398082E-2</v>
      </c>
      <c r="G8" s="31">
        <f t="shared" si="1"/>
        <v>4.8758248776398082E-2</v>
      </c>
      <c r="H8" s="31">
        <f t="shared" si="1"/>
        <v>4.8758248776398082E-2</v>
      </c>
      <c r="I8" s="32">
        <f t="shared" si="1"/>
        <v>4.8758248776398082E-2</v>
      </c>
    </row>
    <row r="9" spans="1:9" x14ac:dyDescent="0.3">
      <c r="A9" s="9" t="s">
        <v>62</v>
      </c>
      <c r="B9" s="31">
        <f>Model!C20/Model!C18</f>
        <v>-0.1239490125431007</v>
      </c>
      <c r="C9" s="31">
        <f>Model!D20/Model!D18</f>
        <v>-0.14665946292208729</v>
      </c>
      <c r="D9" s="31">
        <f>Model!E20/Model!E18</f>
        <v>-0.12850329672277636</v>
      </c>
      <c r="E9" s="31">
        <f t="shared" si="0"/>
        <v>-0.13303725739598812</v>
      </c>
      <c r="F9" s="31">
        <f t="shared" si="1"/>
        <v>-0.13303725739598812</v>
      </c>
      <c r="G9" s="31">
        <f t="shared" si="1"/>
        <v>-0.13303725739598812</v>
      </c>
      <c r="H9" s="31">
        <f t="shared" si="1"/>
        <v>-0.13303725739598812</v>
      </c>
      <c r="I9" s="32">
        <f t="shared" si="1"/>
        <v>-0.13303725739598812</v>
      </c>
    </row>
    <row r="10" spans="1:9" x14ac:dyDescent="0.3">
      <c r="A10" s="9" t="s">
        <v>150</v>
      </c>
      <c r="B10" s="31">
        <f>Model!C16/Model!C8</f>
        <v>-2.5780322638909409E-2</v>
      </c>
      <c r="C10" s="31">
        <f>Model!D16/Model!D8</f>
        <v>-2.2337488988804558E-2</v>
      </c>
      <c r="D10" s="31">
        <f>Model!E16/Model!E8</f>
        <v>-2.0752004170885189E-2</v>
      </c>
      <c r="E10" s="31">
        <f t="shared" si="0"/>
        <v>-2.295660526619972E-2</v>
      </c>
      <c r="F10" s="31">
        <f t="shared" si="1"/>
        <v>-2.295660526619972E-2</v>
      </c>
      <c r="G10" s="31">
        <f t="shared" si="1"/>
        <v>-2.295660526619972E-2</v>
      </c>
      <c r="H10" s="31">
        <f t="shared" si="1"/>
        <v>-2.295660526619972E-2</v>
      </c>
      <c r="I10" s="32">
        <f t="shared" si="1"/>
        <v>-2.295660526619972E-2</v>
      </c>
    </row>
    <row r="11" spans="1:9" ht="15" thickBot="1" x14ac:dyDescent="0.35">
      <c r="A11" s="18" t="s">
        <v>151</v>
      </c>
      <c r="B11" s="33">
        <v>0.05</v>
      </c>
      <c r="C11" s="33">
        <f>B11</f>
        <v>0.05</v>
      </c>
      <c r="D11" s="33">
        <f>C11</f>
        <v>0.05</v>
      </c>
      <c r="E11" s="33">
        <f>D11</f>
        <v>0.05</v>
      </c>
      <c r="F11" s="33">
        <f t="shared" si="1"/>
        <v>0.05</v>
      </c>
      <c r="G11" s="33">
        <f t="shared" si="1"/>
        <v>0.05</v>
      </c>
      <c r="H11" s="33">
        <f t="shared" si="1"/>
        <v>0.05</v>
      </c>
      <c r="I11" s="34">
        <f t="shared" si="1"/>
        <v>0.05</v>
      </c>
    </row>
    <row r="13" spans="1:9" ht="15" thickBot="1" x14ac:dyDescent="0.35"/>
    <row r="14" spans="1:9" ht="18" x14ac:dyDescent="0.35">
      <c r="A14" s="5" t="s">
        <v>160</v>
      </c>
      <c r="B14" s="6"/>
      <c r="C14" s="6"/>
      <c r="D14" s="6"/>
      <c r="E14" s="7"/>
      <c r="F14" s="7"/>
      <c r="G14" s="7"/>
      <c r="H14" s="7"/>
      <c r="I14" s="8"/>
    </row>
    <row r="15" spans="1:9" x14ac:dyDescent="0.3">
      <c r="A15" s="9" t="s">
        <v>80</v>
      </c>
      <c r="B15" s="25">
        <f>Model!C69/Model!C42</f>
        <v>0</v>
      </c>
      <c r="C15" s="25">
        <f>Model!D69/Model!D42</f>
        <v>0.44973367149379373</v>
      </c>
      <c r="D15" s="25">
        <f>Model!E69/Model!E42</f>
        <v>2.8831636194322999E-3</v>
      </c>
      <c r="E15" s="25">
        <f>AVERAGE(B15:D15)</f>
        <v>0.15087227837107534</v>
      </c>
      <c r="F15" s="25">
        <f>E15</f>
        <v>0.15087227837107534</v>
      </c>
      <c r="G15" s="25">
        <f>F15</f>
        <v>0.15087227837107534</v>
      </c>
      <c r="H15" s="25">
        <f>G15</f>
        <v>0.15087227837107534</v>
      </c>
      <c r="I15" s="67">
        <f>H15</f>
        <v>0.15087227837107534</v>
      </c>
    </row>
    <row r="16" spans="1:9" x14ac:dyDescent="0.3">
      <c r="A16" s="9" t="s">
        <v>82</v>
      </c>
      <c r="B16" s="57">
        <f>Model!C8-Model!C13</f>
        <v>23503335</v>
      </c>
      <c r="C16" s="57">
        <f>Model!D8-Model!D13</f>
        <v>25982719</v>
      </c>
      <c r="D16" s="57">
        <f>Model!E8-Model!E13</f>
        <v>26769294</v>
      </c>
      <c r="E16" s="57">
        <f>Model!F8-Model!F13</f>
        <v>30244789.872470386</v>
      </c>
      <c r="F16" s="57">
        <f>Model!G8-Model!G13</f>
        <v>32921020.397204857</v>
      </c>
      <c r="G16" s="57">
        <f>Model!H8-Model!H13</f>
        <v>35477450.606828779</v>
      </c>
      <c r="H16" s="57">
        <f>Model!I8-Model!I13</f>
        <v>38557368.728350282</v>
      </c>
      <c r="I16" s="28">
        <f>Model!J8-Model!J13</f>
        <v>41521643.026912719</v>
      </c>
    </row>
    <row r="17" spans="1:10" x14ac:dyDescent="0.3">
      <c r="A17" s="9" t="s">
        <v>83</v>
      </c>
      <c r="B17" s="69">
        <f>Model!C80/B16</f>
        <v>3.5632517683128799E-2</v>
      </c>
      <c r="C17" s="69">
        <f>Model!D80/C16</f>
        <v>2.5844600790240622E-2</v>
      </c>
      <c r="D17" s="69">
        <f>Model!E80/D16</f>
        <v>2.7920497268250705E-2</v>
      </c>
      <c r="E17" s="69">
        <f>AVERAGE(B17:D17)</f>
        <v>2.9799205247206709E-2</v>
      </c>
      <c r="F17" s="69">
        <f t="shared" ref="F17:I18" si="2">E17</f>
        <v>2.9799205247206709E-2</v>
      </c>
      <c r="G17" s="69">
        <f t="shared" si="2"/>
        <v>2.9799205247206709E-2</v>
      </c>
      <c r="H17" s="69">
        <f t="shared" si="2"/>
        <v>2.9799205247206709E-2</v>
      </c>
      <c r="I17" s="67">
        <f t="shared" si="2"/>
        <v>2.9799205247206709E-2</v>
      </c>
    </row>
    <row r="18" spans="1:10" ht="15" thickBot="1" x14ac:dyDescent="0.35">
      <c r="A18" s="18" t="s">
        <v>84</v>
      </c>
      <c r="B18" s="70"/>
      <c r="C18" s="70">
        <f>(Model!D71-Model!C71)/Model!C71</f>
        <v>0.14828673484245322</v>
      </c>
      <c r="D18" s="70">
        <f>(Model!E71-Model!D71)/Model!D71</f>
        <v>7.0324491314009113E-2</v>
      </c>
      <c r="E18" s="70">
        <f>AVERAGE(C18:D18)</f>
        <v>0.10930561307823117</v>
      </c>
      <c r="F18" s="70">
        <f t="shared" si="2"/>
        <v>0.10930561307823117</v>
      </c>
      <c r="G18" s="70">
        <f t="shared" si="2"/>
        <v>0.10930561307823117</v>
      </c>
      <c r="H18" s="70">
        <f t="shared" si="2"/>
        <v>0.10930561307823117</v>
      </c>
      <c r="I18" s="27">
        <f t="shared" si="2"/>
        <v>0.10930561307823117</v>
      </c>
    </row>
    <row r="19" spans="1:10" ht="15" thickBot="1" x14ac:dyDescent="0.35"/>
    <row r="20" spans="1:10" ht="18" x14ac:dyDescent="0.35">
      <c r="A20" s="5" t="s">
        <v>158</v>
      </c>
      <c r="B20" s="6"/>
      <c r="C20" s="6"/>
      <c r="D20" s="6"/>
      <c r="E20" s="6"/>
      <c r="F20" s="6"/>
      <c r="G20" s="6"/>
      <c r="H20" s="6"/>
      <c r="I20" s="66"/>
    </row>
    <row r="21" spans="1:10" x14ac:dyDescent="0.3">
      <c r="A21" s="9" t="s">
        <v>96</v>
      </c>
      <c r="D21" s="23"/>
      <c r="E21" s="25">
        <v>2.06E-2</v>
      </c>
      <c r="F21" s="25">
        <v>2.06E-2</v>
      </c>
      <c r="G21" s="25">
        <v>2.06E-2</v>
      </c>
      <c r="H21" s="25">
        <v>2.06E-2</v>
      </c>
      <c r="I21" s="67">
        <v>2.06E-2</v>
      </c>
      <c r="J21" t="s">
        <v>159</v>
      </c>
    </row>
    <row r="22" spans="1:10" ht="15" thickBot="1" x14ac:dyDescent="0.35">
      <c r="A22" s="18" t="s">
        <v>95</v>
      </c>
      <c r="B22" s="70">
        <f>Model!C104/Model!C103</f>
        <v>0.95014514704026254</v>
      </c>
      <c r="C22" s="70">
        <f>Model!D104/Model!D103</f>
        <v>0.96609706735082146</v>
      </c>
      <c r="D22" s="70">
        <f>Model!E104/Model!E103</f>
        <v>0.92551368547234469</v>
      </c>
      <c r="E22" s="70">
        <f>AVERAGE(B22:D22)</f>
        <v>0.94725196662114286</v>
      </c>
      <c r="F22" s="70">
        <f>AVERAGE(C22:E22)</f>
        <v>0.94628757314810297</v>
      </c>
      <c r="G22" s="70">
        <f>AVERAGE(D22:F22)</f>
        <v>0.93968440841386347</v>
      </c>
      <c r="H22" s="70">
        <f>AVERAGE(E22:G22)</f>
        <v>0.9444079827277031</v>
      </c>
      <c r="I22" s="27">
        <f>AVERAGE(F22:H22)</f>
        <v>0.94345998809655651</v>
      </c>
    </row>
    <row r="23" spans="1:10" ht="15" thickBot="1" x14ac:dyDescent="0.35"/>
    <row r="24" spans="1:10" ht="18" x14ac:dyDescent="0.35">
      <c r="A24" s="5" t="s">
        <v>108</v>
      </c>
      <c r="B24" s="6"/>
      <c r="C24" s="6"/>
      <c r="D24" s="6"/>
      <c r="E24" s="7"/>
      <c r="F24" s="7"/>
      <c r="G24" s="7"/>
      <c r="H24" s="7"/>
      <c r="I24" s="8"/>
    </row>
    <row r="25" spans="1:10" x14ac:dyDescent="0.3">
      <c r="A25" s="9" t="s">
        <v>109</v>
      </c>
      <c r="C25" s="71">
        <f>Model!D120/Model!D62*(-1)</f>
        <v>0</v>
      </c>
      <c r="D25" s="71">
        <f>Model!E120/Model!E62*(-1)</f>
        <v>0.88048382925803403</v>
      </c>
      <c r="E25" s="72">
        <f>AVERAGE(C25:D25)</f>
        <v>0.44024191462901702</v>
      </c>
      <c r="F25" s="72">
        <f>E25</f>
        <v>0.44024191462901702</v>
      </c>
      <c r="G25" s="72">
        <f>F25</f>
        <v>0.44024191462901702</v>
      </c>
      <c r="H25" s="72">
        <f>G25</f>
        <v>0.44024191462901702</v>
      </c>
      <c r="I25" s="73">
        <f>H25</f>
        <v>0.44024191462901702</v>
      </c>
    </row>
    <row r="26" spans="1:10" x14ac:dyDescent="0.3">
      <c r="A26" s="9" t="s">
        <v>114</v>
      </c>
      <c r="B26" s="74">
        <f>Model!C28+Model!C44</f>
        <v>-18226787</v>
      </c>
      <c r="C26" s="74">
        <f>Model!D28+Model!D44</f>
        <v>-17246767</v>
      </c>
      <c r="D26" s="74">
        <f>Model!E28+Model!E44</f>
        <v>-12903255</v>
      </c>
      <c r="E26" s="74">
        <f>Model!F28+Model!F44</f>
        <v>-14881371.226860307</v>
      </c>
      <c r="F26" s="74">
        <f>Model!G28+Model!G44</f>
        <v>-16198159.344587633</v>
      </c>
      <c r="G26" s="74">
        <f>Model!H28+Model!H44</f>
        <v>-17456002.005270217</v>
      </c>
      <c r="H26" s="74">
        <f>Model!I28+Model!I44</f>
        <v>-18971416.895172115</v>
      </c>
      <c r="I26" s="75">
        <f>Model!J28+Model!J44</f>
        <v>-20429931.450609677</v>
      </c>
    </row>
    <row r="27" spans="1:10" x14ac:dyDescent="0.3">
      <c r="A27" s="9" t="s">
        <v>113</v>
      </c>
      <c r="B27" s="69">
        <f>Model!C115/B26</f>
        <v>-9.5268025022731649E-3</v>
      </c>
      <c r="C27" s="69">
        <f>Model!D115/C26</f>
        <v>-2.1794229608366601E-3</v>
      </c>
      <c r="D27" s="69">
        <f>Model!E115/D26</f>
        <v>-1.3035703006721947E-2</v>
      </c>
      <c r="E27" s="69">
        <f>AVERAGE(B27:D27)</f>
        <v>-8.2473094899439253E-3</v>
      </c>
      <c r="F27" s="69">
        <f t="shared" ref="F27:I28" si="3">E27</f>
        <v>-8.2473094899439253E-3</v>
      </c>
      <c r="G27" s="69">
        <f t="shared" si="3"/>
        <v>-8.2473094899439253E-3</v>
      </c>
      <c r="H27" s="69">
        <f t="shared" si="3"/>
        <v>-8.2473094899439253E-3</v>
      </c>
      <c r="I27" s="67">
        <f t="shared" si="3"/>
        <v>-8.2473094899439253E-3</v>
      </c>
    </row>
    <row r="28" spans="1:10" ht="15" thickBot="1" x14ac:dyDescent="0.35">
      <c r="A28" s="18" t="s">
        <v>115</v>
      </c>
      <c r="B28" s="70">
        <f>Model!C116/Model!C21</f>
        <v>7.8811968504921989E-2</v>
      </c>
      <c r="C28" s="70">
        <f>Model!D116/Model!D21</f>
        <v>0.12810813361935777</v>
      </c>
      <c r="D28" s="70">
        <f>Model!E116/Model!E21</f>
        <v>6.2753074617371701E-2</v>
      </c>
      <c r="E28" s="70">
        <f>AVERAGE(B28:D28)</f>
        <v>8.9891058913883826E-2</v>
      </c>
      <c r="F28" s="70">
        <f t="shared" si="3"/>
        <v>8.9891058913883826E-2</v>
      </c>
      <c r="G28" s="70">
        <f t="shared" si="3"/>
        <v>8.9891058913883826E-2</v>
      </c>
      <c r="H28" s="70">
        <f t="shared" si="3"/>
        <v>8.9891058913883826E-2</v>
      </c>
      <c r="I28" s="27">
        <f t="shared" si="3"/>
        <v>8.9891058913883826E-2</v>
      </c>
    </row>
    <row r="30" spans="1:10" ht="15" thickBot="1" x14ac:dyDescent="0.35"/>
    <row r="31" spans="1:10" ht="18" x14ac:dyDescent="0.35">
      <c r="A31" s="5" t="s">
        <v>161</v>
      </c>
      <c r="B31" s="6"/>
      <c r="C31" s="6"/>
      <c r="D31" s="6"/>
      <c r="E31" s="6"/>
      <c r="F31" s="6"/>
      <c r="G31" s="6"/>
      <c r="H31" s="6"/>
      <c r="I31" s="66"/>
    </row>
    <row r="32" spans="1:10" x14ac:dyDescent="0.3">
      <c r="A32" s="9" t="s">
        <v>128</v>
      </c>
      <c r="B32" s="25">
        <f>Model!C133/Model!C131</f>
        <v>0.48181496575592059</v>
      </c>
      <c r="C32" s="25">
        <f>Model!D133/Model!D131</f>
        <v>0.45363328347165849</v>
      </c>
      <c r="D32" s="25">
        <f>Model!E133/Model!E131</f>
        <v>0.43368547721941419</v>
      </c>
      <c r="E32" s="29">
        <f>AVERAGE(B32:D32)</f>
        <v>0.45637790881566448</v>
      </c>
      <c r="F32" s="29">
        <f t="shared" ref="F32:I34" si="4">E32</f>
        <v>0.45637790881566448</v>
      </c>
      <c r="G32" s="29">
        <f t="shared" si="4"/>
        <v>0.45637790881566448</v>
      </c>
      <c r="H32" s="29">
        <f t="shared" si="4"/>
        <v>0.45637790881566448</v>
      </c>
      <c r="I32" s="30">
        <f t="shared" si="4"/>
        <v>0.45637790881566448</v>
      </c>
    </row>
    <row r="33" spans="1:9" x14ac:dyDescent="0.3">
      <c r="A33" s="9" t="s">
        <v>124</v>
      </c>
      <c r="B33" s="31">
        <f>Model!C79/Model!C134</f>
        <v>0.13884317615472858</v>
      </c>
      <c r="C33" s="31">
        <f>Model!D79/Model!D134</f>
        <v>0.13685399630683753</v>
      </c>
      <c r="D33" s="31">
        <f>Model!E79/Model!E134</f>
        <v>0.14108478423311904</v>
      </c>
      <c r="E33" s="31">
        <f>AVERAGE(B33:D33)</f>
        <v>0.13892731889822837</v>
      </c>
      <c r="F33" s="31">
        <f t="shared" si="4"/>
        <v>0.13892731889822837</v>
      </c>
      <c r="G33" s="31">
        <f t="shared" si="4"/>
        <v>0.13892731889822837</v>
      </c>
      <c r="H33" s="31">
        <f t="shared" si="4"/>
        <v>0.13892731889822837</v>
      </c>
      <c r="I33" s="32">
        <f t="shared" si="4"/>
        <v>0.13892731889822837</v>
      </c>
    </row>
    <row r="34" spans="1:9" ht="15" thickBot="1" x14ac:dyDescent="0.35">
      <c r="A34" s="18" t="s">
        <v>127</v>
      </c>
      <c r="B34" s="33">
        <f>Model!C85/Model!C72</f>
        <v>0.10007306383190254</v>
      </c>
      <c r="C34" s="33">
        <f>Model!D85/Model!D72</f>
        <v>9.4122980520371727E-2</v>
      </c>
      <c r="D34" s="33">
        <f>Model!E85/Model!E72</f>
        <v>8.1438133788126477E-2</v>
      </c>
      <c r="E34" s="33">
        <f>AVERAGE(B34:D34)</f>
        <v>9.1878059380133589E-2</v>
      </c>
      <c r="F34" s="33">
        <f t="shared" si="4"/>
        <v>9.1878059380133589E-2</v>
      </c>
      <c r="G34" s="33">
        <f t="shared" si="4"/>
        <v>9.1878059380133589E-2</v>
      </c>
      <c r="H34" s="33">
        <f t="shared" si="4"/>
        <v>9.1878059380133589E-2</v>
      </c>
      <c r="I34" s="34">
        <f t="shared" si="4"/>
        <v>9.1878059380133589E-2</v>
      </c>
    </row>
    <row r="35" spans="1:9" ht="15" thickBot="1" x14ac:dyDescent="0.35"/>
    <row r="36" spans="1:9" ht="18" x14ac:dyDescent="0.35">
      <c r="A36" s="5" t="s">
        <v>146</v>
      </c>
      <c r="B36" s="68"/>
      <c r="C36" s="68"/>
      <c r="D36" s="68"/>
      <c r="E36" s="7"/>
      <c r="F36" s="8"/>
    </row>
    <row r="37" spans="1:9" x14ac:dyDescent="0.3">
      <c r="A37" s="35" t="s">
        <v>147</v>
      </c>
      <c r="B37" t="s">
        <v>137</v>
      </c>
      <c r="C37" t="s">
        <v>143</v>
      </c>
      <c r="D37" t="s">
        <v>144</v>
      </c>
      <c r="E37" t="s">
        <v>152</v>
      </c>
      <c r="F37" s="24" t="s">
        <v>148</v>
      </c>
    </row>
    <row r="38" spans="1:9" x14ac:dyDescent="0.3">
      <c r="A38" s="35" t="s">
        <v>132</v>
      </c>
      <c r="C38" s="25">
        <v>0</v>
      </c>
      <c r="D38" s="1">
        <v>88429</v>
      </c>
      <c r="E38" s="25">
        <f t="shared" ref="E38:E44" si="5">D38/SUM($D$38:$D$44)</f>
        <v>4.5582076242464541E-2</v>
      </c>
      <c r="F38" s="67">
        <f t="shared" ref="F38:F44" si="6">C38*E38</f>
        <v>0</v>
      </c>
    </row>
    <row r="39" spans="1:9" x14ac:dyDescent="0.3">
      <c r="A39" s="35" t="s">
        <v>133</v>
      </c>
      <c r="B39">
        <v>30</v>
      </c>
      <c r="C39" s="25">
        <f t="shared" ref="C39:C44" si="7">1/B39</f>
        <v>3.3333333333333333E-2</v>
      </c>
      <c r="D39" s="1">
        <v>150736</v>
      </c>
      <c r="E39" s="25">
        <f t="shared" si="5"/>
        <v>7.7699169327756001E-2</v>
      </c>
      <c r="F39" s="67">
        <f t="shared" si="6"/>
        <v>2.5899723109251999E-3</v>
      </c>
    </row>
    <row r="40" spans="1:9" x14ac:dyDescent="0.3">
      <c r="A40" s="35" t="s">
        <v>142</v>
      </c>
      <c r="B40">
        <v>8</v>
      </c>
      <c r="C40" s="25">
        <f t="shared" si="7"/>
        <v>0.125</v>
      </c>
      <c r="D40" s="1">
        <v>1032492</v>
      </c>
      <c r="E40" s="25">
        <f t="shared" si="5"/>
        <v>0.53221374281892475</v>
      </c>
      <c r="F40" s="67">
        <f t="shared" si="6"/>
        <v>6.6526717852365594E-2</v>
      </c>
    </row>
    <row r="41" spans="1:9" x14ac:dyDescent="0.3">
      <c r="A41" s="35" t="s">
        <v>141</v>
      </c>
      <c r="B41">
        <v>3</v>
      </c>
      <c r="C41" s="25">
        <f t="shared" si="7"/>
        <v>0.33333333333333331</v>
      </c>
      <c r="D41" s="1">
        <v>144737</v>
      </c>
      <c r="E41" s="25">
        <f t="shared" si="5"/>
        <v>7.4606893316735354E-2</v>
      </c>
      <c r="F41" s="67">
        <f t="shared" si="6"/>
        <v>2.4868964438911782E-2</v>
      </c>
    </row>
    <row r="42" spans="1:9" x14ac:dyDescent="0.3">
      <c r="A42" s="35" t="s">
        <v>134</v>
      </c>
      <c r="B42">
        <v>3</v>
      </c>
      <c r="C42" s="25">
        <f t="shared" si="7"/>
        <v>0.33333333333333331</v>
      </c>
      <c r="D42" s="1">
        <v>414092</v>
      </c>
      <c r="E42" s="25">
        <f t="shared" si="5"/>
        <v>0.21345003466503779</v>
      </c>
      <c r="F42" s="67">
        <f t="shared" si="6"/>
        <v>7.1150011555012591E-2</v>
      </c>
    </row>
    <row r="43" spans="1:9" x14ac:dyDescent="0.3">
      <c r="A43" s="35" t="s">
        <v>135</v>
      </c>
      <c r="B43">
        <v>8</v>
      </c>
      <c r="C43" s="25">
        <f t="shared" si="7"/>
        <v>0.125</v>
      </c>
      <c r="D43" s="1">
        <v>99175</v>
      </c>
      <c r="E43" s="25">
        <f t="shared" si="5"/>
        <v>5.1121265776458188E-2</v>
      </c>
      <c r="F43" s="67">
        <f t="shared" si="6"/>
        <v>6.3901582220572736E-3</v>
      </c>
    </row>
    <row r="44" spans="1:9" x14ac:dyDescent="0.3">
      <c r="A44" s="35" t="s">
        <v>136</v>
      </c>
      <c r="B44">
        <v>4</v>
      </c>
      <c r="C44" s="25">
        <f t="shared" si="7"/>
        <v>0.25</v>
      </c>
      <c r="D44" s="1">
        <v>10334</v>
      </c>
      <c r="E44" s="25">
        <f t="shared" si="5"/>
        <v>5.3268178526233315E-3</v>
      </c>
      <c r="F44" s="67">
        <f t="shared" si="6"/>
        <v>1.3317044631558329E-3</v>
      </c>
    </row>
    <row r="45" spans="1:9" ht="15" thickBot="1" x14ac:dyDescent="0.35">
      <c r="A45" s="36"/>
      <c r="B45" s="26"/>
      <c r="C45" s="26"/>
      <c r="D45" s="26"/>
      <c r="E45" s="26" t="s">
        <v>143</v>
      </c>
      <c r="F45" s="27">
        <f>SUM(F38:F44)</f>
        <v>0.17285752884242825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Assumptions and Memos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Stipek</dc:creator>
  <cp:lastModifiedBy>Francis Stipek</cp:lastModifiedBy>
  <dcterms:created xsi:type="dcterms:W3CDTF">2024-07-23T12:21:05Z</dcterms:created>
  <dcterms:modified xsi:type="dcterms:W3CDTF">2024-08-11T22:59:06Z</dcterms:modified>
</cp:coreProperties>
</file>