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codeName="ThisWorkbook" defaultThemeVersion="124226"/>
  <mc:AlternateContent xmlns:mc="http://schemas.openxmlformats.org/markup-compatibility/2006">
    <mc:Choice Requires="x15">
      <x15ac:absPath xmlns:x15ac="http://schemas.microsoft.com/office/spreadsheetml/2010/11/ac" url="C:\Users\Miri\Documents\9 CUATRIMESTRE\Administracion de proyectos\2 PARCIAL\plantillas a entregar\"/>
    </mc:Choice>
  </mc:AlternateContent>
  <bookViews>
    <workbookView xWindow="1620" yWindow="2865" windowWidth="14760" windowHeight="9840"/>
  </bookViews>
  <sheets>
    <sheet name="Identificacion" sheetId="9" r:id="rId1"/>
    <sheet name="Guia de Usuario" sheetId="6" r:id="rId2"/>
    <sheet name="Detalle del Riesgo" sheetId="8" r:id="rId3"/>
    <sheet name="Resumen" sheetId="2" r:id="rId4"/>
    <sheet name="Grafico" sheetId="10" r:id="rId5"/>
    <sheet name="Exposure" sheetId="5" state="hidden" r:id="rId6"/>
  </sheets>
  <externalReferences>
    <externalReference r:id="rId7"/>
  </externalReference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[1]Exposure!$S$4:$U$28</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D373" i="8" l="1"/>
  <c r="D370" i="8"/>
  <c r="D347" i="8"/>
  <c r="D344" i="8"/>
  <c r="D321" i="8"/>
  <c r="D318" i="8"/>
  <c r="D295" i="8"/>
  <c r="D292" i="8"/>
  <c r="D269" i="8"/>
  <c r="D266" i="8"/>
  <c r="D396" i="8"/>
  <c r="D399" i="8"/>
  <c r="D422" i="8"/>
  <c r="D425" i="8"/>
  <c r="D448" i="8"/>
  <c r="D451" i="8"/>
  <c r="D474" i="8"/>
  <c r="D477" i="8"/>
  <c r="D500" i="8"/>
  <c r="D503" i="8"/>
  <c r="D5" i="8" l="1"/>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A39" i="2"/>
  <c r="A38" i="2"/>
  <c r="B38" i="2" s="1"/>
  <c r="A37" i="2"/>
  <c r="E37" i="2" s="1"/>
  <c r="A36" i="2"/>
  <c r="A35" i="2"/>
  <c r="A34" i="2"/>
  <c r="B34" i="2" s="1"/>
  <c r="A33" i="2"/>
  <c r="B33" i="2" s="1"/>
  <c r="A32" i="2"/>
  <c r="A31" i="2"/>
  <c r="B35" i="5" s="1"/>
  <c r="A30" i="2"/>
  <c r="G30" i="2" s="1"/>
  <c r="A29" i="2"/>
  <c r="B33" i="5" s="1"/>
  <c r="A28" i="2"/>
  <c r="B28" i="2" s="1"/>
  <c r="A27" i="2"/>
  <c r="B27" i="2" s="1"/>
  <c r="A26" i="2"/>
  <c r="B26" i="2" s="1"/>
  <c r="A25" i="2"/>
  <c r="B25" i="2" s="1"/>
  <c r="A24" i="2"/>
  <c r="C24" i="2" s="1"/>
  <c r="A23" i="2"/>
  <c r="B23" i="2" s="1"/>
  <c r="A22" i="2"/>
  <c r="G22" i="2" s="1"/>
  <c r="A21" i="2"/>
  <c r="E21" i="2" s="1"/>
  <c r="A20" i="2"/>
  <c r="E20" i="2" s="1"/>
  <c r="A19" i="2"/>
  <c r="D19" i="2" s="1"/>
  <c r="A18" i="2"/>
  <c r="I18" i="2" s="1"/>
  <c r="A17" i="2"/>
  <c r="B17" i="2" s="1"/>
  <c r="A16" i="2"/>
  <c r="B16" i="2" s="1"/>
  <c r="A15" i="2"/>
  <c r="I15" i="2" s="1"/>
  <c r="A14" i="2"/>
  <c r="C14" i="2" s="1"/>
  <c r="A13" i="2"/>
  <c r="E13" i="2" s="1"/>
  <c r="A12" i="2"/>
  <c r="E12" i="2" s="1"/>
  <c r="B43" i="5"/>
  <c r="B39" i="5"/>
  <c r="D39" i="5" s="1"/>
  <c r="D162" i="8"/>
  <c r="I22" i="5" s="1"/>
  <c r="D58" i="8"/>
  <c r="I18" i="5" s="1"/>
  <c r="D763" i="8"/>
  <c r="D760" i="8"/>
  <c r="D737" i="8"/>
  <c r="D734" i="8"/>
  <c r="D711" i="8"/>
  <c r="D708" i="8"/>
  <c r="I43" i="5" s="1"/>
  <c r="D685" i="8"/>
  <c r="D682" i="8"/>
  <c r="I42" i="5" s="1"/>
  <c r="D659" i="8"/>
  <c r="D656" i="8"/>
  <c r="I41" i="5" s="1"/>
  <c r="D633" i="8"/>
  <c r="D630" i="8"/>
  <c r="D607" i="8"/>
  <c r="D604" i="8"/>
  <c r="I39" i="5" s="1"/>
  <c r="D581" i="8"/>
  <c r="D578" i="8"/>
  <c r="I38" i="5" s="1"/>
  <c r="D555" i="8"/>
  <c r="D552" i="8"/>
  <c r="I37" i="5" s="1"/>
  <c r="D529" i="8"/>
  <c r="D526" i="8"/>
  <c r="I35" i="5"/>
  <c r="I34" i="5"/>
  <c r="I33" i="5"/>
  <c r="D243" i="8"/>
  <c r="D240" i="8"/>
  <c r="I25" i="5" s="1"/>
  <c r="D217" i="8"/>
  <c r="D214" i="8"/>
  <c r="I24" i="5" s="1"/>
  <c r="D191" i="8"/>
  <c r="D188" i="8"/>
  <c r="I23" i="5" s="1"/>
  <c r="D165" i="8"/>
  <c r="D139" i="8"/>
  <c r="D136" i="8"/>
  <c r="I21" i="5" s="1"/>
  <c r="D113" i="8"/>
  <c r="D110" i="8"/>
  <c r="I20" i="5" s="1"/>
  <c r="D87" i="8"/>
  <c r="D84" i="8"/>
  <c r="I19" i="5" s="1"/>
  <c r="D61" i="8"/>
  <c r="I16" i="5"/>
  <c r="K16" i="5"/>
  <c r="F43" i="5"/>
  <c r="D35" i="8"/>
  <c r="D32" i="8"/>
  <c r="I17" i="5" s="1"/>
  <c r="D8" i="8"/>
  <c r="C1" i="2"/>
  <c r="J1" i="2"/>
  <c r="D43" i="5"/>
  <c r="G14" i="2"/>
  <c r="E23" i="2"/>
  <c r="J23" i="2"/>
  <c r="B32" i="2"/>
  <c r="C32" i="2"/>
  <c r="D32" i="2"/>
  <c r="E32" i="2"/>
  <c r="G32" i="2"/>
  <c r="I32" i="2"/>
  <c r="J32" i="2"/>
  <c r="C33" i="2"/>
  <c r="D34" i="2"/>
  <c r="E34" i="2"/>
  <c r="J34" i="2"/>
  <c r="B35" i="2"/>
  <c r="C35" i="2"/>
  <c r="D35" i="2"/>
  <c r="E35" i="2"/>
  <c r="G35" i="2"/>
  <c r="I35" i="2"/>
  <c r="J35" i="2"/>
  <c r="B36" i="2"/>
  <c r="C36" i="2"/>
  <c r="D36" i="2"/>
  <c r="E36" i="2"/>
  <c r="G36" i="2"/>
  <c r="I36" i="2"/>
  <c r="J36" i="2"/>
  <c r="C38" i="2"/>
  <c r="D38" i="2"/>
  <c r="E38" i="2"/>
  <c r="I38" i="2"/>
  <c r="J38" i="2"/>
  <c r="B39" i="2"/>
  <c r="C39" i="2"/>
  <c r="D39" i="2"/>
  <c r="E39" i="2"/>
  <c r="G39" i="2"/>
  <c r="I39" i="2"/>
  <c r="J39" i="2"/>
  <c r="B40" i="2"/>
  <c r="C40" i="2"/>
  <c r="D40" i="2"/>
  <c r="E40" i="2"/>
  <c r="G40" i="2"/>
  <c r="I40" i="2"/>
  <c r="J40" i="2"/>
  <c r="K22" i="5"/>
  <c r="L22" i="5"/>
  <c r="H15" i="5"/>
  <c r="L16" i="5"/>
  <c r="K17" i="5"/>
  <c r="L17" i="5"/>
  <c r="K18" i="5"/>
  <c r="L18" i="5"/>
  <c r="K19" i="5"/>
  <c r="L19" i="5"/>
  <c r="K20" i="5"/>
  <c r="L20" i="5"/>
  <c r="K21" i="5"/>
  <c r="L21" i="5"/>
  <c r="K23" i="5"/>
  <c r="L23" i="5"/>
  <c r="K24" i="5"/>
  <c r="L24" i="5"/>
  <c r="K25" i="5"/>
  <c r="L25" i="5"/>
  <c r="I26" i="5"/>
  <c r="K26" i="5"/>
  <c r="L26" i="5"/>
  <c r="I27" i="5"/>
  <c r="K27" i="5"/>
  <c r="L27" i="5"/>
  <c r="I28" i="5"/>
  <c r="K28" i="5"/>
  <c r="L28" i="5"/>
  <c r="I29" i="5"/>
  <c r="K29" i="5"/>
  <c r="L29" i="5"/>
  <c r="I30" i="5"/>
  <c r="K30" i="5"/>
  <c r="L30" i="5"/>
  <c r="I31" i="5"/>
  <c r="K31" i="5"/>
  <c r="L31" i="5"/>
  <c r="I32" i="5"/>
  <c r="K32" i="5"/>
  <c r="L32" i="5"/>
  <c r="K33" i="5"/>
  <c r="L33" i="5"/>
  <c r="K34" i="5"/>
  <c r="L34" i="5"/>
  <c r="K35" i="5"/>
  <c r="L35" i="5"/>
  <c r="I36" i="5"/>
  <c r="K36" i="5"/>
  <c r="L36" i="5"/>
  <c r="K37" i="5"/>
  <c r="L37" i="5"/>
  <c r="K38" i="5"/>
  <c r="L38" i="5"/>
  <c r="K39" i="5"/>
  <c r="L39" i="5"/>
  <c r="I40" i="5"/>
  <c r="K40" i="5"/>
  <c r="L40" i="5"/>
  <c r="K41" i="5"/>
  <c r="L41" i="5"/>
  <c r="K42" i="5"/>
  <c r="L42" i="5"/>
  <c r="K43" i="5"/>
  <c r="L43" i="5"/>
  <c r="I44" i="5"/>
  <c r="K44" i="5"/>
  <c r="L44" i="5"/>
  <c r="I45" i="5"/>
  <c r="K45" i="5"/>
  <c r="L45" i="5"/>
  <c r="I23" i="2" l="1"/>
  <c r="C23" i="2"/>
  <c r="G38" i="2"/>
  <c r="I34" i="2"/>
  <c r="C34" i="2"/>
  <c r="G34" i="2"/>
  <c r="C41" i="2"/>
  <c r="I37" i="2"/>
  <c r="I33" i="2"/>
  <c r="B41" i="5"/>
  <c r="F41" i="5" s="1"/>
  <c r="F39" i="5"/>
  <c r="C37" i="2"/>
  <c r="J30" i="2"/>
  <c r="D30" i="2"/>
  <c r="C29" i="2"/>
  <c r="D23" i="2"/>
  <c r="B27" i="5"/>
  <c r="E18" i="2"/>
  <c r="J14" i="2"/>
  <c r="E14" i="2"/>
  <c r="I14" i="2"/>
  <c r="J31" i="2"/>
  <c r="I31" i="2"/>
  <c r="C31" i="2"/>
  <c r="E31" i="2"/>
  <c r="D31" i="2"/>
  <c r="G31" i="2"/>
  <c r="B31" i="2"/>
  <c r="I30" i="2"/>
  <c r="B30" i="2"/>
  <c r="E30" i="2"/>
  <c r="C30" i="2"/>
  <c r="I29" i="2"/>
  <c r="J28" i="2"/>
  <c r="D28" i="2"/>
  <c r="G28" i="2"/>
  <c r="E28" i="2"/>
  <c r="I28" i="2"/>
  <c r="C28" i="2"/>
  <c r="I27" i="2"/>
  <c r="C27" i="2"/>
  <c r="G27" i="2"/>
  <c r="E27" i="2"/>
  <c r="J27" i="2"/>
  <c r="D27" i="2"/>
  <c r="B31" i="5"/>
  <c r="G26" i="2"/>
  <c r="E26" i="2"/>
  <c r="J26" i="2"/>
  <c r="D26" i="2"/>
  <c r="I26" i="2"/>
  <c r="C26" i="2"/>
  <c r="I25" i="2"/>
  <c r="C25" i="2"/>
  <c r="B24" i="2"/>
  <c r="E24" i="2"/>
  <c r="I24" i="2"/>
  <c r="G24" i="2"/>
  <c r="J24" i="2"/>
  <c r="D24" i="2"/>
  <c r="G23" i="2"/>
  <c r="J22" i="2"/>
  <c r="D22" i="2"/>
  <c r="I22" i="2"/>
  <c r="B22" i="2"/>
  <c r="E22" i="2"/>
  <c r="C22" i="2"/>
  <c r="I21" i="2"/>
  <c r="C21" i="2"/>
  <c r="B25" i="5"/>
  <c r="C25" i="5" s="1"/>
  <c r="J20" i="2"/>
  <c r="D20" i="2"/>
  <c r="I20" i="2"/>
  <c r="C20" i="2"/>
  <c r="G20" i="2"/>
  <c r="B20" i="2"/>
  <c r="I19" i="2"/>
  <c r="B23" i="5"/>
  <c r="B19" i="2"/>
  <c r="E19" i="2"/>
  <c r="C19" i="2"/>
  <c r="G19" i="2"/>
  <c r="J19" i="2"/>
  <c r="J18" i="2"/>
  <c r="B18" i="2"/>
  <c r="G18" i="2"/>
  <c r="D18" i="2"/>
  <c r="C18" i="2"/>
  <c r="G17" i="2"/>
  <c r="E16" i="2"/>
  <c r="J16" i="2"/>
  <c r="G16" i="2"/>
  <c r="D16" i="2"/>
  <c r="I16" i="2"/>
  <c r="C16" i="2"/>
  <c r="J15" i="2"/>
  <c r="C15" i="2"/>
  <c r="G15" i="2"/>
  <c r="B15" i="2"/>
  <c r="D15" i="2"/>
  <c r="E15" i="2"/>
  <c r="B19" i="5"/>
  <c r="B14" i="2"/>
  <c r="D14" i="2"/>
  <c r="B17" i="5"/>
  <c r="B13" i="2"/>
  <c r="G13" i="2"/>
  <c r="I12" i="2"/>
  <c r="B12" i="2"/>
  <c r="G12" i="2"/>
  <c r="J12" i="2"/>
  <c r="D12" i="2"/>
  <c r="C12" i="2"/>
  <c r="C33" i="5"/>
  <c r="H17" i="2"/>
  <c r="G21" i="5" s="1"/>
  <c r="H29" i="2"/>
  <c r="G33" i="5" s="1"/>
  <c r="F33" i="5" s="1"/>
  <c r="H41" i="2"/>
  <c r="G45" i="5" s="1"/>
  <c r="G41" i="2"/>
  <c r="B41" i="2"/>
  <c r="G37" i="2"/>
  <c r="B37" i="2"/>
  <c r="G33" i="2"/>
  <c r="G29" i="2"/>
  <c r="B29" i="2"/>
  <c r="G25" i="2"/>
  <c r="G21" i="2"/>
  <c r="B21" i="2"/>
  <c r="E17" i="2"/>
  <c r="C27" i="5"/>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M33"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D41" i="5" l="1"/>
  <c r="C41" i="5"/>
  <c r="C17" i="5"/>
  <c r="E41" i="5"/>
  <c r="C23" i="5"/>
  <c r="F25" i="5"/>
  <c r="C19" i="5"/>
  <c r="F36" i="2"/>
  <c r="H38" i="10" s="1"/>
  <c r="F20" i="2"/>
  <c r="H22" i="10" s="1"/>
  <c r="F18" i="2"/>
  <c r="H20" i="10" s="1"/>
  <c r="E19" i="5"/>
  <c r="E35" i="5"/>
  <c r="F30" i="2"/>
  <c r="H32" i="10" s="1"/>
  <c r="E33" i="5"/>
  <c r="E31" i="5"/>
  <c r="C31" i="5"/>
  <c r="E27" i="5"/>
  <c r="E25" i="5"/>
  <c r="E23" i="5"/>
  <c r="F28" i="2"/>
  <c r="H30" i="10" s="1"/>
  <c r="F33" i="2"/>
  <c r="H35" i="10" s="1"/>
  <c r="F26" i="2"/>
  <c r="H28" i="10" s="1"/>
  <c r="F14" i="2"/>
  <c r="H16" i="10" s="1"/>
  <c r="F25" i="2"/>
  <c r="H27" i="10" s="1"/>
  <c r="F34" i="2"/>
  <c r="H36" i="10" s="1"/>
  <c r="F29" i="2"/>
  <c r="H31" i="10" s="1"/>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<sst xmlns="http://schemas.openxmlformats.org/spreadsheetml/2006/main" count="2582" uniqueCount="379">
  <si>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</si>
  <si>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</si>
  <si>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</si>
  <si>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</si>
  <si>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</si>
  <si>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</si>
  <si>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</si>
  <si>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</si>
  <si>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</si>
  <si>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</si>
  <si>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</si>
  <si>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</si>
  <si>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</si>
  <si>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</si>
  <si>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</si>
  <si>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</si>
  <si>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</si>
  <si>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</si>
  <si>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</si>
  <si>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</si>
  <si>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</si>
  <si>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</si>
  <si>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</si>
  <si>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</si>
  <si>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</si>
  <si>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</si>
  <si>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</si>
  <si>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</si>
  <si>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</si>
  <si>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</si>
  <si>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</si>
  <si>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</si>
  <si>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</si>
  <si>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</si>
  <si>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</si>
  <si>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</si>
  <si>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</si>
  <si>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</si>
  <si>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</si>
  <si>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</si>
  <si>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</si>
  <si>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</si>
  <si>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</si>
  <si>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</si>
  <si>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</si>
  <si>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</si>
  <si>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</si>
  <si>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</si>
  <si>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</si>
  <si>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</si>
  <si>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</si>
  <si>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</si>
  <si>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</si>
  <si>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</si>
  <si>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</si>
  <si>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</si>
  <si>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</si>
  <si>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</si>
  <si>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</si>
  <si>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</si>
  <si>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</si>
  <si>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</si>
  <si>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</si>
  <si>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</si>
  <si>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</si>
  <si>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</si>
  <si>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</si>
  <si>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</si>
  <si>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</si>
  <si>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</si>
  <si>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</si>
  <si>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</si>
  <si>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</si>
  <si>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</si>
  <si>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</si>
  <si>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</si>
  <si>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</si>
  <si>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</si>
  <si>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</si>
  <si>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</si>
  <si>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</si>
  <si>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</si>
  <si>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</si>
  <si>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</si>
  <si>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</si>
  <si>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</si>
  <si>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</si>
  <si>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</si>
  <si>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</si>
  <si>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</si>
  <si>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</si>
  <si>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</si>
  <si>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</si>
  <si>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</si>
  <si>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</si>
  <si>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</si>
  <si>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</si>
  <si>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</si>
  <si>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</si>
  <si>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</si>
  <si>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</si>
  <si>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</si>
  <si>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</si>
  <si>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</si>
  <si>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</si>
  <si>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</si>
  <si>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</si>
  <si>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</si>
  <si>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</si>
  <si>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</si>
  <si>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</si>
  <si>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</si>
  <si>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</si>
  <si>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</si>
  <si>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</si>
  <si>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</si>
  <si>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</si>
  <si>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</si>
  <si>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</si>
  <si>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</si>
  <si>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</si>
  <si>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</si>
  <si>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</si>
  <si>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</si>
  <si>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</si>
  <si>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</si>
  <si>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</si>
  <si>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</si>
  <si>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</si>
  <si>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</si>
  <si>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</si>
  <si>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</si>
  <si>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</si>
  <si>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</si>
  <si>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</si>
  <si>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</si>
  <si>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</si>
  <si>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</si>
  <si>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</si>
  <si>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</si>
  <si>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</si>
  <si>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</si>
  <si>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</si>
  <si>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</si>
  <si>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</si>
  <si>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</si>
  <si>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</si>
  <si>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</si>
  <si>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</si>
  <si>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</si>
  <si>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</si>
  <si>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</si>
  <si>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</si>
  <si>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</si>
  <si>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</si>
  <si>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</si>
  <si>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</si>
  <si>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</si>
  <si>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</si>
  <si>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</si>
  <si>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</si>
  <si>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</si>
  <si>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</si>
  <si>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</si>
  <si>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</si>
  <si>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</si>
  <si>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</si>
  <si>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</si>
  <si>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</si>
  <si>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</si>
  <si>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</si>
  <si>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</si>
  <si>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</si>
  <si>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</si>
  <si>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</si>
  <si>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</si>
  <si>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</si>
  <si>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</si>
  <si>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</si>
  <si>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</si>
  <si>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</si>
  <si>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</si>
  <si>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</si>
  <si>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</si>
  <si>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</si>
  <si>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</si>
  <si>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</si>
  <si>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</si>
  <si>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</si>
  <si>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</si>
  <si>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</si>
  <si>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</si>
  <si>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</si>
  <si>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</si>
  <si>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</si>
  <si>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</si>
  <si>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</si>
  <si>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</si>
  <si>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</si>
  <si>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</si>
  <si>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</si>
  <si>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</si>
  <si>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</si>
  <si>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</si>
  <si>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</si>
  <si>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</si>
  <si>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</si>
  <si>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</si>
  <si>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</si>
  <si>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</si>
  <si>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</si>
  <si>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</si>
  <si>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</si>
  <si>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</si>
  <si>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</si>
  <si>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</si>
  <si>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</si>
  <si>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</si>
  <si>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</si>
  <si>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</si>
  <si>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</si>
  <si>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</si>
  <si>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</si>
  <si>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</si>
  <si>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</si>
  <si>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</si>
  <si>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</si>
  <si>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</si>
  <si>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</si>
  <si>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</si>
  <si>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</si>
  <si>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</si>
  <si>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</si>
  <si>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</si>
  <si>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</si>
  <si>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</si>
  <si>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</si>
  <si>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</si>
  <si>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</si>
  <si>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</si>
  <si>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</si>
  <si>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</si>
  <si>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</si>
  <si>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</si>
  <si>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Alta</t>
  </si>
  <si>
    <t>&lt;1 mes</t>
  </si>
  <si>
    <t>Proyecto:  SW-B-001</t>
  </si>
  <si>
    <t>06/17/16</t>
  </si>
  <si>
    <t>2.2.1.2.2</t>
  </si>
  <si>
    <t>Sin cambios</t>
  </si>
  <si>
    <t>Media</t>
  </si>
  <si>
    <t>Establecer políticas de trabajo</t>
  </si>
  <si>
    <t>Francisco Javier Regalado</t>
  </si>
  <si>
    <t>Everardo Gonzalez Camacho</t>
  </si>
  <si>
    <t>identificador de la tarea en q afecta el wbs</t>
  </si>
  <si>
    <t>Modificación de fechas de entrega</t>
  </si>
  <si>
    <t>FJRC</t>
  </si>
  <si>
    <t>Prevenir</t>
  </si>
  <si>
    <t>Cal</t>
  </si>
  <si>
    <t>El producto no cuenta con las especificaciones del cliente. Retraso en la planeación. Diseño s imperfectos.Aumento en los costos del proyecto</t>
  </si>
  <si>
    <t>La calendarización de actividades es un desgloce cronológico, tomando en cuenta fechas de inicio, fin y duración de las mismas, por lo cual se deben de seguir para el logro de los objetivos del proyecto. Entonrno en donde se puede situar el proyecto, definicionm del lugar donde afecta sus propiedaes y lo qu epuede afectar.</t>
  </si>
  <si>
    <t>Junio 17 2017 - Riesgo aprobado.</t>
  </si>
  <si>
    <t>Descripcion de como solucionar o prevenir Realizar los acuerdos necesarios para la planificación</t>
  </si>
  <si>
    <t>Aprobar los acuerdos para la planificación</t>
  </si>
  <si>
    <t>Francisco Javier Regalado Caballero</t>
  </si>
  <si>
    <t>Los requerimientos no siguen normativas</t>
  </si>
  <si>
    <t>Calendario optimista</t>
  </si>
  <si>
    <t>El tabajo entregado por cada miembro de equipo no es de calidad</t>
  </si>
  <si>
    <t>El tamaño del proyecto ha sido subestimado</t>
  </si>
  <si>
    <t>2.2.2.3</t>
  </si>
  <si>
    <t>Req</t>
  </si>
  <si>
    <t>No se cuenta con estandares de calidad, asi como documentación para los requerimientos, como SRS</t>
  </si>
  <si>
    <t>Los requerimientos son confusos y no son medibles, causando mala interpretación para el desarrollo del proyecto, así como retrasos y perdidas de tiempo y costos.</t>
  </si>
  <si>
    <t>Requerimientos, son aquellas descripciones en las que se interpreta las funciones que deben incluir el sistema, se debe tener una normativa para gestionar requerimientos claros y alcanzables que cumplan con los tiempos definidos para el desarrollo del proyecto.</t>
  </si>
  <si>
    <t>Junio 17 - Riesgo aprobado</t>
  </si>
  <si>
    <t xml:space="preserve">Establecer las normas adecuadas para los requerimientos </t>
  </si>
  <si>
    <t>Evaluar los requerimientos antes de ser aprobado</t>
  </si>
  <si>
    <t>Si los requierimientos no son aprobados por el administrador o el cliente, ya que no se realizaron las estrategias correctas para la recoleccion de información</t>
  </si>
  <si>
    <t>Deben ser aprobados, de lo contrario el proyecto se encontrara en una fase de tiempo muerto, generarando retrasos en la entrega de documentación y avances así como generando más gastos.</t>
  </si>
  <si>
    <t xml:space="preserve"> La estrategia de recolección de datos permite obtener los requerimientos funcionales y no funcionales, deben ser claros, medibles y alcanzables, de no ser así los involucrados no los aprobarán ya que no se tiene la vision de lo que desean de su proyecto, y el proyecto fracasara o retrasará.</t>
  </si>
  <si>
    <t>Seleccionar una tecnica de recolección de datos eficiente</t>
  </si>
  <si>
    <t>Elaborar entrevista entendible para el cliente</t>
  </si>
  <si>
    <t>Aplicar entrevista al cliente</t>
  </si>
  <si>
    <t>Los requerimientos no tienen aprobación del administrador o el cliente</t>
  </si>
  <si>
    <t>Los requerimientos se han formalizando pero continuan cambiando</t>
  </si>
  <si>
    <t>Requerimientos finales causan rechazo en los usuarios</t>
  </si>
  <si>
    <t>No se cuenta con un documento SRS, en donde el cliente, visualiza la descripción de los requerimientos finales, y posteriormente debe estar firmado, esto indica que esta de acuerdo con los requerimientos que se describieron.</t>
  </si>
  <si>
    <t xml:space="preserve">Causan rechazo, ya que los requerimientos no se especificaron correctamente, esto debido a que no se siguio la documentacion de calidad SRS </t>
  </si>
  <si>
    <t xml:space="preserve"> El SRS, sirve para documentar los requerimientos, en el, se describen las funcionalidades que tendran estos requerimientos en el sitio web. De no elaborarlo, existe la posibilidad de que el usuario los rechace las veces que quiera ya que este docuemento debe estar firmado por el cliente de aprobación.</t>
  </si>
  <si>
    <t>Elaborar documento SRS</t>
  </si>
  <si>
    <t xml:space="preserve">Mostrar al cliente los requerimientos </t>
  </si>
  <si>
    <t>Realizar las modificaciones necesariras</t>
  </si>
  <si>
    <t>El cliente debe aprobar los requerimientos finales.</t>
  </si>
  <si>
    <t>No se cuenta con un documento en donde se especifique al cliente, que los requerimientos no se cambiaran en ninguna fase del proyecto, estos permaceran tal como los describio al inicio del proyecto, este documento deberá estar firmado por el cliente.</t>
  </si>
  <si>
    <t>El proyecto se retrasá, ocacionando que fracase ya que los requerimientos se estarán modificando constantemente, y no se sabe con exactitud que el lo que espera el cliente de su proyecto.</t>
  </si>
  <si>
    <t xml:space="preserve"> </t>
  </si>
  <si>
    <t>El cliente deberá conocer y estar de acuerdo que los requerimientos no se pueden modificar cuando el desee, ya que estos se establecen al inicio del proyecto y los involucrados deben estar enterados que en los requerimientos no existen modificaciones, ya que si estan modificando constantemente el proyecto se quedará parado, no podra continuar, ya que no son claros los requerimientos.</t>
  </si>
  <si>
    <t>Evaluar y aprobar los requerimientos</t>
  </si>
  <si>
    <t>Especificar que los requerimientos no se pueden cambiar una vez probados.</t>
  </si>
  <si>
    <t>2.2.2.2</t>
  </si>
  <si>
    <t>Ext</t>
  </si>
  <si>
    <t>Método de comunicación no establecidos</t>
  </si>
  <si>
    <t>Costo</t>
  </si>
  <si>
    <t>Se subestimo el problema y es más dificil de lo pensado</t>
  </si>
  <si>
    <t>2.2.2.4</t>
  </si>
  <si>
    <t xml:space="preserve">ondicion para que ocurra ese riesgo No se cuenta con herramientas para la gestión de planificación de tiempo, como lo son: calendario de eventos, contratos, declaraciones de alcance o herramientas de control y monitoreo </t>
  </si>
  <si>
    <t>Se subestimo la planeación, sin conocer la complejidad de las actividades, no se realizo correctamente la calendarización</t>
  </si>
  <si>
    <t>Se realizaran actividades extras fuera de los horarios establecidos de trabajo, tomando tiempo que le corresponde a otra actividad, para realizar la actividad retrasada.</t>
  </si>
  <si>
    <t>La planeación es la que contiene las actividades a realizar, y nel tiempo que le tomará para realizarlas, se debe de tener en cuenta la complejidad de las actividades ya que algunas toman más tiempo, se debe dar más tiempo a las actividades, en lugar de menos, ya que pueden ocurrir interferencias o retrasos en el proyecto.</t>
  </si>
  <si>
    <t>Priorizar las actividades que requieren más atención y tiempo</t>
  </si>
  <si>
    <t>Dar más tiempo a aquellas tareas que lo requieran según los criterios del administrador.</t>
  </si>
  <si>
    <t>No se cuenta con comunicación entre los integrantes del equipo, el administrador no cuenta con una estrategia para evitar la mala comunicación</t>
  </si>
  <si>
    <t>El no haber una comunicación establecida en el equipo, evitara muchos problemas, como retraso en las actividades, trabajos de mala calidad, no habra congruencia en el proyecto.</t>
  </si>
  <si>
    <t>Los metodos de comunicación sirven para que exista confianza,  entre el equipo de esta manera, si surge algun problema entre los integrantes se podran ayudar, si no existe esta comunicación no habra una solución y esto afectará al desarrollo del proyecto.</t>
  </si>
  <si>
    <t>El administrador de proyecto establece un metodo de comunicación</t>
  </si>
  <si>
    <t>Los integrantes siguen el metodo de comunicación</t>
  </si>
  <si>
    <t>No se cuenta con las metricas necesarias para el proyecto, no se establecio un criterio para evaluar la duración del proyecto</t>
  </si>
  <si>
    <t>El proyecto al se subestimado, no se terminara en la fecha establecida por el cliente, lo cual implica generar más gastos y recursos los cuales no aseguran que el proyecto cuente con calidad</t>
  </si>
  <si>
    <t>Las metricas nos sirven para determinar la complejidad del proyecto y establecer las fechas en que se realizará, de no realizar una medición, y subestimar el proyecto, aunque paresca sencillo, no siempre se termina antes, esto debe ser considerado para colocar fechas reales de entrega.</t>
  </si>
  <si>
    <t>En base a criterios determinar la complejidad de las actividades</t>
  </si>
  <si>
    <t>Establecer fechas reales que nos permitan hacer un proyecto de calidad.</t>
  </si>
  <si>
    <t>No se realizaron medidas preventivas para los posibles problemas, no sabiendo como resolverlo, ya que resulto más complicado</t>
  </si>
  <si>
    <t>Se genera retraso en el desarrollo del problema, ya que no se conto con medidas preventivas, subestimando el problema en criterios erroneos, se debe solicitar apoyo al administrador.</t>
  </si>
  <si>
    <t>Realizar un plan de medidas preventivas ante posibles problemas, nos ayudana enfrentar problemas futuros y a darles una correcta solución, de no generarlos corremos el riesgo de invertir más tiempo en resolverlos y retrasarnos, tambien implica costos</t>
  </si>
  <si>
    <t>Realizar un plan de prevención de problemas</t>
  </si>
  <si>
    <t>Evaluar los problemas presentados con el administrador y que nos otorgue una solución</t>
  </si>
  <si>
    <t>&lt;13/06/2017</t>
  </si>
  <si>
    <t>No se cuenta con personal apto para su puesto, no se realizo correctamente la repartición de roles en el equipo de trabajo, los integrantes no conocen gran parte del rol que se les asigno</t>
  </si>
  <si>
    <t>Al tener los roles mal asignados, los miembros generaran trabajos mal hechos, que no cumpliran con lo esperado y solicitado por el líder de proyectos, generando trabajos de mala calidad que afectan al proyecto.</t>
  </si>
  <si>
    <t>Los roles deben estar definidos correctamente, ya que un integrante no puede realizar una actividad de la que no tenga conocimiento, ya que esto puede ocacionar que el proyecto falle constantemente y se retrase.</t>
  </si>
  <si>
    <t>El administrador deberá conocer el perfil de los participantes del equipo</t>
  </si>
  <si>
    <t>Asignar los roles correspondientes a cada miebro del equipo</t>
  </si>
  <si>
    <t>Denegación de servicios</t>
  </si>
  <si>
    <t>2.2.3.2</t>
  </si>
  <si>
    <t>MBMR</t>
  </si>
  <si>
    <t>No se cuenta con el almacenamiento en un repositorio para que todos los integrantes del equipo de desarrollo puedan accesar a los archivos.</t>
  </si>
  <si>
    <t>Retrazo en el desarrollo del proyecto para obtener los documentos necesarios(WBS, Plantillas, etc).</t>
  </si>
  <si>
    <t>Los servicios son brindados a por empresas externas los cuales son contratados para el desarrollo del proyecto.</t>
  </si>
  <si>
    <t>Descargar archivos necesarios para la implementación</t>
  </si>
  <si>
    <t>05/16/17</t>
  </si>
  <si>
    <t>Administración de documentos</t>
  </si>
  <si>
    <t>05/16/18</t>
  </si>
  <si>
    <t>Contaminación ambiental, acústica y lumínica</t>
  </si>
  <si>
    <t>2.4.5.1</t>
  </si>
  <si>
    <t>No se cuenta con infraestructura desaeada para la implementación del desarrollo</t>
  </si>
  <si>
    <t>La infraestructura no es la apropiada para llevar a cabo el desempeño del proyecto</t>
  </si>
  <si>
    <t>El ambiente favorable de trabajo es una buena forma para desarrollar y llevar a cabo el trabajo requerido en tiempo y forma.</t>
  </si>
  <si>
    <t>05/26/2017</t>
  </si>
  <si>
    <t>Modificaciones en cambio de leyes</t>
  </si>
  <si>
    <t>2.4.2</t>
  </si>
  <si>
    <t>No se cuenta con las legislaciones del gobierno previstas las cuales afectan el desarrollo en la planeación</t>
  </si>
  <si>
    <t>No se llevan a cabo las modificaciones de acuerdo a las normas establecidas</t>
  </si>
  <si>
    <t xml:space="preserve">El cambio de leyes es constante por lo que las organizaciones se deben de ajustar a las mejoras prepuestas </t>
  </si>
  <si>
    <t>Establecer acuerdos para la planificaión</t>
  </si>
  <si>
    <t>05/19/2017</t>
  </si>
  <si>
    <t>Devaluaciones de producción</t>
  </si>
  <si>
    <t>2.4.4.3</t>
  </si>
  <si>
    <t>No se tiene la suficiente experiencia necesaria para el desarrollo de estos proyectos de software, el cliente no tiene la confianza de llevar a cabo la implementación.</t>
  </si>
  <si>
    <t>El software no lleva el funcionamiento establecido en los requerimientos.</t>
  </si>
  <si>
    <t>La devaluación de producción se implementa demaciada competencia en el ambito de desarrollo</t>
  </si>
  <si>
    <t>Estrategias para la calidad del producto</t>
  </si>
  <si>
    <t>05/25/17</t>
  </si>
  <si>
    <t>El software presenta errores de implementación</t>
  </si>
  <si>
    <t>2.8.1</t>
  </si>
  <si>
    <t>05/29/17</t>
  </si>
  <si>
    <t>Proc</t>
  </si>
  <si>
    <t>05/28/17</t>
  </si>
  <si>
    <t>05/29/18</t>
  </si>
  <si>
    <t>No se cuenta con las herramientas necesarias en la organización</t>
  </si>
  <si>
    <t>El software no puede ser instalado sin los requeriminetos para que este funcione</t>
  </si>
  <si>
    <t>Los errores en la implemetacion ocurren cuando no se tienen planeadas las caracteristicas para llevar acabo la implenetación.</t>
  </si>
  <si>
    <t>Estrategias evitar errores de implementación</t>
  </si>
  <si>
    <t>06/17/17</t>
  </si>
  <si>
    <t>No se realizan revisiones de calidad en el proceso</t>
  </si>
  <si>
    <t>Muy alta</t>
  </si>
  <si>
    <t>No se cuenta con un procedimiento de calidad, no hay auditorias que aseguren, que el proceso de desarrollo del software se haga bajo estas normas</t>
  </si>
  <si>
    <t>El producto será de mala calidad, ya que no se suige un protocolo para revisiones periodicas para evaluar el desarrollo del proyecto</t>
  </si>
  <si>
    <t>Las revisiones de calidad, aseguran que el proyecto cumpla con lo especificado, asi como seguir el ciclo de vida y la elaboración de documentación correspondiente</t>
  </si>
  <si>
    <t>El asegurador de la calidad debe realizar revisiones cada fin de etapa para asegurar que el proyecto cumpla con la normatividad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</si>
</sst>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42">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17" fillId="0" borderId="0" xfId="0" applyFont="1" applyAlignment="1">
      <alignment horizontal="center" vertical="top" wrapText="1"/>
    </xf>
    <xf numFmtId="0" fontId="17" fillId="0" borderId="10" xfId="0" applyFont="1" applyBorder="1" applyAlignment="1">
      <alignment horizontal="center" vertical="top" wrapText="1"/>
    </xf>
    <xf numFmtId="1" fontId="17" fillId="0" borderId="17" xfId="0" applyNumberFormat="1" applyFont="1" applyBorder="1" applyAlignment="1">
      <alignment horizontal="center" vertical="top"/>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0" fontId="17"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0" fontId="1" fillId="0" borderId="10" xfId="0" applyFont="1" applyBorder="1" applyAlignment="1">
      <alignment horizontal="center" vertical="top" wrapText="1"/>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164" fontId="1" fillId="0" borderId="2" xfId="0" applyNumberFormat="1"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top"/>
    </xf>
    <xf numFmtId="1" fontId="1" fillId="0" borderId="0" xfId="0" applyNumberFormat="1" applyFont="1" applyBorder="1" applyAlignment="1">
      <alignment horizontal="center" vertical="top"/>
    </xf>
    <xf numFmtId="164" fontId="1" fillId="0" borderId="0" xfId="0" applyNumberFormat="1" applyFont="1" applyBorder="1" applyAlignment="1">
      <alignment horizontal="center" vertical="top"/>
    </xf>
    <xf numFmtId="0" fontId="1" fillId="0" borderId="22" xfId="0"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1" fillId="0" borderId="2" xfId="0" applyFont="1" applyBorder="1" applyAlignment="1">
      <alignment horizontal="center"/>
    </xf>
    <xf numFmtId="0" fontId="0" fillId="0" borderId="0" xfId="0" applyNumberFormat="1"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vertical="top" wrapText="1"/>
    </xf>
    <xf numFmtId="1" fontId="0" fillId="0" borderId="0" xfId="0" applyNumberFormat="1" applyFont="1" applyBorder="1" applyAlignment="1">
      <alignment horizontal="center" vertical="top"/>
    </xf>
    <xf numFmtId="0" fontId="0" fillId="0" borderId="0" xfId="0" applyAlignment="1">
      <alignment wrapText="1"/>
    </xf>
    <xf numFmtId="1" fontId="1" fillId="0" borderId="17"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51">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10</c:v>
                </c:pt>
                <c:pt idx="1">
                  <c:v>0</c:v>
                </c:pt>
                <c:pt idx="2">
                  <c:v>0</c:v>
                </c:pt>
                <c:pt idx="3">
                  <c:v>0</c:v>
                </c:pt>
              </c:numCache>
            </c:numRef>
          </c:val>
          <c:extLst>
            <c:ext xmlns:c16="http://schemas.microsoft.com/office/drawing/2014/chart" uri="{C3380CC4-5D6E-409C-BE32-E72D297353CC}">
              <c16:uniqueId val="{00000000-CD97-4048-B56C-885E7F38480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c:v>
                </c:pt>
                <c:pt idx="1">
                  <c:v>0</c:v>
                </c:pt>
                <c:pt idx="2">
                  <c:v>0</c:v>
                </c:pt>
                <c:pt idx="3">
                  <c:v>0</c:v>
                </c:pt>
              </c:numCache>
            </c:numRef>
          </c:val>
          <c:extLst>
            <c:ext xmlns:c16="http://schemas.microsoft.com/office/drawing/2014/chart" uri="{C3380CC4-5D6E-409C-BE32-E72D297353CC}">
              <c16:uniqueId val="{00000001-CD97-4048-B56C-885E7F38480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extLst>
            <c:ext xmlns:c16="http://schemas.microsoft.com/office/drawing/2014/chart" uri="{C3380CC4-5D6E-409C-BE32-E72D297353CC}">
              <c16:uniqueId val="{00000002-CD97-4048-B56C-885E7F38480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15</c:v>
                </c:pt>
                <c:pt idx="1">
                  <c:v>0</c:v>
                </c:pt>
                <c:pt idx="2">
                  <c:v>0</c:v>
                </c:pt>
                <c:pt idx="3">
                  <c:v>0</c:v>
                </c:pt>
              </c:numCache>
            </c:numRef>
          </c:val>
          <c:extLst>
            <c:ext xmlns:c16="http://schemas.microsoft.com/office/drawing/2014/chart" uri="{C3380CC4-5D6E-409C-BE32-E72D297353CC}">
              <c16:uniqueId val="{00000003-CD97-4048-B56C-885E7F384802}"/>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1</xdr:rowOff>
    </xdr:from>
    <xdr:to>
      <xdr:col>0</xdr:col>
      <xdr:colOff>1638300</xdr:colOff>
      <xdr:row>6</xdr:row>
      <xdr:rowOff>95251</xdr:rowOff>
    </xdr:to>
    <xdr:pic>
      <xdr:nvPicPr>
        <xdr:cNvPr id="2" name="Imagen 4" descr="C:\Users\Miri\AppData\Local\Microsoft\Windows\INetCache\Content.Word\dolphins.png">
          <a:extLst>
            <a:ext uri="{FF2B5EF4-FFF2-40B4-BE49-F238E27FC236}">
              <a16:creationId xmlns:a16="http://schemas.microsoft.com/office/drawing/2014/main" id="{F13C2DAF-7F76-488F-AB64-CD5C83A73D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ri/Downloads/PP_HER_v1_Herramienta%20para%20la%20Administraci&#243;n%20de%20Riesgo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refreshError="1"/>
      <sheetData sheetId="1" refreshError="1"/>
      <sheetData sheetId="2"/>
      <sheetData sheetId="3" refreshError="1"/>
      <sheetData sheetId="4" refreshError="1"/>
      <sheetData sheetId="5">
        <row r="4">
          <cell r="S4" t="str">
            <v>Alta - Alta</v>
          </cell>
          <cell r="T4" t="str">
            <v>R</v>
          </cell>
          <cell r="U4">
            <v>7</v>
          </cell>
        </row>
        <row r="5">
          <cell r="S5" t="str">
            <v>Alta - Baja</v>
          </cell>
          <cell r="T5" t="str">
            <v>Y</v>
          </cell>
          <cell r="U5">
            <v>9</v>
          </cell>
        </row>
        <row r="6">
          <cell r="S6" t="str">
            <v>Alta - Media</v>
          </cell>
          <cell r="T6" t="str">
            <v>Y</v>
          </cell>
          <cell r="U6">
            <v>8</v>
          </cell>
        </row>
        <row r="7">
          <cell r="S7" t="str">
            <v>Alta - Muy alta</v>
          </cell>
          <cell r="T7" t="str">
            <v>R</v>
          </cell>
          <cell r="U7">
            <v>6</v>
          </cell>
        </row>
        <row r="8">
          <cell r="S8" t="str">
            <v>Alta - Muy baja</v>
          </cell>
          <cell r="T8" t="str">
            <v>G</v>
          </cell>
          <cell r="U8">
            <v>10</v>
          </cell>
        </row>
        <row r="9">
          <cell r="S9" t="str">
            <v>Baja - Alta</v>
          </cell>
          <cell r="T9" t="str">
            <v>Y</v>
          </cell>
          <cell r="U9">
            <v>17</v>
          </cell>
        </row>
        <row r="10">
          <cell r="S10" t="str">
            <v>Baja - Baja</v>
          </cell>
          <cell r="T10" t="str">
            <v>G</v>
          </cell>
          <cell r="U10">
            <v>19</v>
          </cell>
        </row>
        <row r="11">
          <cell r="S11" t="str">
            <v>Baja - Media</v>
          </cell>
          <cell r="T11" t="str">
            <v>G</v>
          </cell>
          <cell r="U11">
            <v>18</v>
          </cell>
        </row>
        <row r="12">
          <cell r="S12" t="str">
            <v>Baja - Muy alta</v>
          </cell>
          <cell r="T12" t="str">
            <v>Y</v>
          </cell>
          <cell r="U12">
            <v>16</v>
          </cell>
        </row>
        <row r="13">
          <cell r="S13" t="str">
            <v>Baja - Muy baja</v>
          </cell>
          <cell r="T13" t="str">
            <v>G</v>
          </cell>
          <cell r="U13">
            <v>20</v>
          </cell>
        </row>
        <row r="14">
          <cell r="S14" t="str">
            <v>Media - Alta</v>
          </cell>
          <cell r="T14" t="str">
            <v>Y</v>
          </cell>
          <cell r="U14">
            <v>12</v>
          </cell>
        </row>
        <row r="15">
          <cell r="S15" t="str">
            <v>Media - Baja</v>
          </cell>
          <cell r="T15" t="str">
            <v>Y</v>
          </cell>
          <cell r="U15">
            <v>14</v>
          </cell>
        </row>
        <row r="16">
          <cell r="S16" t="str">
            <v>Media - Media</v>
          </cell>
          <cell r="T16" t="str">
            <v>Y</v>
          </cell>
          <cell r="U16">
            <v>13</v>
          </cell>
        </row>
        <row r="17">
          <cell r="S17" t="str">
            <v>Media - Muy alta</v>
          </cell>
          <cell r="T17" t="str">
            <v>R</v>
          </cell>
          <cell r="U17">
            <v>11</v>
          </cell>
        </row>
        <row r="18">
          <cell r="S18" t="str">
            <v>Media - Muy baja</v>
          </cell>
          <cell r="T18" t="str">
            <v>G</v>
          </cell>
          <cell r="U18">
            <v>15</v>
          </cell>
        </row>
        <row r="19">
          <cell r="S19" t="str">
            <v>Muy alta - Alta</v>
          </cell>
          <cell r="T19" t="str">
            <v>R</v>
          </cell>
          <cell r="U19">
            <v>2</v>
          </cell>
        </row>
        <row r="20">
          <cell r="S20" t="str">
            <v>Muy alta - Baja</v>
          </cell>
          <cell r="T20" t="str">
            <v>Y</v>
          </cell>
          <cell r="U20">
            <v>4</v>
          </cell>
        </row>
        <row r="21">
          <cell r="S21" t="str">
            <v>Muy alta - Media</v>
          </cell>
          <cell r="T21" t="str">
            <v>R</v>
          </cell>
          <cell r="U21">
            <v>3</v>
          </cell>
        </row>
        <row r="22">
          <cell r="S22" t="str">
            <v>Muy alta - Muy alta</v>
          </cell>
          <cell r="T22" t="str">
            <v>R</v>
          </cell>
          <cell r="U22">
            <v>1</v>
          </cell>
        </row>
        <row r="23">
          <cell r="S23" t="str">
            <v>Muy alta - Muy baja</v>
          </cell>
          <cell r="T23" t="str">
            <v>G</v>
          </cell>
          <cell r="U23">
            <v>5</v>
          </cell>
        </row>
        <row r="24">
          <cell r="S24" t="str">
            <v>Muy baja - Alta</v>
          </cell>
          <cell r="T24" t="str">
            <v>G</v>
          </cell>
          <cell r="U24">
            <v>22</v>
          </cell>
        </row>
        <row r="25">
          <cell r="S25" t="str">
            <v>Muy baja - Baja</v>
          </cell>
          <cell r="T25" t="str">
            <v>G</v>
          </cell>
          <cell r="U25">
            <v>24</v>
          </cell>
        </row>
        <row r="26">
          <cell r="S26" t="str">
            <v>Muy baja - Media</v>
          </cell>
          <cell r="T26" t="str">
            <v>G</v>
          </cell>
          <cell r="U26">
            <v>23</v>
          </cell>
        </row>
        <row r="27">
          <cell r="S27" t="str">
            <v>Muy baja - Muy alta</v>
          </cell>
          <cell r="T27" t="str">
            <v>Y</v>
          </cell>
          <cell r="U27">
            <v>21</v>
          </cell>
        </row>
        <row r="28">
          <cell r="S28" t="str">
            <v>Muy baja - Muy baja</v>
          </cell>
          <cell r="T28" t="str">
            <v>G</v>
          </cell>
          <cell r="U28">
            <v>25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workbookViewId="0">
      <selection activeCell="B25" sqref="B2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236</v>
      </c>
    </row>
    <row r="8" spans="1:5" x14ac:dyDescent="0.2">
      <c r="A8" s="195"/>
    </row>
    <row r="9" spans="1:5" x14ac:dyDescent="0.2">
      <c r="A9" s="196" t="s">
        <v>217</v>
      </c>
      <c r="B9" s="197" t="s">
        <v>218</v>
      </c>
      <c r="C9" s="197"/>
      <c r="D9" s="197"/>
    </row>
    <row r="10" spans="1:5" x14ac:dyDescent="0.2">
      <c r="A10" s="196" t="s">
        <v>219</v>
      </c>
      <c r="B10" s="197" t="s">
        <v>220</v>
      </c>
      <c r="C10" s="197"/>
      <c r="D10" s="197"/>
    </row>
    <row r="11" spans="1:5" x14ac:dyDescent="0.2">
      <c r="A11" s="196" t="s">
        <v>221</v>
      </c>
      <c r="B11" s="198">
        <v>42903</v>
      </c>
      <c r="C11" s="197"/>
      <c r="D11" s="197"/>
    </row>
    <row r="12" spans="1:5" x14ac:dyDescent="0.2">
      <c r="A12" s="196" t="s">
        <v>222</v>
      </c>
      <c r="B12" s="212" t="s">
        <v>252</v>
      </c>
      <c r="C12" s="197"/>
      <c r="D12" s="197"/>
    </row>
    <row r="13" spans="1:5" ht="25.5" x14ac:dyDescent="0.2">
      <c r="A13" s="196" t="s">
        <v>224</v>
      </c>
      <c r="B13" s="197" t="s">
        <v>225</v>
      </c>
      <c r="C13" s="197"/>
      <c r="D13" s="197"/>
    </row>
    <row r="14" spans="1:5" x14ac:dyDescent="0.2">
      <c r="A14" s="196" t="s">
        <v>226</v>
      </c>
      <c r="B14" s="197" t="s">
        <v>243</v>
      </c>
      <c r="C14" s="197"/>
      <c r="D14" s="197"/>
    </row>
    <row r="15" spans="1:5" x14ac:dyDescent="0.2">
      <c r="A15" s="197"/>
      <c r="B15" s="197"/>
      <c r="C15" s="197"/>
      <c r="D15" s="197"/>
    </row>
    <row r="16" spans="1:5" ht="15.75" customHeight="1" x14ac:dyDescent="0.2">
      <c r="A16" s="239" t="s">
        <v>227</v>
      </c>
      <c r="B16" s="240"/>
      <c r="C16" s="199"/>
      <c r="D16" s="199"/>
      <c r="E16" s="200"/>
    </row>
    <row r="17" spans="1:4" x14ac:dyDescent="0.2">
      <c r="A17" s="196" t="s">
        <v>228</v>
      </c>
      <c r="B17" s="196" t="s">
        <v>229</v>
      </c>
      <c r="C17" s="197"/>
      <c r="D17" s="197"/>
    </row>
    <row r="18" spans="1:4" x14ac:dyDescent="0.2">
      <c r="A18" s="213" t="s">
        <v>253</v>
      </c>
      <c r="B18" s="203">
        <v>42903</v>
      </c>
      <c r="C18" s="197"/>
      <c r="D18" s="197"/>
    </row>
    <row r="19" spans="1:4" ht="25.5" x14ac:dyDescent="0.2">
      <c r="A19" s="220" t="s">
        <v>264</v>
      </c>
      <c r="B19" s="203">
        <v>42903</v>
      </c>
      <c r="C19" s="197"/>
      <c r="D19" s="197"/>
    </row>
    <row r="20" spans="1:4" x14ac:dyDescent="0.2">
      <c r="A20" s="201"/>
      <c r="B20" s="201"/>
      <c r="C20" s="197"/>
      <c r="D20" s="197"/>
    </row>
    <row r="21" spans="1:4" x14ac:dyDescent="0.2">
      <c r="A21" s="197"/>
      <c r="B21" s="197"/>
      <c r="C21" s="197"/>
      <c r="D21" s="197"/>
    </row>
    <row r="22" spans="1:4" ht="15.75" customHeight="1" x14ac:dyDescent="0.2">
      <c r="A22" s="239" t="s">
        <v>230</v>
      </c>
      <c r="B22" s="240"/>
      <c r="C22" s="197"/>
      <c r="D22" s="197"/>
    </row>
    <row r="23" spans="1:4" x14ac:dyDescent="0.2">
      <c r="A23" s="196" t="s">
        <v>228</v>
      </c>
      <c r="B23" s="196" t="s">
        <v>231</v>
      </c>
      <c r="C23" s="197"/>
      <c r="D23" s="197"/>
    </row>
    <row r="24" spans="1:4" x14ac:dyDescent="0.2">
      <c r="A24" s="213" t="s">
        <v>253</v>
      </c>
      <c r="B24" s="203">
        <v>42903</v>
      </c>
      <c r="C24" s="197"/>
      <c r="D24" s="197"/>
    </row>
    <row r="25" spans="1:4" ht="25.5" x14ac:dyDescent="0.2">
      <c r="A25" s="220" t="s">
        <v>264</v>
      </c>
      <c r="B25" s="203">
        <v>42903</v>
      </c>
      <c r="C25" s="197"/>
      <c r="D25" s="197"/>
    </row>
    <row r="26" spans="1:4" x14ac:dyDescent="0.2">
      <c r="A26" s="201"/>
      <c r="B26" s="201"/>
      <c r="C26" s="197"/>
      <c r="D26" s="197"/>
    </row>
    <row r="27" spans="1:4" x14ac:dyDescent="0.2">
      <c r="A27" s="197"/>
      <c r="B27" s="197"/>
      <c r="C27" s="197"/>
      <c r="D27" s="197"/>
    </row>
    <row r="28" spans="1:4" ht="15.75" customHeight="1" x14ac:dyDescent="0.2">
      <c r="A28" s="239" t="s">
        <v>232</v>
      </c>
      <c r="B28" s="241"/>
      <c r="C28" s="241"/>
      <c r="D28" s="240"/>
    </row>
    <row r="29" spans="1:4" x14ac:dyDescent="0.2">
      <c r="A29" s="196" t="s">
        <v>217</v>
      </c>
      <c r="B29" s="202" t="s">
        <v>221</v>
      </c>
      <c r="C29" s="202" t="s">
        <v>233</v>
      </c>
      <c r="D29" s="202" t="s">
        <v>234</v>
      </c>
    </row>
    <row r="30" spans="1:4" x14ac:dyDescent="0.2">
      <c r="A30" s="201">
        <v>1</v>
      </c>
      <c r="B30" s="203">
        <v>39651</v>
      </c>
      <c r="C30" s="197" t="s">
        <v>223</v>
      </c>
      <c r="D30" s="201" t="s">
        <v>235</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4" zoomScale="130" zoomScaleNormal="130" workbookViewId="0">
      <selection activeCell="B113" sqref="B113"/>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410" zoomScale="85" zoomScaleNormal="85" workbookViewId="0">
      <selection activeCell="F414" sqref="F414"/>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246</v>
      </c>
      <c r="E2" s="186" t="s">
        <v>81</v>
      </c>
      <c r="F2" s="103">
        <v>42903</v>
      </c>
      <c r="I2" s="138" t="s">
        <v>92</v>
      </c>
      <c r="AB2" s="101" t="s">
        <v>27</v>
      </c>
    </row>
    <row r="3" spans="2:28" ht="13.5" thickBot="1" x14ac:dyDescent="0.25">
      <c r="B3" s="164" t="s">
        <v>109</v>
      </c>
      <c r="C3" s="214">
        <v>1</v>
      </c>
      <c r="D3" s="166" t="s">
        <v>255</v>
      </c>
      <c r="E3" s="167" t="s">
        <v>51</v>
      </c>
      <c r="F3" s="168" t="s">
        <v>257</v>
      </c>
      <c r="I3" s="138" t="s">
        <v>92</v>
      </c>
      <c r="AB3">
        <v>1</v>
      </c>
    </row>
    <row r="4" spans="2:28" x14ac:dyDescent="0.2">
      <c r="B4" s="190" t="s">
        <v>215</v>
      </c>
      <c r="C4" s="211" t="s">
        <v>248</v>
      </c>
      <c r="D4" s="192" t="s">
        <v>254</v>
      </c>
      <c r="E4" s="21"/>
      <c r="F4" s="193"/>
      <c r="I4" s="138"/>
    </row>
    <row r="5" spans="2:28" x14ac:dyDescent="0.2">
      <c r="B5" s="13" t="s">
        <v>39</v>
      </c>
      <c r="C5" s="209">
        <v>42902</v>
      </c>
      <c r="D5" s="15" t="str">
        <f>IF(OR(C8="",C9=""),"",VLOOKUP(CONCATENATE(C8," - ",C9),Exposure,2))</f>
        <v>R</v>
      </c>
      <c r="E5" s="16" t="s">
        <v>135</v>
      </c>
      <c r="F5" s="113">
        <v>1</v>
      </c>
      <c r="I5" s="138" t="s">
        <v>92</v>
      </c>
      <c r="AB5">
        <v>2</v>
      </c>
    </row>
    <row r="6" spans="2:28" x14ac:dyDescent="0.2">
      <c r="B6" s="13" t="s">
        <v>84</v>
      </c>
      <c r="C6" s="215" t="s">
        <v>256</v>
      </c>
      <c r="D6" s="15" t="s">
        <v>126</v>
      </c>
      <c r="E6" s="16" t="s">
        <v>56</v>
      </c>
      <c r="F6" s="134" t="s">
        <v>258</v>
      </c>
      <c r="I6" s="138" t="s">
        <v>92</v>
      </c>
      <c r="AB6">
        <v>3</v>
      </c>
    </row>
    <row r="7" spans="2:28" x14ac:dyDescent="0.2">
      <c r="B7" s="13" t="s">
        <v>85</v>
      </c>
      <c r="C7" s="216" t="s">
        <v>256</v>
      </c>
      <c r="D7" s="18"/>
      <c r="E7" s="16" t="s">
        <v>91</v>
      </c>
      <c r="F7" s="134" t="s">
        <v>106</v>
      </c>
      <c r="I7" s="138" t="s">
        <v>92</v>
      </c>
      <c r="AB7">
        <v>4</v>
      </c>
    </row>
    <row r="8" spans="2:28" x14ac:dyDescent="0.2">
      <c r="B8" s="13" t="s">
        <v>44</v>
      </c>
      <c r="C8" s="133" t="s">
        <v>244</v>
      </c>
      <c r="D8" s="49" t="str">
        <f>IF(C8="","WARNING - Please enter a Probability.","")</f>
        <v/>
      </c>
      <c r="E8" s="16" t="s">
        <v>60</v>
      </c>
      <c r="F8" s="134" t="s">
        <v>107</v>
      </c>
      <c r="I8" s="138" t="s">
        <v>92</v>
      </c>
      <c r="AB8">
        <v>5</v>
      </c>
    </row>
    <row r="9" spans="2:28" x14ac:dyDescent="0.2">
      <c r="B9" s="13" t="s">
        <v>50</v>
      </c>
      <c r="C9" s="133" t="s">
        <v>244</v>
      </c>
      <c r="D9" s="15" t="s">
        <v>96</v>
      </c>
      <c r="E9" s="16" t="s">
        <v>61</v>
      </c>
      <c r="F9" s="210" t="s">
        <v>247</v>
      </c>
      <c r="I9" s="138" t="s">
        <v>92</v>
      </c>
      <c r="AB9">
        <v>6</v>
      </c>
    </row>
    <row r="10" spans="2:28" ht="25.5" x14ac:dyDescent="0.2">
      <c r="B10" s="187" t="s">
        <v>57</v>
      </c>
      <c r="C10" s="133" t="s">
        <v>245</v>
      </c>
      <c r="D10" s="15" t="s">
        <v>249</v>
      </c>
      <c r="E10" s="16" t="s">
        <v>62</v>
      </c>
      <c r="F10" s="210" t="s">
        <v>247</v>
      </c>
      <c r="I10" s="138" t="s">
        <v>92</v>
      </c>
      <c r="AB10">
        <v>7</v>
      </c>
    </row>
    <row r="11" spans="2:28" x14ac:dyDescent="0.2">
      <c r="B11" s="13"/>
      <c r="C11" s="15"/>
      <c r="D11" s="15"/>
      <c r="E11" s="18"/>
      <c r="F11" s="19"/>
      <c r="I11" s="138" t="s">
        <v>92</v>
      </c>
      <c r="AB11">
        <v>8</v>
      </c>
    </row>
    <row r="12" spans="2:28" ht="51" x14ac:dyDescent="0.2">
      <c r="B12" s="20"/>
      <c r="C12" s="21" t="s">
        <v>89</v>
      </c>
      <c r="D12" s="224" t="s">
        <v>305</v>
      </c>
      <c r="E12" s="18"/>
      <c r="F12" s="19"/>
      <c r="I12" s="138" t="s">
        <v>92</v>
      </c>
      <c r="AB12">
        <v>9</v>
      </c>
    </row>
    <row r="13" spans="2:28" ht="6" customHeight="1" x14ac:dyDescent="0.2">
      <c r="B13" s="20"/>
      <c r="C13" s="21"/>
      <c r="D13" s="22"/>
      <c r="E13" s="18"/>
      <c r="F13" s="19"/>
      <c r="I13" s="138" t="s">
        <v>92</v>
      </c>
      <c r="AB13">
        <v>10</v>
      </c>
    </row>
    <row r="14" spans="2:28" ht="38.25" x14ac:dyDescent="0.2">
      <c r="B14" s="20"/>
      <c r="C14" s="21" t="s">
        <v>90</v>
      </c>
      <c r="D14" s="217" t="s">
        <v>259</v>
      </c>
      <c r="E14" s="18"/>
      <c r="F14" s="19"/>
      <c r="I14" s="138" t="s">
        <v>92</v>
      </c>
      <c r="AB14">
        <v>11</v>
      </c>
    </row>
    <row r="15" spans="2:28" ht="6" customHeight="1" x14ac:dyDescent="0.2">
      <c r="B15" s="20"/>
      <c r="C15" s="21"/>
      <c r="D15" s="22"/>
      <c r="E15" s="18"/>
      <c r="F15" s="19"/>
      <c r="I15" s="138" t="s">
        <v>92</v>
      </c>
      <c r="AB15">
        <v>12</v>
      </c>
    </row>
    <row r="16" spans="2:28" ht="76.5" x14ac:dyDescent="0.2">
      <c r="B16" s="20"/>
      <c r="C16" s="21" t="s">
        <v>3</v>
      </c>
      <c r="D16" s="173" t="s">
        <v>260</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7" t="s">
        <v>261</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25.5" x14ac:dyDescent="0.2">
      <c r="B23" s="218" t="s">
        <v>256</v>
      </c>
      <c r="C23" s="26">
        <v>1</v>
      </c>
      <c r="D23" s="173" t="s">
        <v>262</v>
      </c>
      <c r="E23" s="219">
        <v>75728</v>
      </c>
      <c r="F23" s="28">
        <v>42865</v>
      </c>
      <c r="I23" s="138" t="s">
        <v>92</v>
      </c>
      <c r="AB23">
        <v>18</v>
      </c>
    </row>
    <row r="24" spans="2:28" x14ac:dyDescent="0.2">
      <c r="B24" s="218" t="s">
        <v>256</v>
      </c>
      <c r="C24" s="26">
        <v>2</v>
      </c>
      <c r="D24" s="217" t="s">
        <v>263</v>
      </c>
      <c r="E24" s="219">
        <v>42771</v>
      </c>
      <c r="F24" s="28">
        <v>42865</v>
      </c>
      <c r="I24" s="138" t="s">
        <v>92</v>
      </c>
      <c r="AB24">
        <v>19</v>
      </c>
    </row>
    <row r="25" spans="2:28" x14ac:dyDescent="0.2">
      <c r="B25" s="25"/>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v>2</v>
      </c>
      <c r="D30" s="166" t="s">
        <v>265</v>
      </c>
      <c r="E30" s="167" t="s">
        <v>51</v>
      </c>
      <c r="F30" s="168" t="s">
        <v>257</v>
      </c>
      <c r="I30" s="138" t="s">
        <v>92</v>
      </c>
      <c r="AB30">
        <v>1</v>
      </c>
    </row>
    <row r="31" spans="2:28" x14ac:dyDescent="0.2">
      <c r="B31" s="190" t="s">
        <v>215</v>
      </c>
      <c r="C31" s="227" t="s">
        <v>269</v>
      </c>
      <c r="D31" s="192"/>
      <c r="E31" s="21"/>
      <c r="F31" s="193"/>
      <c r="I31" s="138"/>
    </row>
    <row r="32" spans="2:28" x14ac:dyDescent="0.2">
      <c r="B32" s="13" t="s">
        <v>39</v>
      </c>
      <c r="C32" s="131">
        <v>42896</v>
      </c>
      <c r="D32" s="15" t="str">
        <f>IF(OR(C35="",C36=""),"",VLOOKUP(CONCATENATE(C35," - ",C36),Exposure,2))</f>
        <v>R</v>
      </c>
      <c r="E32" s="16" t="s">
        <v>135</v>
      </c>
      <c r="F32" s="113">
        <v>2</v>
      </c>
      <c r="I32" s="138" t="s">
        <v>92</v>
      </c>
      <c r="AB32">
        <v>2</v>
      </c>
    </row>
    <row r="33" spans="2:28" x14ac:dyDescent="0.2">
      <c r="B33" s="13" t="s">
        <v>84</v>
      </c>
      <c r="C33" s="221" t="s">
        <v>256</v>
      </c>
      <c r="D33" s="15" t="s">
        <v>126</v>
      </c>
      <c r="E33" s="16" t="s">
        <v>56</v>
      </c>
      <c r="F33" s="134" t="s">
        <v>270</v>
      </c>
      <c r="I33" s="138" t="s">
        <v>92</v>
      </c>
      <c r="AB33">
        <v>3</v>
      </c>
    </row>
    <row r="34" spans="2:28" x14ac:dyDescent="0.2">
      <c r="B34" s="13" t="s">
        <v>85</v>
      </c>
      <c r="C34" s="222" t="s">
        <v>256</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244</v>
      </c>
      <c r="D35" s="49" t="str">
        <f>IF(C35="","WARNING - Please enter a Probability.","")</f>
        <v/>
      </c>
      <c r="E35" s="16" t="s">
        <v>60</v>
      </c>
      <c r="F35" s="134" t="s">
        <v>107</v>
      </c>
      <c r="I35" s="138" t="s">
        <v>92</v>
      </c>
      <c r="AB35">
        <v>5</v>
      </c>
    </row>
    <row r="36" spans="2:28" x14ac:dyDescent="0.2">
      <c r="B36" s="13" t="s">
        <v>50</v>
      </c>
      <c r="C36" s="133" t="s">
        <v>244</v>
      </c>
      <c r="D36" s="15" t="s">
        <v>96</v>
      </c>
      <c r="E36" s="16" t="s">
        <v>61</v>
      </c>
      <c r="F36" s="223">
        <v>42903</v>
      </c>
      <c r="I36" s="138" t="s">
        <v>92</v>
      </c>
      <c r="AB36">
        <v>6</v>
      </c>
    </row>
    <row r="37" spans="2:28" ht="25.5" x14ac:dyDescent="0.2">
      <c r="B37" s="187" t="s">
        <v>57</v>
      </c>
      <c r="C37" s="133" t="s">
        <v>245</v>
      </c>
      <c r="D37" s="15" t="s">
        <v>99</v>
      </c>
      <c r="E37" s="16" t="s">
        <v>62</v>
      </c>
      <c r="F37" s="175">
        <v>42903</v>
      </c>
      <c r="I37" s="138" t="s">
        <v>92</v>
      </c>
      <c r="AB37">
        <v>7</v>
      </c>
    </row>
    <row r="38" spans="2:28" x14ac:dyDescent="0.2">
      <c r="B38" s="13"/>
      <c r="C38" s="15"/>
      <c r="D38" s="15"/>
      <c r="E38" s="18"/>
      <c r="F38" s="19"/>
      <c r="I38" s="138" t="s">
        <v>92</v>
      </c>
      <c r="AB38">
        <v>8</v>
      </c>
    </row>
    <row r="39" spans="2:28" ht="25.5" x14ac:dyDescent="0.2">
      <c r="B39" s="20"/>
      <c r="C39" s="21" t="s">
        <v>89</v>
      </c>
      <c r="D39" s="224" t="s">
        <v>271</v>
      </c>
      <c r="E39" s="18"/>
      <c r="F39" s="19"/>
      <c r="I39" s="138" t="s">
        <v>92</v>
      </c>
      <c r="AB39">
        <v>9</v>
      </c>
    </row>
    <row r="40" spans="2:28" ht="6" customHeight="1" x14ac:dyDescent="0.2">
      <c r="B40" s="20"/>
      <c r="C40" s="21"/>
      <c r="D40" s="22"/>
      <c r="E40" s="18"/>
      <c r="F40" s="19"/>
      <c r="I40" s="138" t="s">
        <v>92</v>
      </c>
      <c r="AB40">
        <v>10</v>
      </c>
    </row>
    <row r="41" spans="2:28" ht="38.25" x14ac:dyDescent="0.2">
      <c r="B41" s="20"/>
      <c r="C41" s="21" t="s">
        <v>90</v>
      </c>
      <c r="D41" s="173" t="s">
        <v>272</v>
      </c>
      <c r="E41" s="18"/>
      <c r="F41" s="19"/>
      <c r="I41" s="138" t="s">
        <v>92</v>
      </c>
      <c r="AB41">
        <v>11</v>
      </c>
    </row>
    <row r="42" spans="2:28" ht="6" customHeight="1" x14ac:dyDescent="0.2">
      <c r="B42" s="20"/>
      <c r="C42" s="21"/>
      <c r="D42" s="22"/>
      <c r="E42" s="18"/>
      <c r="F42" s="19"/>
      <c r="I42" s="138" t="s">
        <v>92</v>
      </c>
      <c r="AB42">
        <v>12</v>
      </c>
    </row>
    <row r="43" spans="2:28" ht="63.75" x14ac:dyDescent="0.2">
      <c r="B43" s="20"/>
      <c r="C43" s="21" t="s">
        <v>3</v>
      </c>
      <c r="D43" s="173" t="s">
        <v>273</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173" t="s">
        <v>274</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26" t="s">
        <v>256</v>
      </c>
      <c r="C50" s="26">
        <v>1</v>
      </c>
      <c r="D50" s="173" t="s">
        <v>275</v>
      </c>
      <c r="E50" s="27">
        <v>42858</v>
      </c>
      <c r="F50" s="28">
        <v>42863</v>
      </c>
      <c r="I50" s="138" t="s">
        <v>92</v>
      </c>
      <c r="AB50">
        <v>20</v>
      </c>
    </row>
    <row r="51" spans="1:28" x14ac:dyDescent="0.2">
      <c r="B51" s="226" t="s">
        <v>256</v>
      </c>
      <c r="C51" s="26">
        <v>2</v>
      </c>
      <c r="D51" s="173" t="s">
        <v>276</v>
      </c>
      <c r="E51" s="27">
        <v>42799</v>
      </c>
      <c r="F51" s="28">
        <v>42863</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6.25" thickBot="1" x14ac:dyDescent="0.25">
      <c r="A56" s="19"/>
      <c r="B56" s="164" t="s">
        <v>109</v>
      </c>
      <c r="C56" s="165">
        <v>3</v>
      </c>
      <c r="D56" s="166" t="s">
        <v>283</v>
      </c>
      <c r="E56" s="167" t="s">
        <v>51</v>
      </c>
      <c r="F56" s="168" t="s">
        <v>257</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131">
        <v>42896</v>
      </c>
      <c r="D58" s="15" t="str">
        <f>IF(OR(C61="",C62=""),"",VLOOKUP(CONCATENATE(C61," - ",C62),Exposure,2))</f>
        <v>R</v>
      </c>
      <c r="E58" s="16" t="s">
        <v>135</v>
      </c>
      <c r="F58" s="113">
        <v>1</v>
      </c>
      <c r="I58" s="138" t="s">
        <v>92</v>
      </c>
      <c r="AB58">
        <v>2</v>
      </c>
    </row>
    <row r="59" spans="1:28" x14ac:dyDescent="0.2">
      <c r="B59" s="13" t="s">
        <v>84</v>
      </c>
      <c r="C59" s="221" t="s">
        <v>256</v>
      </c>
      <c r="D59" s="15" t="s">
        <v>126</v>
      </c>
      <c r="E59" s="16" t="s">
        <v>56</v>
      </c>
      <c r="F59" s="134" t="s">
        <v>270</v>
      </c>
      <c r="I59" s="138" t="s">
        <v>92</v>
      </c>
      <c r="AB59">
        <v>3</v>
      </c>
    </row>
    <row r="60" spans="1:28" x14ac:dyDescent="0.2">
      <c r="B60" s="13" t="s">
        <v>85</v>
      </c>
      <c r="C60" s="222" t="s">
        <v>256</v>
      </c>
      <c r="D60" s="18"/>
      <c r="E60" s="16" t="s">
        <v>91</v>
      </c>
      <c r="F60" s="134" t="s">
        <v>106</v>
      </c>
      <c r="I60" s="138" t="s">
        <v>92</v>
      </c>
      <c r="AB60">
        <v>4</v>
      </c>
    </row>
    <row r="61" spans="1:28" x14ac:dyDescent="0.2">
      <c r="B61" s="13" t="s">
        <v>44</v>
      </c>
      <c r="C61" s="133" t="s">
        <v>244</v>
      </c>
      <c r="D61" s="49" t="str">
        <f>IF(C61="","WARNING - Please enter a Probability.","")</f>
        <v/>
      </c>
      <c r="E61" s="16" t="s">
        <v>60</v>
      </c>
      <c r="F61" s="134" t="s">
        <v>107</v>
      </c>
      <c r="I61" s="138" t="s">
        <v>92</v>
      </c>
      <c r="AB61">
        <v>5</v>
      </c>
    </row>
    <row r="62" spans="1:28" x14ac:dyDescent="0.2">
      <c r="B62" s="13" t="s">
        <v>50</v>
      </c>
      <c r="C62" s="133" t="s">
        <v>244</v>
      </c>
      <c r="D62" s="15" t="s">
        <v>96</v>
      </c>
      <c r="E62" s="16" t="s">
        <v>61</v>
      </c>
      <c r="F62" s="135">
        <v>42903</v>
      </c>
      <c r="I62" s="138" t="s">
        <v>92</v>
      </c>
      <c r="AB62">
        <v>6</v>
      </c>
    </row>
    <row r="63" spans="1:28" ht="25.5" x14ac:dyDescent="0.2">
      <c r="B63" s="187" t="s">
        <v>57</v>
      </c>
      <c r="C63" s="133" t="s">
        <v>245</v>
      </c>
      <c r="D63" s="15" t="s">
        <v>99</v>
      </c>
      <c r="E63" s="16" t="s">
        <v>62</v>
      </c>
      <c r="F63" s="175">
        <v>42903</v>
      </c>
      <c r="I63" s="138" t="s">
        <v>92</v>
      </c>
      <c r="AB63">
        <v>7</v>
      </c>
    </row>
    <row r="64" spans="1:28" x14ac:dyDescent="0.2">
      <c r="B64" s="13"/>
      <c r="C64" s="15"/>
      <c r="D64" s="15"/>
      <c r="E64" s="18"/>
      <c r="F64" s="19"/>
      <c r="I64" s="138" t="s">
        <v>92</v>
      </c>
      <c r="AB64">
        <v>8</v>
      </c>
    </row>
    <row r="65" spans="2:28" ht="38.25" x14ac:dyDescent="0.2">
      <c r="B65" s="20"/>
      <c r="C65" s="21" t="s">
        <v>89</v>
      </c>
      <c r="D65" s="224" t="s">
        <v>277</v>
      </c>
      <c r="E65" s="18"/>
      <c r="F65" s="19"/>
      <c r="I65" s="138" t="s">
        <v>92</v>
      </c>
      <c r="AB65">
        <v>9</v>
      </c>
    </row>
    <row r="66" spans="2:28" ht="6" customHeight="1" x14ac:dyDescent="0.2">
      <c r="B66" s="20"/>
      <c r="C66" s="21"/>
      <c r="D66" s="22"/>
      <c r="E66" s="18"/>
      <c r="F66" s="19"/>
      <c r="I66" s="138" t="s">
        <v>92</v>
      </c>
      <c r="AB66">
        <v>10</v>
      </c>
    </row>
    <row r="67" spans="2:28" ht="51" x14ac:dyDescent="0.2">
      <c r="B67" s="20"/>
      <c r="C67" s="21" t="s">
        <v>90</v>
      </c>
      <c r="D67" s="173" t="s">
        <v>278</v>
      </c>
      <c r="E67" s="18"/>
      <c r="F67" s="19"/>
      <c r="I67" s="138" t="s">
        <v>92</v>
      </c>
      <c r="AB67">
        <v>11</v>
      </c>
    </row>
    <row r="68" spans="2:28" ht="6" customHeight="1" x14ac:dyDescent="0.2">
      <c r="B68" s="20"/>
      <c r="C68" s="21"/>
      <c r="D68" s="22"/>
      <c r="E68" s="18"/>
      <c r="F68" s="19"/>
      <c r="I68" s="138" t="s">
        <v>92</v>
      </c>
      <c r="AB68">
        <v>12</v>
      </c>
    </row>
    <row r="69" spans="2:28" ht="63.75" x14ac:dyDescent="0.2">
      <c r="B69" s="20"/>
      <c r="C69" s="21" t="s">
        <v>3</v>
      </c>
      <c r="D69" s="173" t="s">
        <v>279</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173" t="s">
        <v>274</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26" t="s">
        <v>256</v>
      </c>
      <c r="C76" s="26">
        <v>1</v>
      </c>
      <c r="D76" s="173" t="s">
        <v>280</v>
      </c>
      <c r="E76" s="27">
        <v>42891</v>
      </c>
      <c r="F76" s="28">
        <v>42891</v>
      </c>
      <c r="I76" s="138" t="s">
        <v>92</v>
      </c>
      <c r="AB76">
        <v>20</v>
      </c>
    </row>
    <row r="77" spans="2:28" x14ac:dyDescent="0.2">
      <c r="B77" s="226" t="s">
        <v>256</v>
      </c>
      <c r="C77" s="26">
        <v>2</v>
      </c>
      <c r="D77" s="173" t="s">
        <v>281</v>
      </c>
      <c r="E77" s="27">
        <v>42891</v>
      </c>
      <c r="F77" s="28">
        <v>42891</v>
      </c>
      <c r="I77" s="138" t="s">
        <v>92</v>
      </c>
      <c r="AB77">
        <v>21</v>
      </c>
    </row>
    <row r="78" spans="2:28" x14ac:dyDescent="0.2">
      <c r="B78" s="226" t="s">
        <v>256</v>
      </c>
      <c r="C78" s="26">
        <v>3</v>
      </c>
      <c r="D78" s="173" t="s">
        <v>282</v>
      </c>
      <c r="E78" s="27">
        <v>42891</v>
      </c>
      <c r="F78" s="28">
        <v>42891</v>
      </c>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165">
        <v>4</v>
      </c>
      <c r="D82" s="166" t="s">
        <v>285</v>
      </c>
      <c r="E82" s="167" t="s">
        <v>51</v>
      </c>
      <c r="F82" s="168" t="s">
        <v>257</v>
      </c>
      <c r="I82" s="138" t="s">
        <v>92</v>
      </c>
      <c r="AB82">
        <v>1</v>
      </c>
    </row>
    <row r="83" spans="2:28" x14ac:dyDescent="0.2">
      <c r="B83" s="190" t="s">
        <v>215</v>
      </c>
      <c r="C83" s="227" t="s">
        <v>299</v>
      </c>
      <c r="D83" s="192"/>
      <c r="E83" s="21"/>
      <c r="F83" s="193"/>
      <c r="I83" s="138"/>
    </row>
    <row r="84" spans="2:28" x14ac:dyDescent="0.2">
      <c r="B84" s="13" t="s">
        <v>39</v>
      </c>
      <c r="C84" s="131">
        <v>42897</v>
      </c>
      <c r="D84" s="15" t="str">
        <f>IF(OR(C87="",C88=""),"",VLOOKUP(CONCATENATE(C87," - ",C88),Exposure,2))</f>
        <v>R</v>
      </c>
      <c r="E84" s="16" t="s">
        <v>135</v>
      </c>
      <c r="F84" s="113">
        <v>1</v>
      </c>
      <c r="I84" s="138" t="s">
        <v>92</v>
      </c>
      <c r="AB84">
        <v>2</v>
      </c>
    </row>
    <row r="85" spans="2:28" x14ac:dyDescent="0.2">
      <c r="B85" s="13" t="s">
        <v>84</v>
      </c>
      <c r="C85" s="221" t="s">
        <v>256</v>
      </c>
      <c r="D85" s="15" t="s">
        <v>126</v>
      </c>
      <c r="E85" s="16" t="s">
        <v>56</v>
      </c>
      <c r="F85" s="134" t="s">
        <v>270</v>
      </c>
      <c r="I85" s="138" t="s">
        <v>92</v>
      </c>
      <c r="AB85">
        <v>3</v>
      </c>
    </row>
    <row r="86" spans="2:28" x14ac:dyDescent="0.2">
      <c r="B86" s="13" t="s">
        <v>85</v>
      </c>
      <c r="C86" s="222" t="s">
        <v>256</v>
      </c>
      <c r="D86" s="18"/>
      <c r="E86" s="16" t="s">
        <v>91</v>
      </c>
      <c r="F86" s="134" t="s">
        <v>106</v>
      </c>
      <c r="I86" s="138" t="s">
        <v>92</v>
      </c>
      <c r="AB86">
        <v>4</v>
      </c>
    </row>
    <row r="87" spans="2:28" x14ac:dyDescent="0.2">
      <c r="B87" s="13" t="s">
        <v>44</v>
      </c>
      <c r="C87" s="133" t="s">
        <v>244</v>
      </c>
      <c r="D87" s="49" t="str">
        <f>IF(C87="","WARNING - Please enter a Probability.","")</f>
        <v/>
      </c>
      <c r="E87" s="16" t="s">
        <v>60</v>
      </c>
      <c r="F87" s="134" t="s">
        <v>107</v>
      </c>
      <c r="I87" s="138" t="s">
        <v>92</v>
      </c>
      <c r="AB87">
        <v>5</v>
      </c>
    </row>
    <row r="88" spans="2:28" x14ac:dyDescent="0.2">
      <c r="B88" s="13" t="s">
        <v>50</v>
      </c>
      <c r="C88" s="133" t="s">
        <v>244</v>
      </c>
      <c r="D88" s="15" t="s">
        <v>96</v>
      </c>
      <c r="E88" s="16" t="s">
        <v>61</v>
      </c>
      <c r="F88" s="135">
        <v>42903</v>
      </c>
      <c r="I88" s="138" t="s">
        <v>92</v>
      </c>
      <c r="AB88">
        <v>6</v>
      </c>
    </row>
    <row r="89" spans="2:28" ht="25.5" x14ac:dyDescent="0.2">
      <c r="B89" s="187" t="s">
        <v>57</v>
      </c>
      <c r="C89" s="133" t="s">
        <v>245</v>
      </c>
      <c r="D89" s="15" t="s">
        <v>99</v>
      </c>
      <c r="E89" s="16" t="s">
        <v>62</v>
      </c>
      <c r="F89" s="175">
        <v>42903</v>
      </c>
      <c r="I89" s="138" t="s">
        <v>92</v>
      </c>
      <c r="AB89">
        <v>7</v>
      </c>
    </row>
    <row r="90" spans="2:28" x14ac:dyDescent="0.2">
      <c r="B90" s="13"/>
      <c r="C90" s="15"/>
      <c r="D90" s="15"/>
      <c r="E90" s="18"/>
      <c r="F90" s="19"/>
      <c r="I90" s="138" t="s">
        <v>92</v>
      </c>
      <c r="AB90">
        <v>8</v>
      </c>
    </row>
    <row r="91" spans="2:28" ht="51" x14ac:dyDescent="0.2">
      <c r="B91" s="20"/>
      <c r="C91" s="21" t="s">
        <v>89</v>
      </c>
      <c r="D91" s="224" t="s">
        <v>286</v>
      </c>
      <c r="E91" s="18"/>
      <c r="F91" s="19"/>
      <c r="I91" s="138" t="s">
        <v>92</v>
      </c>
      <c r="AB91">
        <v>9</v>
      </c>
    </row>
    <row r="92" spans="2:28" ht="6" customHeight="1" x14ac:dyDescent="0.2">
      <c r="B92" s="20"/>
      <c r="C92" s="21"/>
      <c r="D92" s="22"/>
      <c r="E92" s="18"/>
      <c r="F92" s="19"/>
      <c r="I92" s="138" t="s">
        <v>92</v>
      </c>
      <c r="AB92">
        <v>10</v>
      </c>
    </row>
    <row r="93" spans="2:28" ht="38.25" x14ac:dyDescent="0.2">
      <c r="B93" s="20"/>
      <c r="C93" s="21" t="s">
        <v>90</v>
      </c>
      <c r="D93" s="173" t="s">
        <v>287</v>
      </c>
      <c r="E93" s="18"/>
      <c r="F93" s="19"/>
      <c r="I93" s="138" t="s">
        <v>92</v>
      </c>
      <c r="AB93">
        <v>11</v>
      </c>
    </row>
    <row r="94" spans="2:28" ht="6" customHeight="1" x14ac:dyDescent="0.2">
      <c r="B94" s="20"/>
      <c r="C94" s="21"/>
      <c r="D94" s="22"/>
      <c r="E94" s="18"/>
      <c r="F94" s="19"/>
      <c r="I94" s="138" t="s">
        <v>92</v>
      </c>
      <c r="AB94">
        <v>12</v>
      </c>
    </row>
    <row r="95" spans="2:28" ht="63.75" x14ac:dyDescent="0.2">
      <c r="B95" s="20"/>
      <c r="C95" s="21" t="s">
        <v>3</v>
      </c>
      <c r="D95" s="173" t="s">
        <v>288</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173" t="s">
        <v>274</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26" t="s">
        <v>256</v>
      </c>
      <c r="C102" s="26">
        <v>1</v>
      </c>
      <c r="D102" s="173" t="s">
        <v>289</v>
      </c>
      <c r="E102" s="27">
        <v>42866</v>
      </c>
      <c r="F102" s="28">
        <v>42867</v>
      </c>
      <c r="I102" s="138" t="s">
        <v>92</v>
      </c>
      <c r="AB102">
        <v>20</v>
      </c>
    </row>
    <row r="103" spans="2:28" x14ac:dyDescent="0.2">
      <c r="B103" s="226" t="s">
        <v>256</v>
      </c>
      <c r="C103" s="26">
        <v>2</v>
      </c>
      <c r="D103" s="173" t="s">
        <v>290</v>
      </c>
      <c r="E103" s="27">
        <v>42866</v>
      </c>
      <c r="F103" s="28">
        <v>42867</v>
      </c>
      <c r="I103" s="138" t="s">
        <v>92</v>
      </c>
      <c r="AB103">
        <v>21</v>
      </c>
    </row>
    <row r="104" spans="2:28" x14ac:dyDescent="0.2">
      <c r="B104" s="226" t="s">
        <v>256</v>
      </c>
      <c r="C104" s="26">
        <v>3</v>
      </c>
      <c r="D104" s="173" t="s">
        <v>291</v>
      </c>
      <c r="E104" s="27">
        <v>42866</v>
      </c>
      <c r="F104" s="28">
        <v>42867</v>
      </c>
      <c r="I104" s="138" t="s">
        <v>92</v>
      </c>
      <c r="AB104">
        <v>22</v>
      </c>
    </row>
    <row r="105" spans="2:28" x14ac:dyDescent="0.2">
      <c r="B105" s="226" t="s">
        <v>256</v>
      </c>
      <c r="C105" s="26">
        <v>4</v>
      </c>
      <c r="D105" s="173" t="s">
        <v>292</v>
      </c>
      <c r="E105" s="27">
        <v>42866</v>
      </c>
      <c r="F105" s="28">
        <v>42867</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26.25" thickBot="1" x14ac:dyDescent="0.25">
      <c r="B108" s="164" t="s">
        <v>109</v>
      </c>
      <c r="C108" s="165">
        <v>5</v>
      </c>
      <c r="D108" s="166" t="s">
        <v>284</v>
      </c>
      <c r="E108" s="167" t="s">
        <v>51</v>
      </c>
      <c r="F108" s="168" t="s">
        <v>257</v>
      </c>
      <c r="I108" s="138" t="s">
        <v>92</v>
      </c>
      <c r="AB108">
        <v>1</v>
      </c>
    </row>
    <row r="109" spans="2:28" x14ac:dyDescent="0.2">
      <c r="B109" s="190" t="s">
        <v>215</v>
      </c>
      <c r="C109" s="227" t="s">
        <v>269</v>
      </c>
      <c r="D109" s="192"/>
      <c r="E109" s="21"/>
      <c r="F109" s="193"/>
      <c r="I109" s="138"/>
    </row>
    <row r="110" spans="2:28" x14ac:dyDescent="0.2">
      <c r="B110" s="13" t="s">
        <v>39</v>
      </c>
      <c r="C110" s="131">
        <v>42897</v>
      </c>
      <c r="D110" s="15" t="str">
        <f>IF(OR(C113="",C114=""),"",VLOOKUP(CONCATENATE(C113," - ",C114),Exposure,2))</f>
        <v>R</v>
      </c>
      <c r="E110" s="16" t="s">
        <v>135</v>
      </c>
      <c r="F110" s="113">
        <v>1</v>
      </c>
      <c r="I110" s="138" t="s">
        <v>92</v>
      </c>
      <c r="AB110">
        <v>2</v>
      </c>
    </row>
    <row r="111" spans="2:28" x14ac:dyDescent="0.2">
      <c r="B111" s="13" t="s">
        <v>84</v>
      </c>
      <c r="C111" s="221" t="s">
        <v>256</v>
      </c>
      <c r="D111" s="15" t="s">
        <v>126</v>
      </c>
      <c r="E111" s="16" t="s">
        <v>56</v>
      </c>
      <c r="F111" s="134" t="s">
        <v>270</v>
      </c>
      <c r="I111" s="138" t="s">
        <v>92</v>
      </c>
      <c r="AB111">
        <v>3</v>
      </c>
    </row>
    <row r="112" spans="2:28" x14ac:dyDescent="0.2">
      <c r="B112" s="13" t="s">
        <v>85</v>
      </c>
      <c r="C112" s="222" t="s">
        <v>256</v>
      </c>
      <c r="D112" s="18"/>
      <c r="E112" s="16" t="s">
        <v>91</v>
      </c>
      <c r="F112" s="134" t="s">
        <v>106</v>
      </c>
      <c r="I112" s="138" t="s">
        <v>92</v>
      </c>
      <c r="AB112">
        <v>4</v>
      </c>
    </row>
    <row r="113" spans="2:28" x14ac:dyDescent="0.2">
      <c r="B113" s="13" t="s">
        <v>44</v>
      </c>
      <c r="C113" s="133" t="s">
        <v>244</v>
      </c>
      <c r="D113" s="49" t="str">
        <f>IF(C113="","WARNING - Please enter a Probability.","")</f>
        <v/>
      </c>
      <c r="E113" s="16" t="s">
        <v>60</v>
      </c>
      <c r="F113" s="134" t="s">
        <v>107</v>
      </c>
      <c r="I113" s="138" t="s">
        <v>92</v>
      </c>
      <c r="AB113">
        <v>5</v>
      </c>
    </row>
    <row r="114" spans="2:28" x14ac:dyDescent="0.2">
      <c r="B114" s="13" t="s">
        <v>50</v>
      </c>
      <c r="C114" s="133" t="s">
        <v>244</v>
      </c>
      <c r="D114" s="15" t="s">
        <v>96</v>
      </c>
      <c r="E114" s="16" t="s">
        <v>61</v>
      </c>
      <c r="F114" s="135">
        <v>42903</v>
      </c>
      <c r="I114" s="138" t="s">
        <v>92</v>
      </c>
      <c r="AB114">
        <v>6</v>
      </c>
    </row>
    <row r="115" spans="2:28" ht="25.5" x14ac:dyDescent="0.2">
      <c r="B115" s="187" t="s">
        <v>57</v>
      </c>
      <c r="C115" s="133" t="s">
        <v>245</v>
      </c>
      <c r="D115" s="15" t="s">
        <v>99</v>
      </c>
      <c r="E115" s="16" t="s">
        <v>62</v>
      </c>
      <c r="F115" s="175">
        <v>42903</v>
      </c>
      <c r="I115" s="138" t="s">
        <v>92</v>
      </c>
      <c r="AB115">
        <v>7</v>
      </c>
    </row>
    <row r="116" spans="2:28" x14ac:dyDescent="0.2">
      <c r="B116" s="13"/>
      <c r="C116" s="15"/>
      <c r="D116" s="15"/>
      <c r="E116" s="18"/>
      <c r="F116" s="19"/>
      <c r="I116" s="138" t="s">
        <v>92</v>
      </c>
      <c r="AB116">
        <v>8</v>
      </c>
    </row>
    <row r="117" spans="2:28" ht="51" x14ac:dyDescent="0.2">
      <c r="B117" s="20"/>
      <c r="C117" s="21" t="s">
        <v>89</v>
      </c>
      <c r="D117" s="224" t="s">
        <v>293</v>
      </c>
      <c r="E117" s="18"/>
      <c r="F117" s="19"/>
      <c r="I117" s="138" t="s">
        <v>92</v>
      </c>
      <c r="AB117">
        <v>9</v>
      </c>
    </row>
    <row r="118" spans="2:28" ht="6" customHeight="1" x14ac:dyDescent="0.2">
      <c r="B118" s="20"/>
      <c r="C118" s="21"/>
      <c r="D118" s="22"/>
      <c r="E118" s="18"/>
      <c r="F118" s="19"/>
      <c r="I118" s="138" t="s">
        <v>92</v>
      </c>
      <c r="AB118">
        <v>10</v>
      </c>
    </row>
    <row r="119" spans="2:28" ht="51" x14ac:dyDescent="0.2">
      <c r="B119" s="20"/>
      <c r="C119" s="21" t="s">
        <v>90</v>
      </c>
      <c r="D119" s="173" t="s">
        <v>294</v>
      </c>
      <c r="E119" s="18"/>
      <c r="F119" s="19"/>
      <c r="I119" s="138" t="s">
        <v>92</v>
      </c>
      <c r="AB119">
        <v>11</v>
      </c>
    </row>
    <row r="120" spans="2:28" ht="6" customHeight="1" x14ac:dyDescent="0.2">
      <c r="B120" s="20"/>
      <c r="C120" s="21"/>
      <c r="D120" s="22"/>
      <c r="E120" s="18"/>
      <c r="F120" s="19"/>
      <c r="I120" s="138" t="s">
        <v>92</v>
      </c>
      <c r="AB120">
        <v>12</v>
      </c>
    </row>
    <row r="121" spans="2:28" ht="89.25" x14ac:dyDescent="0.2">
      <c r="B121" s="20"/>
      <c r="C121" s="21" t="s">
        <v>3</v>
      </c>
      <c r="D121" s="173" t="s">
        <v>296</v>
      </c>
      <c r="E121" s="225" t="s">
        <v>295</v>
      </c>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173" t="s">
        <v>274</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26" t="s">
        <v>256</v>
      </c>
      <c r="C128" s="26">
        <v>1</v>
      </c>
      <c r="D128" s="173" t="s">
        <v>297</v>
      </c>
      <c r="E128" s="27" t="s">
        <v>86</v>
      </c>
      <c r="F128" s="28" t="s">
        <v>86</v>
      </c>
      <c r="I128" s="138" t="s">
        <v>92</v>
      </c>
      <c r="AB128">
        <v>20</v>
      </c>
    </row>
    <row r="129" spans="2:28" ht="25.5" x14ac:dyDescent="0.2">
      <c r="B129" s="226" t="s">
        <v>256</v>
      </c>
      <c r="C129" s="26">
        <v>2</v>
      </c>
      <c r="D129" s="173" t="s">
        <v>298</v>
      </c>
      <c r="E129" s="27" t="s">
        <v>86</v>
      </c>
      <c r="F129" s="28" t="s">
        <v>86</v>
      </c>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165">
        <v>6</v>
      </c>
      <c r="D134" s="166" t="s">
        <v>266</v>
      </c>
      <c r="E134" s="167" t="s">
        <v>51</v>
      </c>
      <c r="F134" s="168" t="s">
        <v>257</v>
      </c>
      <c r="I134" s="138" t="s">
        <v>92</v>
      </c>
      <c r="AB134">
        <v>1</v>
      </c>
    </row>
    <row r="135" spans="2:28" x14ac:dyDescent="0.2">
      <c r="B135" s="190" t="s">
        <v>215</v>
      </c>
      <c r="C135" s="191">
        <v>1.1000000000000001</v>
      </c>
      <c r="D135" s="192"/>
      <c r="E135" s="21"/>
      <c r="F135" s="193"/>
      <c r="I135" s="138"/>
    </row>
    <row r="136" spans="2:28" x14ac:dyDescent="0.2">
      <c r="B136" s="13" t="s">
        <v>39</v>
      </c>
      <c r="C136" s="221">
        <v>42860</v>
      </c>
      <c r="D136" s="15" t="str">
        <f>IF(OR(C139="",C140=""),"",VLOOKUP(CONCATENATE(C139," - ",C140),Exposure,2))</f>
        <v>R</v>
      </c>
      <c r="E136" s="16" t="s">
        <v>135</v>
      </c>
      <c r="F136" s="113">
        <v>1</v>
      </c>
      <c r="I136" s="138" t="s">
        <v>92</v>
      </c>
      <c r="AB136">
        <v>2</v>
      </c>
    </row>
    <row r="137" spans="2:28" x14ac:dyDescent="0.2">
      <c r="B137" s="13" t="s">
        <v>84</v>
      </c>
      <c r="C137" s="221" t="s">
        <v>256</v>
      </c>
      <c r="D137" s="15" t="s">
        <v>126</v>
      </c>
      <c r="E137" s="16" t="s">
        <v>56</v>
      </c>
      <c r="F137" s="134" t="s">
        <v>302</v>
      </c>
      <c r="I137" s="138" t="s">
        <v>92</v>
      </c>
      <c r="AB137">
        <v>3</v>
      </c>
    </row>
    <row r="138" spans="2:28" x14ac:dyDescent="0.2">
      <c r="B138" s="13" t="s">
        <v>85</v>
      </c>
      <c r="C138" s="222" t="s">
        <v>256</v>
      </c>
      <c r="D138" s="18"/>
      <c r="E138" s="16" t="s">
        <v>91</v>
      </c>
      <c r="F138" s="134" t="s">
        <v>106</v>
      </c>
      <c r="I138" s="138" t="s">
        <v>92</v>
      </c>
      <c r="AB138">
        <v>4</v>
      </c>
    </row>
    <row r="139" spans="2:28" x14ac:dyDescent="0.2">
      <c r="B139" s="13" t="s">
        <v>44</v>
      </c>
      <c r="C139" s="133" t="s">
        <v>244</v>
      </c>
      <c r="D139" s="49" t="str">
        <f>IF(C139="","WARNING - Please enter a Probability.","")</f>
        <v/>
      </c>
      <c r="E139" s="16" t="s">
        <v>60</v>
      </c>
      <c r="F139" s="134" t="s">
        <v>107</v>
      </c>
      <c r="I139" s="138" t="s">
        <v>92</v>
      </c>
      <c r="AB139">
        <v>5</v>
      </c>
    </row>
    <row r="140" spans="2:28" x14ac:dyDescent="0.2">
      <c r="B140" s="13" t="s">
        <v>50</v>
      </c>
      <c r="C140" s="133" t="s">
        <v>244</v>
      </c>
      <c r="D140" s="15" t="s">
        <v>96</v>
      </c>
      <c r="E140" s="16" t="s">
        <v>61</v>
      </c>
      <c r="F140" s="223">
        <v>42903</v>
      </c>
      <c r="I140" s="138" t="s">
        <v>92</v>
      </c>
      <c r="AB140">
        <v>6</v>
      </c>
    </row>
    <row r="141" spans="2:28" ht="25.5" x14ac:dyDescent="0.2">
      <c r="B141" s="187" t="s">
        <v>57</v>
      </c>
      <c r="C141" s="133" t="s">
        <v>245</v>
      </c>
      <c r="D141" s="15" t="s">
        <v>99</v>
      </c>
      <c r="E141" s="16" t="s">
        <v>62</v>
      </c>
      <c r="F141" s="175">
        <v>42903</v>
      </c>
      <c r="I141" s="138" t="s">
        <v>92</v>
      </c>
      <c r="AB141">
        <v>7</v>
      </c>
    </row>
    <row r="142" spans="2:28" x14ac:dyDescent="0.2">
      <c r="B142" s="13"/>
      <c r="C142" s="15"/>
      <c r="D142" s="15"/>
      <c r="E142" s="18"/>
      <c r="F142" s="19"/>
      <c r="I142" s="138" t="s">
        <v>92</v>
      </c>
      <c r="AB142">
        <v>8</v>
      </c>
    </row>
    <row r="143" spans="2:28" ht="25.5" x14ac:dyDescent="0.2">
      <c r="B143" s="20"/>
      <c r="C143" s="21" t="s">
        <v>89</v>
      </c>
      <c r="D143" s="224" t="s">
        <v>306</v>
      </c>
      <c r="E143" s="18"/>
      <c r="F143" s="19"/>
      <c r="I143" s="138" t="s">
        <v>92</v>
      </c>
      <c r="AB143">
        <v>9</v>
      </c>
    </row>
    <row r="144" spans="2:28" ht="6" customHeight="1" x14ac:dyDescent="0.2">
      <c r="B144" s="20"/>
      <c r="C144" s="21"/>
      <c r="D144" s="22"/>
      <c r="E144" s="18"/>
      <c r="F144" s="19"/>
      <c r="I144" s="138" t="s">
        <v>92</v>
      </c>
      <c r="AB144">
        <v>10</v>
      </c>
    </row>
    <row r="145" spans="2:28" ht="38.25" x14ac:dyDescent="0.2">
      <c r="B145" s="20"/>
      <c r="C145" s="21" t="s">
        <v>90</v>
      </c>
      <c r="D145" s="173" t="s">
        <v>307</v>
      </c>
      <c r="E145" s="18"/>
      <c r="F145" s="19"/>
      <c r="I145" s="138" t="s">
        <v>92</v>
      </c>
      <c r="AB145">
        <v>11</v>
      </c>
    </row>
    <row r="146" spans="2:28" ht="6" customHeight="1" x14ac:dyDescent="0.2">
      <c r="B146" s="20"/>
      <c r="C146" s="21"/>
      <c r="D146" s="22"/>
      <c r="E146" s="18"/>
      <c r="F146" s="19"/>
      <c r="I146" s="138" t="s">
        <v>92</v>
      </c>
      <c r="AB146">
        <v>12</v>
      </c>
    </row>
    <row r="147" spans="2:28" ht="76.5" x14ac:dyDescent="0.2">
      <c r="B147" s="20"/>
      <c r="C147" s="21" t="s">
        <v>3</v>
      </c>
      <c r="D147" s="173" t="s">
        <v>308</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173" t="s">
        <v>274</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26" t="s">
        <v>256</v>
      </c>
      <c r="C154" s="26">
        <v>1</v>
      </c>
      <c r="D154" s="173" t="s">
        <v>309</v>
      </c>
      <c r="E154" s="27">
        <v>42870</v>
      </c>
      <c r="F154" s="28">
        <v>42870</v>
      </c>
      <c r="I154" s="138" t="s">
        <v>92</v>
      </c>
      <c r="AB154">
        <v>20</v>
      </c>
    </row>
    <row r="155" spans="2:28" ht="25.5" x14ac:dyDescent="0.2">
      <c r="B155" s="226" t="s">
        <v>256</v>
      </c>
      <c r="C155" s="26">
        <v>2</v>
      </c>
      <c r="D155" s="173" t="s">
        <v>310</v>
      </c>
      <c r="E155" s="27">
        <v>42870</v>
      </c>
      <c r="F155" s="28">
        <v>42870</v>
      </c>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165">
        <v>7</v>
      </c>
      <c r="D160" s="166" t="s">
        <v>301</v>
      </c>
      <c r="E160" s="167" t="s">
        <v>51</v>
      </c>
      <c r="F160" s="168" t="s">
        <v>257</v>
      </c>
      <c r="I160" s="138" t="s">
        <v>93</v>
      </c>
      <c r="AB160">
        <v>1</v>
      </c>
    </row>
    <row r="161" spans="2:28" x14ac:dyDescent="0.2">
      <c r="B161" s="190" t="s">
        <v>215</v>
      </c>
      <c r="C161" s="191">
        <v>2.1</v>
      </c>
      <c r="D161" s="192"/>
      <c r="E161" s="21"/>
      <c r="F161" s="193"/>
      <c r="I161" s="138"/>
    </row>
    <row r="162" spans="2:28" x14ac:dyDescent="0.2">
      <c r="B162" s="13" t="s">
        <v>39</v>
      </c>
      <c r="C162" s="131">
        <v>42875</v>
      </c>
      <c r="D162" s="15" t="str">
        <f>IF(OR(C165="",C166=""),"",VLOOKUP(CONCATENATE(C165," - ",C166),Exposure,2))</f>
        <v>R</v>
      </c>
      <c r="E162" s="16" t="s">
        <v>135</v>
      </c>
      <c r="F162" s="113">
        <v>1</v>
      </c>
      <c r="I162" s="138" t="s">
        <v>93</v>
      </c>
      <c r="AB162">
        <v>2</v>
      </c>
    </row>
    <row r="163" spans="2:28" x14ac:dyDescent="0.2">
      <c r="B163" s="13" t="s">
        <v>84</v>
      </c>
      <c r="C163" s="221" t="s">
        <v>256</v>
      </c>
      <c r="D163" s="15" t="s">
        <v>126</v>
      </c>
      <c r="E163" s="16" t="s">
        <v>56</v>
      </c>
      <c r="F163" s="134" t="s">
        <v>302</v>
      </c>
      <c r="I163" s="138" t="s">
        <v>93</v>
      </c>
      <c r="AB163">
        <v>3</v>
      </c>
    </row>
    <row r="164" spans="2:28" x14ac:dyDescent="0.2">
      <c r="B164" s="13" t="s">
        <v>85</v>
      </c>
      <c r="C164" s="222" t="s">
        <v>256</v>
      </c>
      <c r="D164" s="18"/>
      <c r="E164" s="16" t="s">
        <v>91</v>
      </c>
      <c r="F164" s="134" t="s">
        <v>106</v>
      </c>
      <c r="I164" s="138" t="s">
        <v>93</v>
      </c>
      <c r="AB164">
        <v>4</v>
      </c>
    </row>
    <row r="165" spans="2:28" x14ac:dyDescent="0.2">
      <c r="B165" s="13" t="s">
        <v>44</v>
      </c>
      <c r="C165" s="133" t="s">
        <v>244</v>
      </c>
      <c r="D165" s="49" t="str">
        <f>IF(C165="","WARNING - Please enter a Probability.","")</f>
        <v/>
      </c>
      <c r="E165" s="16" t="s">
        <v>60</v>
      </c>
      <c r="F165" s="134" t="s">
        <v>107</v>
      </c>
      <c r="I165" s="138" t="s">
        <v>93</v>
      </c>
      <c r="AB165">
        <v>5</v>
      </c>
    </row>
    <row r="166" spans="2:28" x14ac:dyDescent="0.2">
      <c r="B166" s="13" t="s">
        <v>50</v>
      </c>
      <c r="C166" s="133" t="s">
        <v>244</v>
      </c>
      <c r="D166" s="15" t="s">
        <v>96</v>
      </c>
      <c r="E166" s="16" t="s">
        <v>61</v>
      </c>
      <c r="F166" s="135">
        <v>42903</v>
      </c>
      <c r="I166" s="138" t="s">
        <v>93</v>
      </c>
      <c r="AB166">
        <v>6</v>
      </c>
    </row>
    <row r="167" spans="2:28" ht="25.5" x14ac:dyDescent="0.2">
      <c r="B167" s="187" t="s">
        <v>57</v>
      </c>
      <c r="C167" s="133" t="s">
        <v>245</v>
      </c>
      <c r="D167" s="15" t="s">
        <v>99</v>
      </c>
      <c r="E167" s="16" t="s">
        <v>62</v>
      </c>
      <c r="F167" s="175">
        <v>42903</v>
      </c>
      <c r="I167" s="138" t="s">
        <v>93</v>
      </c>
      <c r="AB167">
        <v>7</v>
      </c>
    </row>
    <row r="168" spans="2:28" x14ac:dyDescent="0.2">
      <c r="B168" s="13"/>
      <c r="C168" s="15"/>
      <c r="D168" s="15"/>
      <c r="E168" s="18"/>
      <c r="F168" s="19"/>
      <c r="I168" s="138" t="s">
        <v>93</v>
      </c>
      <c r="AB168">
        <v>8</v>
      </c>
    </row>
    <row r="169" spans="2:28" ht="38.25" x14ac:dyDescent="0.2">
      <c r="B169" s="20"/>
      <c r="C169" s="21" t="s">
        <v>89</v>
      </c>
      <c r="D169" s="224" t="s">
        <v>311</v>
      </c>
      <c r="E169" s="18"/>
      <c r="F169" s="19"/>
      <c r="I169" s="138" t="s">
        <v>93</v>
      </c>
      <c r="AB169">
        <v>9</v>
      </c>
    </row>
    <row r="170" spans="2:28" ht="6" customHeight="1" x14ac:dyDescent="0.2">
      <c r="B170" s="20"/>
      <c r="C170" s="21"/>
      <c r="D170" s="22"/>
      <c r="E170" s="18"/>
      <c r="F170" s="19"/>
      <c r="I170" s="138" t="s">
        <v>93</v>
      </c>
      <c r="AB170">
        <v>10</v>
      </c>
    </row>
    <row r="171" spans="2:28" ht="38.25" x14ac:dyDescent="0.2">
      <c r="B171" s="20"/>
      <c r="C171" s="21" t="s">
        <v>90</v>
      </c>
      <c r="D171" s="173" t="s">
        <v>312</v>
      </c>
      <c r="E171" s="18"/>
      <c r="F171" s="19"/>
      <c r="I171" s="138" t="s">
        <v>93</v>
      </c>
      <c r="AB171">
        <v>11</v>
      </c>
    </row>
    <row r="172" spans="2:28" ht="6" customHeight="1" x14ac:dyDescent="0.2">
      <c r="B172" s="20"/>
      <c r="C172" s="21"/>
      <c r="D172" s="22"/>
      <c r="E172" s="18"/>
      <c r="F172" s="19"/>
      <c r="I172" s="138" t="s">
        <v>93</v>
      </c>
      <c r="AB172">
        <v>12</v>
      </c>
    </row>
    <row r="173" spans="2:28" ht="51" x14ac:dyDescent="0.2">
      <c r="B173" s="20"/>
      <c r="C173" s="21" t="s">
        <v>3</v>
      </c>
      <c r="D173" s="173" t="s">
        <v>313</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173" t="s">
        <v>274</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ht="25.5" x14ac:dyDescent="0.2">
      <c r="B180" s="226" t="s">
        <v>256</v>
      </c>
      <c r="C180" s="26">
        <v>1</v>
      </c>
      <c r="D180" s="173" t="s">
        <v>314</v>
      </c>
      <c r="E180" s="27">
        <v>42880</v>
      </c>
      <c r="F180" s="28">
        <v>42880</v>
      </c>
      <c r="I180" s="138" t="s">
        <v>93</v>
      </c>
      <c r="AB180">
        <v>20</v>
      </c>
    </row>
    <row r="181" spans="2:28" x14ac:dyDescent="0.2">
      <c r="B181" s="226" t="s">
        <v>256</v>
      </c>
      <c r="C181" s="26">
        <v>2</v>
      </c>
      <c r="D181" s="173" t="s">
        <v>315</v>
      </c>
      <c r="E181" s="27">
        <v>42880</v>
      </c>
      <c r="F181" s="28">
        <v>42880</v>
      </c>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65">
        <v>8</v>
      </c>
      <c r="D186" s="166" t="s">
        <v>268</v>
      </c>
      <c r="E186" s="167" t="s">
        <v>51</v>
      </c>
      <c r="F186" s="168" t="s">
        <v>257</v>
      </c>
      <c r="I186" s="138" t="s">
        <v>93</v>
      </c>
      <c r="AB186">
        <v>1</v>
      </c>
    </row>
    <row r="187" spans="2:28" x14ac:dyDescent="0.2">
      <c r="B187" s="190" t="s">
        <v>215</v>
      </c>
      <c r="C187" s="191">
        <v>2.4</v>
      </c>
      <c r="D187" s="192"/>
      <c r="E187" s="21"/>
      <c r="F187" s="193"/>
      <c r="I187" s="138"/>
    </row>
    <row r="188" spans="2:28" x14ac:dyDescent="0.2">
      <c r="B188" s="13" t="s">
        <v>39</v>
      </c>
      <c r="C188" s="131">
        <v>42880</v>
      </c>
      <c r="D188" s="15" t="str">
        <f>IF(OR(C191="",C192=""),"",VLOOKUP(CONCATENATE(C191," - ",C192),Exposure,2))</f>
        <v>R</v>
      </c>
      <c r="E188" s="16" t="s">
        <v>135</v>
      </c>
      <c r="F188" s="113">
        <v>1</v>
      </c>
      <c r="I188" s="138" t="s">
        <v>93</v>
      </c>
      <c r="AB188">
        <v>2</v>
      </c>
    </row>
    <row r="189" spans="2:28" x14ac:dyDescent="0.2">
      <c r="B189" s="13" t="s">
        <v>84</v>
      </c>
      <c r="C189" s="221" t="s">
        <v>256</v>
      </c>
      <c r="D189" s="15" t="s">
        <v>126</v>
      </c>
      <c r="E189" s="16" t="s">
        <v>56</v>
      </c>
      <c r="F189" s="134" t="s">
        <v>302</v>
      </c>
      <c r="I189" s="138" t="s">
        <v>93</v>
      </c>
      <c r="AB189">
        <v>3</v>
      </c>
    </row>
    <row r="190" spans="2:28" x14ac:dyDescent="0.2">
      <c r="B190" s="13" t="s">
        <v>85</v>
      </c>
      <c r="C190" s="222" t="s">
        <v>256</v>
      </c>
      <c r="D190" s="18"/>
      <c r="E190" s="16" t="s">
        <v>91</v>
      </c>
      <c r="F190" s="134" t="s">
        <v>106</v>
      </c>
      <c r="I190" s="138" t="s">
        <v>93</v>
      </c>
      <c r="AB190">
        <v>4</v>
      </c>
    </row>
    <row r="191" spans="2:28" x14ac:dyDescent="0.2">
      <c r="B191" s="13" t="s">
        <v>44</v>
      </c>
      <c r="C191" s="133" t="s">
        <v>244</v>
      </c>
      <c r="D191" s="49" t="str">
        <f>IF(C191="","WARNING - Please enter a Probability.","")</f>
        <v/>
      </c>
      <c r="E191" s="16" t="s">
        <v>60</v>
      </c>
      <c r="F191" s="134" t="s">
        <v>107</v>
      </c>
      <c r="I191" s="138" t="s">
        <v>93</v>
      </c>
      <c r="AB191">
        <v>5</v>
      </c>
    </row>
    <row r="192" spans="2:28" x14ac:dyDescent="0.2">
      <c r="B192" s="13" t="s">
        <v>50</v>
      </c>
      <c r="C192" s="133" t="s">
        <v>244</v>
      </c>
      <c r="D192" s="15" t="s">
        <v>96</v>
      </c>
      <c r="E192" s="16" t="s">
        <v>61</v>
      </c>
      <c r="F192" s="135">
        <v>42903</v>
      </c>
      <c r="I192" s="138" t="s">
        <v>93</v>
      </c>
      <c r="AB192">
        <v>6</v>
      </c>
    </row>
    <row r="193" spans="2:28" ht="25.5" x14ac:dyDescent="0.2">
      <c r="B193" s="187" t="s">
        <v>57</v>
      </c>
      <c r="C193" s="133" t="s">
        <v>245</v>
      </c>
      <c r="D193" s="15" t="s">
        <v>99</v>
      </c>
      <c r="E193" s="16" t="s">
        <v>62</v>
      </c>
      <c r="F193" s="175">
        <v>42903</v>
      </c>
      <c r="I193" s="138" t="s">
        <v>93</v>
      </c>
      <c r="AB193">
        <v>7</v>
      </c>
    </row>
    <row r="194" spans="2:28" x14ac:dyDescent="0.2">
      <c r="B194" s="13"/>
      <c r="C194" s="15"/>
      <c r="D194" s="15"/>
      <c r="E194" s="18"/>
      <c r="F194" s="19"/>
      <c r="I194" s="138" t="s">
        <v>93</v>
      </c>
      <c r="AB194">
        <v>8</v>
      </c>
    </row>
    <row r="195" spans="2:28" ht="25.5" x14ac:dyDescent="0.2">
      <c r="B195" s="20"/>
      <c r="C195" s="21" t="s">
        <v>89</v>
      </c>
      <c r="D195" s="224" t="s">
        <v>316</v>
      </c>
      <c r="E195" s="18"/>
      <c r="F195" s="19"/>
      <c r="I195" s="138" t="s">
        <v>93</v>
      </c>
      <c r="AB195">
        <v>9</v>
      </c>
    </row>
    <row r="196" spans="2:28" ht="6" customHeight="1" x14ac:dyDescent="0.2">
      <c r="B196" s="20"/>
      <c r="C196" s="21"/>
      <c r="D196" s="22"/>
      <c r="E196" s="18"/>
      <c r="F196" s="19"/>
      <c r="I196" s="138" t="s">
        <v>93</v>
      </c>
      <c r="AB196">
        <v>10</v>
      </c>
    </row>
    <row r="197" spans="2:28" ht="51" x14ac:dyDescent="0.2">
      <c r="B197" s="20"/>
      <c r="C197" s="21" t="s">
        <v>90</v>
      </c>
      <c r="D197" s="173" t="s">
        <v>317</v>
      </c>
      <c r="E197" s="18"/>
      <c r="F197" s="19"/>
      <c r="I197" s="138" t="s">
        <v>93</v>
      </c>
      <c r="AB197">
        <v>11</v>
      </c>
    </row>
    <row r="198" spans="2:28" ht="6" customHeight="1" x14ac:dyDescent="0.2">
      <c r="B198" s="20"/>
      <c r="C198" s="21"/>
      <c r="D198" s="22"/>
      <c r="E198" s="18"/>
      <c r="F198" s="19"/>
      <c r="I198" s="138" t="s">
        <v>93</v>
      </c>
      <c r="AB198">
        <v>12</v>
      </c>
    </row>
    <row r="199" spans="2:28" ht="63.75" x14ac:dyDescent="0.2">
      <c r="B199" s="20"/>
      <c r="C199" s="21" t="s">
        <v>3</v>
      </c>
      <c r="D199" s="173" t="s">
        <v>318</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173" t="s">
        <v>274</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26" t="s">
        <v>256</v>
      </c>
      <c r="C206" s="26">
        <v>1</v>
      </c>
      <c r="D206" s="173" t="s">
        <v>319</v>
      </c>
      <c r="E206" s="27">
        <v>42888</v>
      </c>
      <c r="F206" s="28">
        <v>42888</v>
      </c>
      <c r="I206" s="138" t="s">
        <v>93</v>
      </c>
      <c r="AB206">
        <v>20</v>
      </c>
    </row>
    <row r="207" spans="2:28" ht="25.5" x14ac:dyDescent="0.2">
      <c r="B207" s="226" t="s">
        <v>256</v>
      </c>
      <c r="C207" s="26">
        <v>2</v>
      </c>
      <c r="D207" s="173" t="s">
        <v>320</v>
      </c>
      <c r="E207" s="27">
        <v>42888</v>
      </c>
      <c r="F207" s="28">
        <v>42888</v>
      </c>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65">
        <v>9</v>
      </c>
      <c r="D212" s="166" t="s">
        <v>303</v>
      </c>
      <c r="E212" s="167" t="s">
        <v>51</v>
      </c>
      <c r="F212" s="168" t="s">
        <v>257</v>
      </c>
      <c r="I212" s="138" t="s">
        <v>93</v>
      </c>
      <c r="AB212">
        <v>1</v>
      </c>
    </row>
    <row r="213" spans="2:28" x14ac:dyDescent="0.2">
      <c r="B213" s="190" t="s">
        <v>215</v>
      </c>
      <c r="C213" s="191">
        <v>2.4</v>
      </c>
      <c r="D213" s="192"/>
      <c r="E213" s="21"/>
      <c r="F213" s="193"/>
      <c r="I213" s="138"/>
    </row>
    <row r="214" spans="2:28" x14ac:dyDescent="0.2">
      <c r="B214" s="13" t="s">
        <v>39</v>
      </c>
      <c r="C214" s="131">
        <v>42857</v>
      </c>
      <c r="D214" s="15" t="str">
        <f>IF(OR(C217="",C218=""),"",VLOOKUP(CONCATENATE(C217," - ",C218),Exposure,2))</f>
        <v>R</v>
      </c>
      <c r="E214" s="16" t="s">
        <v>135</v>
      </c>
      <c r="F214" s="113">
        <v>1</v>
      </c>
      <c r="I214" s="138" t="s">
        <v>93</v>
      </c>
      <c r="AB214">
        <v>2</v>
      </c>
    </row>
    <row r="215" spans="2:28" x14ac:dyDescent="0.2">
      <c r="B215" s="13" t="s">
        <v>84</v>
      </c>
      <c r="C215" s="221" t="s">
        <v>256</v>
      </c>
      <c r="D215" s="15" t="s">
        <v>126</v>
      </c>
      <c r="E215" s="16" t="s">
        <v>56</v>
      </c>
      <c r="F215" s="134" t="s">
        <v>302</v>
      </c>
      <c r="I215" s="138" t="s">
        <v>93</v>
      </c>
      <c r="AB215">
        <v>3</v>
      </c>
    </row>
    <row r="216" spans="2:28" x14ac:dyDescent="0.2">
      <c r="B216" s="13" t="s">
        <v>85</v>
      </c>
      <c r="C216" s="222" t="s">
        <v>256</v>
      </c>
      <c r="D216" s="18"/>
      <c r="E216" s="16" t="s">
        <v>91</v>
      </c>
      <c r="F216" s="134" t="s">
        <v>106</v>
      </c>
      <c r="I216" s="138" t="s">
        <v>93</v>
      </c>
      <c r="AB216">
        <v>4</v>
      </c>
    </row>
    <row r="217" spans="2:28" x14ac:dyDescent="0.2">
      <c r="B217" s="13" t="s">
        <v>44</v>
      </c>
      <c r="C217" s="133" t="s">
        <v>244</v>
      </c>
      <c r="D217" s="49" t="str">
        <f>IF(C217="","WARNING - Please enter a Probability.","")</f>
        <v/>
      </c>
      <c r="E217" s="16" t="s">
        <v>60</v>
      </c>
      <c r="F217" s="134" t="s">
        <v>107</v>
      </c>
      <c r="I217" s="138" t="s">
        <v>93</v>
      </c>
      <c r="AB217">
        <v>5</v>
      </c>
    </row>
    <row r="218" spans="2:28" x14ac:dyDescent="0.2">
      <c r="B218" s="13" t="s">
        <v>50</v>
      </c>
      <c r="C218" s="133" t="s">
        <v>244</v>
      </c>
      <c r="D218" s="15" t="s">
        <v>96</v>
      </c>
      <c r="E218" s="16" t="s">
        <v>61</v>
      </c>
      <c r="F218" s="135">
        <v>42903</v>
      </c>
      <c r="I218" s="138" t="s">
        <v>93</v>
      </c>
      <c r="AB218">
        <v>6</v>
      </c>
    </row>
    <row r="219" spans="2:28" ht="25.5" x14ac:dyDescent="0.2">
      <c r="B219" s="187" t="s">
        <v>57</v>
      </c>
      <c r="C219" s="133" t="s">
        <v>245</v>
      </c>
      <c r="D219" s="15" t="s">
        <v>99</v>
      </c>
      <c r="E219" s="16" t="s">
        <v>62</v>
      </c>
      <c r="F219" s="175">
        <v>42903</v>
      </c>
      <c r="I219" s="138" t="s">
        <v>93</v>
      </c>
      <c r="AB219">
        <v>7</v>
      </c>
    </row>
    <row r="220" spans="2:28" x14ac:dyDescent="0.2">
      <c r="B220" s="13"/>
      <c r="C220" s="15"/>
      <c r="D220" s="15"/>
      <c r="E220" s="18"/>
      <c r="F220" s="19"/>
      <c r="I220" s="138" t="s">
        <v>93</v>
      </c>
      <c r="AB220">
        <v>8</v>
      </c>
    </row>
    <row r="221" spans="2:28" ht="38.25" x14ac:dyDescent="0.2">
      <c r="B221" s="20"/>
      <c r="C221" s="21" t="s">
        <v>89</v>
      </c>
      <c r="D221" s="224" t="s">
        <v>321</v>
      </c>
      <c r="E221" s="18"/>
      <c r="F221" s="19"/>
      <c r="I221" s="138" t="s">
        <v>93</v>
      </c>
      <c r="AB221">
        <v>9</v>
      </c>
    </row>
    <row r="222" spans="2:28" ht="6" customHeight="1" x14ac:dyDescent="0.2">
      <c r="B222" s="20"/>
      <c r="C222" s="21"/>
      <c r="D222" s="22"/>
      <c r="E222" s="18"/>
      <c r="F222" s="19"/>
      <c r="I222" s="138" t="s">
        <v>93</v>
      </c>
      <c r="AB222">
        <v>10</v>
      </c>
    </row>
    <row r="223" spans="2:28" ht="38.25" x14ac:dyDescent="0.2">
      <c r="B223" s="20"/>
      <c r="C223" s="21" t="s">
        <v>90</v>
      </c>
      <c r="D223" s="173" t="s">
        <v>322</v>
      </c>
      <c r="E223" s="18"/>
      <c r="F223" s="19"/>
      <c r="I223" s="138" t="s">
        <v>93</v>
      </c>
      <c r="AB223">
        <v>11</v>
      </c>
    </row>
    <row r="224" spans="2:28" ht="6" customHeight="1" x14ac:dyDescent="0.2">
      <c r="B224" s="20"/>
      <c r="C224" s="21"/>
      <c r="D224" s="22"/>
      <c r="E224" s="18"/>
      <c r="F224" s="19"/>
      <c r="I224" s="138" t="s">
        <v>93</v>
      </c>
      <c r="AB224">
        <v>12</v>
      </c>
    </row>
    <row r="225" spans="2:28" ht="63.75" x14ac:dyDescent="0.2">
      <c r="B225" s="20"/>
      <c r="C225" s="21" t="s">
        <v>3</v>
      </c>
      <c r="D225" s="173" t="s">
        <v>323</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173" t="s">
        <v>274</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26" t="s">
        <v>256</v>
      </c>
      <c r="C232" s="26">
        <v>1</v>
      </c>
      <c r="D232" s="173" t="s">
        <v>324</v>
      </c>
      <c r="E232" s="27">
        <v>42899</v>
      </c>
      <c r="F232" s="28">
        <v>42899</v>
      </c>
      <c r="I232" s="138" t="s">
        <v>93</v>
      </c>
      <c r="AB232">
        <v>20</v>
      </c>
    </row>
    <row r="233" spans="2:28" ht="25.5" x14ac:dyDescent="0.2">
      <c r="B233" s="226" t="s">
        <v>256</v>
      </c>
      <c r="C233" s="26">
        <v>2</v>
      </c>
      <c r="D233" s="173" t="s">
        <v>325</v>
      </c>
      <c r="E233" s="228" t="s">
        <v>326</v>
      </c>
      <c r="F233" s="28">
        <v>42899</v>
      </c>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26.25" thickBot="1" x14ac:dyDescent="0.25">
      <c r="B238" s="164" t="s">
        <v>109</v>
      </c>
      <c r="C238" s="165">
        <v>10</v>
      </c>
      <c r="D238" s="166" t="s">
        <v>267</v>
      </c>
      <c r="E238" s="167" t="s">
        <v>51</v>
      </c>
      <c r="F238" s="168" t="s">
        <v>257</v>
      </c>
      <c r="I238" s="138" t="s">
        <v>93</v>
      </c>
      <c r="AB238">
        <v>1</v>
      </c>
    </row>
    <row r="239" spans="2:28" x14ac:dyDescent="0.2">
      <c r="B239" s="190" t="s">
        <v>215</v>
      </c>
      <c r="C239" s="227" t="s">
        <v>304</v>
      </c>
      <c r="D239" s="192"/>
      <c r="E239" s="21"/>
      <c r="F239" s="193"/>
      <c r="I239" s="138"/>
    </row>
    <row r="240" spans="2:28" x14ac:dyDescent="0.2">
      <c r="B240" s="13" t="s">
        <v>39</v>
      </c>
      <c r="C240" s="131">
        <v>42869</v>
      </c>
      <c r="D240" s="15" t="str">
        <f>IF(OR(C243="",C244=""),"",VLOOKUP(CONCATENATE(C243," - ",C244),Exposure,2))</f>
        <v>R</v>
      </c>
      <c r="E240" s="16" t="s">
        <v>135</v>
      </c>
      <c r="F240" s="113">
        <v>1</v>
      </c>
      <c r="I240" s="138" t="s">
        <v>93</v>
      </c>
      <c r="AB240">
        <v>2</v>
      </c>
    </row>
    <row r="241" spans="2:28" x14ac:dyDescent="0.2">
      <c r="B241" s="13" t="s">
        <v>84</v>
      </c>
      <c r="C241" s="131">
        <v>42869</v>
      </c>
      <c r="D241" s="15" t="s">
        <v>126</v>
      </c>
      <c r="E241" s="16" t="s">
        <v>56</v>
      </c>
      <c r="F241" s="134" t="s">
        <v>302</v>
      </c>
      <c r="I241" s="138" t="s">
        <v>93</v>
      </c>
      <c r="AB241">
        <v>3</v>
      </c>
    </row>
    <row r="242" spans="2:28" x14ac:dyDescent="0.2">
      <c r="B242" s="13" t="s">
        <v>85</v>
      </c>
      <c r="C242" s="222" t="s">
        <v>256</v>
      </c>
      <c r="D242" s="18"/>
      <c r="E242" s="16" t="s">
        <v>91</v>
      </c>
      <c r="F242" s="134" t="s">
        <v>106</v>
      </c>
      <c r="I242" s="138" t="s">
        <v>93</v>
      </c>
      <c r="AB242">
        <v>4</v>
      </c>
    </row>
    <row r="243" spans="2:28" x14ac:dyDescent="0.2">
      <c r="B243" s="13" t="s">
        <v>44</v>
      </c>
      <c r="C243" s="133" t="s">
        <v>244</v>
      </c>
      <c r="D243" s="49" t="str">
        <f>IF(C243="","WARNING - Please enter a Probability.","")</f>
        <v/>
      </c>
      <c r="E243" s="16" t="s">
        <v>60</v>
      </c>
      <c r="F243" s="134" t="s">
        <v>107</v>
      </c>
      <c r="I243" s="138" t="s">
        <v>93</v>
      </c>
      <c r="AB243">
        <v>5</v>
      </c>
    </row>
    <row r="244" spans="2:28" x14ac:dyDescent="0.2">
      <c r="B244" s="13" t="s">
        <v>50</v>
      </c>
      <c r="C244" s="133" t="s">
        <v>244</v>
      </c>
      <c r="D244" s="15" t="s">
        <v>96</v>
      </c>
      <c r="E244" s="16" t="s">
        <v>61</v>
      </c>
      <c r="F244" s="135">
        <v>42903</v>
      </c>
      <c r="I244" s="138" t="s">
        <v>93</v>
      </c>
      <c r="AB244">
        <v>6</v>
      </c>
    </row>
    <row r="245" spans="2:28" ht="25.5" x14ac:dyDescent="0.2">
      <c r="B245" s="187" t="s">
        <v>57</v>
      </c>
      <c r="C245" s="133" t="s">
        <v>245</v>
      </c>
      <c r="D245" s="15" t="s">
        <v>99</v>
      </c>
      <c r="E245" s="16" t="s">
        <v>62</v>
      </c>
      <c r="F245" s="175">
        <v>42903</v>
      </c>
      <c r="I245" s="138" t="s">
        <v>93</v>
      </c>
      <c r="AB245">
        <v>7</v>
      </c>
    </row>
    <row r="246" spans="2:28" x14ac:dyDescent="0.2">
      <c r="B246" s="13"/>
      <c r="C246" s="15"/>
      <c r="D246" s="15"/>
      <c r="E246" s="18"/>
      <c r="F246" s="19"/>
      <c r="I246" s="138" t="s">
        <v>93</v>
      </c>
      <c r="AB246">
        <v>8</v>
      </c>
    </row>
    <row r="247" spans="2:28" ht="38.25" x14ac:dyDescent="0.2">
      <c r="B247" s="20"/>
      <c r="C247" s="21" t="s">
        <v>89</v>
      </c>
      <c r="D247" s="224" t="s">
        <v>327</v>
      </c>
      <c r="E247" s="18"/>
      <c r="F247" s="19"/>
      <c r="I247" s="138" t="s">
        <v>93</v>
      </c>
      <c r="AB247">
        <v>9</v>
      </c>
    </row>
    <row r="248" spans="2:28" ht="6" customHeight="1" x14ac:dyDescent="0.2">
      <c r="B248" s="20"/>
      <c r="C248" s="21"/>
      <c r="D248" s="22"/>
      <c r="E248" s="18"/>
      <c r="F248" s="19"/>
      <c r="I248" s="138" t="s">
        <v>93</v>
      </c>
      <c r="AB248">
        <v>10</v>
      </c>
    </row>
    <row r="249" spans="2:28" ht="51" x14ac:dyDescent="0.2">
      <c r="B249" s="20"/>
      <c r="C249" s="21" t="s">
        <v>90</v>
      </c>
      <c r="D249" s="173" t="s">
        <v>328</v>
      </c>
      <c r="E249" s="18"/>
      <c r="F249" s="19"/>
      <c r="I249" s="138" t="s">
        <v>93</v>
      </c>
      <c r="AB249">
        <v>11</v>
      </c>
    </row>
    <row r="250" spans="2:28" ht="6" customHeight="1" x14ac:dyDescent="0.2">
      <c r="B250" s="20"/>
      <c r="C250" s="21"/>
      <c r="D250" s="22"/>
      <c r="E250" s="18"/>
      <c r="F250" s="19"/>
      <c r="I250" s="138" t="s">
        <v>93</v>
      </c>
      <c r="AB250">
        <v>12</v>
      </c>
    </row>
    <row r="251" spans="2:28" ht="51" x14ac:dyDescent="0.2">
      <c r="B251" s="20"/>
      <c r="C251" s="21" t="s">
        <v>3</v>
      </c>
      <c r="D251" s="173" t="s">
        <v>329</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173" t="s">
        <v>274</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ht="25.5" x14ac:dyDescent="0.2">
      <c r="B258" s="226" t="s">
        <v>256</v>
      </c>
      <c r="C258" s="26">
        <v>1</v>
      </c>
      <c r="D258" s="173" t="s">
        <v>330</v>
      </c>
      <c r="E258" s="27">
        <v>42904</v>
      </c>
      <c r="F258" s="28">
        <v>42904</v>
      </c>
      <c r="I258" s="138" t="s">
        <v>93</v>
      </c>
      <c r="AB258">
        <v>20</v>
      </c>
    </row>
    <row r="259" spans="2:28" x14ac:dyDescent="0.2">
      <c r="B259" s="226" t="s">
        <v>256</v>
      </c>
      <c r="C259" s="26">
        <v>2</v>
      </c>
      <c r="D259" s="173" t="s">
        <v>331</v>
      </c>
      <c r="E259" s="27">
        <v>42904</v>
      </c>
      <c r="F259" s="28">
        <v>42904</v>
      </c>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08">
        <v>11</v>
      </c>
      <c r="D264" s="166" t="s">
        <v>332</v>
      </c>
      <c r="E264" s="167" t="s">
        <v>51</v>
      </c>
      <c r="F264" s="229" t="s">
        <v>257</v>
      </c>
      <c r="I264" s="138" t="s">
        <v>93</v>
      </c>
      <c r="AB264">
        <v>1</v>
      </c>
    </row>
    <row r="265" spans="2:28" x14ac:dyDescent="0.2">
      <c r="B265" s="190" t="s">
        <v>215</v>
      </c>
      <c r="C265" s="211" t="s">
        <v>333</v>
      </c>
      <c r="D265" s="192"/>
      <c r="E265" s="21"/>
      <c r="F265" s="230"/>
      <c r="I265" s="138"/>
    </row>
    <row r="266" spans="2:28" x14ac:dyDescent="0.2">
      <c r="B266" s="13" t="s">
        <v>39</v>
      </c>
      <c r="C266" s="209">
        <v>43044</v>
      </c>
      <c r="D266" s="15" t="str">
        <f>IF(OR(C269="",C270=""),"",VLOOKUP(CONCATENATE(C269," - ",C270),Exposure,2))</f>
        <v>Y</v>
      </c>
      <c r="E266" s="16" t="s">
        <v>135</v>
      </c>
      <c r="F266" s="231">
        <v>2</v>
      </c>
      <c r="I266" s="138" t="s">
        <v>93</v>
      </c>
      <c r="AB266">
        <v>2</v>
      </c>
    </row>
    <row r="267" spans="2:28" x14ac:dyDescent="0.2">
      <c r="B267" s="13" t="s">
        <v>84</v>
      </c>
      <c r="C267" s="209" t="s">
        <v>334</v>
      </c>
      <c r="D267" s="15" t="s">
        <v>126</v>
      </c>
      <c r="E267" s="16" t="s">
        <v>56</v>
      </c>
      <c r="F267" s="232" t="s">
        <v>300</v>
      </c>
      <c r="I267" s="138" t="s">
        <v>93</v>
      </c>
      <c r="AB267">
        <v>3</v>
      </c>
    </row>
    <row r="268" spans="2:28" x14ac:dyDescent="0.2">
      <c r="B268" s="13" t="s">
        <v>85</v>
      </c>
      <c r="C268" s="233" t="s">
        <v>334</v>
      </c>
      <c r="D268" s="18"/>
      <c r="E268" s="16" t="s">
        <v>91</v>
      </c>
      <c r="F268" s="232" t="s">
        <v>106</v>
      </c>
      <c r="I268" s="138" t="s">
        <v>93</v>
      </c>
      <c r="AB268">
        <v>4</v>
      </c>
    </row>
    <row r="269" spans="2:28" x14ac:dyDescent="0.2">
      <c r="B269" s="13" t="s">
        <v>44</v>
      </c>
      <c r="C269" s="234" t="s">
        <v>244</v>
      </c>
      <c r="D269" s="49" t="str">
        <f>IF(C269="","WARNING - Please enter a Probability.","")</f>
        <v/>
      </c>
      <c r="E269" s="16" t="s">
        <v>60</v>
      </c>
      <c r="F269" s="232" t="s">
        <v>107</v>
      </c>
      <c r="I269" s="138" t="s">
        <v>93</v>
      </c>
      <c r="AB269">
        <v>5</v>
      </c>
    </row>
    <row r="270" spans="2:28" x14ac:dyDescent="0.2">
      <c r="B270" s="13" t="s">
        <v>50</v>
      </c>
      <c r="C270" s="234" t="s">
        <v>250</v>
      </c>
      <c r="D270" s="15" t="s">
        <v>96</v>
      </c>
      <c r="E270" s="16" t="s">
        <v>61</v>
      </c>
      <c r="F270" s="210">
        <v>43014</v>
      </c>
      <c r="I270" s="138" t="s">
        <v>93</v>
      </c>
      <c r="AB270">
        <v>6</v>
      </c>
    </row>
    <row r="271" spans="2:28" ht="25.5" x14ac:dyDescent="0.2">
      <c r="B271" s="187" t="s">
        <v>57</v>
      </c>
      <c r="C271" s="234" t="s">
        <v>245</v>
      </c>
      <c r="D271" s="15" t="s">
        <v>249</v>
      </c>
      <c r="E271" s="16" t="s">
        <v>62</v>
      </c>
      <c r="F271" s="210">
        <v>42649</v>
      </c>
      <c r="I271" s="138" t="s">
        <v>93</v>
      </c>
      <c r="AB271">
        <v>7</v>
      </c>
    </row>
    <row r="272" spans="2:28" x14ac:dyDescent="0.2">
      <c r="B272" s="13"/>
      <c r="C272" s="15"/>
      <c r="D272" s="15"/>
      <c r="E272" s="18"/>
      <c r="F272" s="19"/>
      <c r="I272" s="138" t="s">
        <v>93</v>
      </c>
      <c r="AB272">
        <v>8</v>
      </c>
    </row>
    <row r="273" spans="2:28" ht="38.25" x14ac:dyDescent="0.2">
      <c r="B273" s="20"/>
      <c r="C273" s="21" t="s">
        <v>89</v>
      </c>
      <c r="D273" s="224" t="s">
        <v>335</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336</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337</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235" t="s">
        <v>261</v>
      </c>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174</v>
      </c>
      <c r="D283" s="48" t="s">
        <v>176</v>
      </c>
      <c r="E283" s="15" t="s">
        <v>175</v>
      </c>
      <c r="F283" s="17" t="s">
        <v>23</v>
      </c>
      <c r="I283" s="138" t="s">
        <v>93</v>
      </c>
      <c r="AB283">
        <v>19</v>
      </c>
    </row>
    <row r="284" spans="2:28" x14ac:dyDescent="0.2">
      <c r="B284" s="25" t="s">
        <v>334</v>
      </c>
      <c r="C284" s="26">
        <v>1</v>
      </c>
      <c r="D284" s="22" t="s">
        <v>338</v>
      </c>
      <c r="E284" s="27" t="s">
        <v>339</v>
      </c>
      <c r="F284" s="28"/>
      <c r="I284" s="138" t="s">
        <v>93</v>
      </c>
      <c r="AB284">
        <v>20</v>
      </c>
    </row>
    <row r="285" spans="2:28" x14ac:dyDescent="0.2">
      <c r="B285" s="25" t="s">
        <v>334</v>
      </c>
      <c r="C285" s="26">
        <v>2</v>
      </c>
      <c r="D285" s="22" t="s">
        <v>340</v>
      </c>
      <c r="E285" s="27" t="s">
        <v>341</v>
      </c>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x14ac:dyDescent="0.2">
      <c r="B288" s="25"/>
      <c r="C288" s="26"/>
      <c r="D288" s="22"/>
      <c r="E288" s="27"/>
      <c r="F288" s="28"/>
      <c r="I288" s="138" t="s">
        <v>93</v>
      </c>
      <c r="AB288">
        <v>24</v>
      </c>
    </row>
    <row r="289" spans="2:28" ht="6" customHeight="1" thickBot="1" x14ac:dyDescent="0.25">
      <c r="B289" s="29"/>
      <c r="C289" s="30"/>
      <c r="D289" s="31"/>
      <c r="E289" s="32"/>
      <c r="F289" s="33"/>
      <c r="I289" s="138" t="s">
        <v>93</v>
      </c>
      <c r="AB289">
        <v>25</v>
      </c>
    </row>
    <row r="290" spans="2:28" ht="13.5" thickBot="1" x14ac:dyDescent="0.25">
      <c r="B290" s="164" t="s">
        <v>109</v>
      </c>
      <c r="C290" s="208">
        <v>12</v>
      </c>
      <c r="D290" s="166" t="s">
        <v>342</v>
      </c>
      <c r="E290" s="167" t="s">
        <v>51</v>
      </c>
      <c r="F290" s="229" t="s">
        <v>257</v>
      </c>
      <c r="I290" s="138" t="s">
        <v>93</v>
      </c>
      <c r="AB290">
        <v>1</v>
      </c>
    </row>
    <row r="291" spans="2:28" x14ac:dyDescent="0.2">
      <c r="B291" s="190" t="s">
        <v>215</v>
      </c>
      <c r="C291" s="236" t="s">
        <v>343</v>
      </c>
      <c r="D291" s="192"/>
      <c r="E291" s="21"/>
      <c r="F291" s="230"/>
      <c r="I291" s="138"/>
    </row>
    <row r="292" spans="2:28" x14ac:dyDescent="0.2">
      <c r="B292" s="13" t="s">
        <v>39</v>
      </c>
      <c r="C292" s="221">
        <v>42866</v>
      </c>
      <c r="D292" s="15" t="str">
        <f>IF(OR(C295="",C296=""),"",VLOOKUP(CONCATENATE(C295," - ",C296),Exposure,2))</f>
        <v>Y</v>
      </c>
      <c r="E292" s="16" t="s">
        <v>135</v>
      </c>
      <c r="F292" s="231">
        <v>3</v>
      </c>
      <c r="I292" s="138" t="s">
        <v>93</v>
      </c>
      <c r="AB292">
        <v>2</v>
      </c>
    </row>
    <row r="293" spans="2:28" x14ac:dyDescent="0.2">
      <c r="B293" s="13" t="s">
        <v>84</v>
      </c>
      <c r="C293" s="209" t="s">
        <v>256</v>
      </c>
      <c r="D293" s="15" t="s">
        <v>126</v>
      </c>
      <c r="E293" s="16" t="s">
        <v>56</v>
      </c>
      <c r="F293" s="232" t="s">
        <v>142</v>
      </c>
      <c r="I293" s="138" t="s">
        <v>93</v>
      </c>
      <c r="AB293">
        <v>3</v>
      </c>
    </row>
    <row r="294" spans="2:28" x14ac:dyDescent="0.2">
      <c r="B294" s="13" t="s">
        <v>85</v>
      </c>
      <c r="C294" s="233" t="s">
        <v>256</v>
      </c>
      <c r="D294" s="18"/>
      <c r="E294" s="16" t="s">
        <v>91</v>
      </c>
      <c r="F294" s="232" t="s">
        <v>106</v>
      </c>
      <c r="I294" s="138" t="s">
        <v>93</v>
      </c>
      <c r="AB294">
        <v>4</v>
      </c>
    </row>
    <row r="295" spans="2:28" x14ac:dyDescent="0.2">
      <c r="B295" s="13" t="s">
        <v>44</v>
      </c>
      <c r="C295" s="234" t="s">
        <v>250</v>
      </c>
      <c r="D295" s="49" t="str">
        <f>IF(C295="","WARNING - Please enter a Probability.","")</f>
        <v/>
      </c>
      <c r="E295" s="16" t="s">
        <v>60</v>
      </c>
      <c r="F295" s="232" t="s">
        <v>107</v>
      </c>
      <c r="I295" s="138" t="s">
        <v>93</v>
      </c>
      <c r="AB295">
        <v>5</v>
      </c>
    </row>
    <row r="296" spans="2:28" x14ac:dyDescent="0.2">
      <c r="B296" s="13" t="s">
        <v>50</v>
      </c>
      <c r="C296" s="234" t="s">
        <v>250</v>
      </c>
      <c r="D296" s="15" t="s">
        <v>96</v>
      </c>
      <c r="E296" s="16" t="s">
        <v>61</v>
      </c>
      <c r="F296" s="210">
        <v>42865</v>
      </c>
      <c r="I296" s="138" t="s">
        <v>93</v>
      </c>
      <c r="AB296">
        <v>6</v>
      </c>
    </row>
    <row r="297" spans="2:28" ht="25.5" x14ac:dyDescent="0.2">
      <c r="B297" s="187" t="s">
        <v>57</v>
      </c>
      <c r="C297" s="234" t="s">
        <v>95</v>
      </c>
      <c r="D297" s="15" t="s">
        <v>99</v>
      </c>
      <c r="E297" s="16" t="s">
        <v>62</v>
      </c>
      <c r="F297" s="210">
        <v>42866</v>
      </c>
      <c r="I297" s="138" t="s">
        <v>93</v>
      </c>
      <c r="AB297">
        <v>7</v>
      </c>
    </row>
    <row r="298" spans="2:28" x14ac:dyDescent="0.2">
      <c r="B298" s="13"/>
      <c r="C298" s="15"/>
      <c r="D298" s="15"/>
      <c r="E298" s="18"/>
      <c r="F298" s="19"/>
      <c r="I298" s="138" t="s">
        <v>93</v>
      </c>
      <c r="AB298">
        <v>8</v>
      </c>
    </row>
    <row r="299" spans="2:28" ht="25.5" x14ac:dyDescent="0.2">
      <c r="B299" s="20"/>
      <c r="C299" s="21" t="s">
        <v>89</v>
      </c>
      <c r="D299" s="224" t="s">
        <v>344</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345</v>
      </c>
      <c r="E301" s="18"/>
      <c r="F301" s="19"/>
      <c r="I301" s="138" t="s">
        <v>93</v>
      </c>
      <c r="AB301">
        <v>11</v>
      </c>
    </row>
    <row r="302" spans="2:28" ht="6" customHeight="1" x14ac:dyDescent="0.2">
      <c r="B302" s="20"/>
      <c r="C302" s="21"/>
      <c r="D302" s="22"/>
      <c r="E302" s="18"/>
      <c r="F302" s="19"/>
      <c r="I302" s="138" t="s">
        <v>93</v>
      </c>
      <c r="AB302">
        <v>12</v>
      </c>
    </row>
    <row r="303" spans="2:28" ht="25.5" x14ac:dyDescent="0.2">
      <c r="B303" s="20"/>
      <c r="C303" s="21" t="s">
        <v>3</v>
      </c>
      <c r="D303" s="237" t="s">
        <v>346</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173" t="s">
        <v>261</v>
      </c>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256</v>
      </c>
      <c r="C310" s="26">
        <v>1</v>
      </c>
      <c r="D310" s="22" t="s">
        <v>251</v>
      </c>
      <c r="E310" s="27" t="s">
        <v>347</v>
      </c>
      <c r="F310" s="28" t="s">
        <v>86</v>
      </c>
      <c r="I310" s="138" t="s">
        <v>93</v>
      </c>
      <c r="AB310">
        <v>20</v>
      </c>
    </row>
    <row r="311" spans="2:28" x14ac:dyDescent="0.2">
      <c r="B311" s="25"/>
      <c r="C311" s="26"/>
      <c r="D311" s="22"/>
      <c r="E311" s="27"/>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38">
        <v>13</v>
      </c>
      <c r="D316" s="166" t="s">
        <v>348</v>
      </c>
      <c r="E316" s="167" t="s">
        <v>51</v>
      </c>
      <c r="F316" s="229" t="s">
        <v>257</v>
      </c>
      <c r="I316" s="138" t="s">
        <v>93</v>
      </c>
      <c r="AB316">
        <v>1</v>
      </c>
    </row>
    <row r="317" spans="2:28" x14ac:dyDescent="0.2">
      <c r="B317" s="190" t="s">
        <v>215</v>
      </c>
      <c r="C317" s="236" t="s">
        <v>349</v>
      </c>
      <c r="D317" s="192"/>
      <c r="E317" s="21"/>
      <c r="F317" s="230"/>
      <c r="I317" s="138"/>
    </row>
    <row r="318" spans="2:28" x14ac:dyDescent="0.2">
      <c r="B318" s="13" t="s">
        <v>39</v>
      </c>
      <c r="C318" s="221">
        <v>42952</v>
      </c>
      <c r="D318" s="15" t="str">
        <f>IF(OR(C321="",C322=""),"",VLOOKUP(CONCATENATE(C321," - ",C322),Exposure,2))</f>
        <v>Y</v>
      </c>
      <c r="E318" s="16" t="s">
        <v>135</v>
      </c>
      <c r="F318" s="231">
        <v>2</v>
      </c>
      <c r="I318" s="138" t="s">
        <v>93</v>
      </c>
      <c r="AB318">
        <v>2</v>
      </c>
    </row>
    <row r="319" spans="2:28" x14ac:dyDescent="0.2">
      <c r="B319" s="13" t="s">
        <v>84</v>
      </c>
      <c r="C319" s="209" t="s">
        <v>256</v>
      </c>
      <c r="D319" s="15" t="s">
        <v>126</v>
      </c>
      <c r="E319" s="16" t="s">
        <v>56</v>
      </c>
      <c r="F319" s="232" t="s">
        <v>302</v>
      </c>
      <c r="I319" s="138" t="s">
        <v>93</v>
      </c>
      <c r="AB319">
        <v>3</v>
      </c>
    </row>
    <row r="320" spans="2:28" x14ac:dyDescent="0.2">
      <c r="B320" s="13" t="s">
        <v>85</v>
      </c>
      <c r="C320" s="233" t="s">
        <v>256</v>
      </c>
      <c r="D320" s="18"/>
      <c r="E320" s="16" t="s">
        <v>91</v>
      </c>
      <c r="F320" s="232" t="s">
        <v>106</v>
      </c>
      <c r="I320" s="138" t="s">
        <v>93</v>
      </c>
      <c r="AB320">
        <v>4</v>
      </c>
    </row>
    <row r="321" spans="2:28" x14ac:dyDescent="0.2">
      <c r="B321" s="13" t="s">
        <v>44</v>
      </c>
      <c r="C321" s="234" t="s">
        <v>250</v>
      </c>
      <c r="D321" s="49" t="str">
        <f>IF(C321="","WARNING - Please enter a Probability.","")</f>
        <v/>
      </c>
      <c r="E321" s="16" t="s">
        <v>60</v>
      </c>
      <c r="F321" s="232" t="s">
        <v>107</v>
      </c>
      <c r="I321" s="138" t="s">
        <v>93</v>
      </c>
      <c r="AB321">
        <v>5</v>
      </c>
    </row>
    <row r="322" spans="2:28" x14ac:dyDescent="0.2">
      <c r="B322" s="13" t="s">
        <v>50</v>
      </c>
      <c r="C322" s="234" t="s">
        <v>94</v>
      </c>
      <c r="D322" s="15" t="s">
        <v>96</v>
      </c>
      <c r="E322" s="16" t="s">
        <v>61</v>
      </c>
      <c r="F322" s="223">
        <v>42921</v>
      </c>
      <c r="I322" s="138" t="s">
        <v>93</v>
      </c>
      <c r="AB322">
        <v>6</v>
      </c>
    </row>
    <row r="323" spans="2:28" ht="25.5" x14ac:dyDescent="0.2">
      <c r="B323" s="187" t="s">
        <v>57</v>
      </c>
      <c r="C323" s="234" t="s">
        <v>245</v>
      </c>
      <c r="D323" s="15" t="s">
        <v>249</v>
      </c>
      <c r="E323" s="16" t="s">
        <v>62</v>
      </c>
      <c r="F323" s="223">
        <v>42922</v>
      </c>
      <c r="I323" s="138" t="s">
        <v>93</v>
      </c>
      <c r="AB323">
        <v>7</v>
      </c>
    </row>
    <row r="324" spans="2:28" x14ac:dyDescent="0.2">
      <c r="B324" s="13"/>
      <c r="C324" s="15"/>
      <c r="D324" s="15"/>
      <c r="E324" s="18"/>
      <c r="F324" s="19"/>
      <c r="I324" s="138" t="s">
        <v>93</v>
      </c>
      <c r="AB324">
        <v>8</v>
      </c>
    </row>
    <row r="325" spans="2:28" ht="25.5" x14ac:dyDescent="0.2">
      <c r="B325" s="20"/>
      <c r="C325" s="21" t="s">
        <v>89</v>
      </c>
      <c r="D325" s="224" t="s">
        <v>350</v>
      </c>
      <c r="E325" s="18"/>
      <c r="F325" s="19"/>
      <c r="I325" s="138" t="s">
        <v>93</v>
      </c>
      <c r="AB325">
        <v>9</v>
      </c>
    </row>
    <row r="326" spans="2:28" ht="6" customHeight="1" x14ac:dyDescent="0.2">
      <c r="B326" s="20"/>
      <c r="C326" s="21"/>
      <c r="D326" s="22"/>
      <c r="E326" s="18"/>
      <c r="F326" s="19"/>
      <c r="I326" s="138" t="s">
        <v>93</v>
      </c>
      <c r="AB326">
        <v>10</v>
      </c>
    </row>
    <row r="327" spans="2:28" ht="25.5" x14ac:dyDescent="0.2">
      <c r="B327" s="20"/>
      <c r="C327" s="21" t="s">
        <v>90</v>
      </c>
      <c r="D327" s="22" t="s">
        <v>351</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352</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173" t="s">
        <v>261</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5" t="s">
        <v>256</v>
      </c>
      <c r="C336" s="26">
        <v>1</v>
      </c>
      <c r="D336" s="22" t="s">
        <v>353</v>
      </c>
      <c r="E336" s="27" t="s">
        <v>354</v>
      </c>
      <c r="F336" s="28" t="s">
        <v>86</v>
      </c>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38">
        <v>14</v>
      </c>
      <c r="D342" s="166" t="s">
        <v>355</v>
      </c>
      <c r="E342" s="167" t="s">
        <v>51</v>
      </c>
      <c r="F342" s="229" t="s">
        <v>257</v>
      </c>
      <c r="I342" s="138" t="s">
        <v>93</v>
      </c>
      <c r="AB342">
        <v>1</v>
      </c>
    </row>
    <row r="343" spans="2:28" x14ac:dyDescent="0.2">
      <c r="B343" s="190" t="s">
        <v>215</v>
      </c>
      <c r="C343" s="236" t="s">
        <v>356</v>
      </c>
      <c r="D343" s="192"/>
      <c r="E343" s="21"/>
      <c r="F343" s="230"/>
      <c r="I343" s="138"/>
    </row>
    <row r="344" spans="2:28" x14ac:dyDescent="0.2">
      <c r="B344" s="13" t="s">
        <v>39</v>
      </c>
      <c r="C344" s="221">
        <v>42860</v>
      </c>
      <c r="D344" s="15" t="str">
        <f>IF(OR(C347="",C348=""),"",VLOOKUP(CONCATENATE(C347," - ",C348),Exposure,2))</f>
        <v>Y</v>
      </c>
      <c r="E344" s="16" t="s">
        <v>135</v>
      </c>
      <c r="F344" s="231">
        <v>2</v>
      </c>
      <c r="I344" s="138" t="s">
        <v>93</v>
      </c>
      <c r="AB344">
        <v>2</v>
      </c>
    </row>
    <row r="345" spans="2:28" x14ac:dyDescent="0.2">
      <c r="B345" s="13" t="s">
        <v>84</v>
      </c>
      <c r="C345" s="209" t="s">
        <v>256</v>
      </c>
      <c r="D345" s="15" t="s">
        <v>126</v>
      </c>
      <c r="E345" s="16" t="s">
        <v>56</v>
      </c>
      <c r="F345" s="232" t="s">
        <v>302</v>
      </c>
      <c r="I345" s="138" t="s">
        <v>93</v>
      </c>
      <c r="AB345">
        <v>3</v>
      </c>
    </row>
    <row r="346" spans="2:28" x14ac:dyDescent="0.2">
      <c r="B346" s="13" t="s">
        <v>85</v>
      </c>
      <c r="C346" s="233" t="s">
        <v>256</v>
      </c>
      <c r="D346" s="18"/>
      <c r="E346" s="16" t="s">
        <v>91</v>
      </c>
      <c r="F346" s="232" t="s">
        <v>106</v>
      </c>
      <c r="I346" s="138" t="s">
        <v>93</v>
      </c>
      <c r="AB346">
        <v>4</v>
      </c>
    </row>
    <row r="347" spans="2:28" x14ac:dyDescent="0.2">
      <c r="B347" s="13" t="s">
        <v>44</v>
      </c>
      <c r="C347" s="234" t="s">
        <v>94</v>
      </c>
      <c r="D347" s="49" t="str">
        <f>IF(C347="","WARNING - Please enter a Probability.","")</f>
        <v/>
      </c>
      <c r="E347" s="16" t="s">
        <v>60</v>
      </c>
      <c r="F347" s="232" t="s">
        <v>107</v>
      </c>
      <c r="I347" s="138" t="s">
        <v>93</v>
      </c>
      <c r="AB347">
        <v>5</v>
      </c>
    </row>
    <row r="348" spans="2:28" x14ac:dyDescent="0.2">
      <c r="B348" s="13" t="s">
        <v>50</v>
      </c>
      <c r="C348" s="234" t="s">
        <v>244</v>
      </c>
      <c r="D348" s="15" t="s">
        <v>96</v>
      </c>
      <c r="E348" s="16" t="s">
        <v>61</v>
      </c>
      <c r="F348" s="223">
        <v>42830</v>
      </c>
      <c r="I348" s="138" t="s">
        <v>93</v>
      </c>
      <c r="AB348">
        <v>6</v>
      </c>
    </row>
    <row r="349" spans="2:28" ht="25.5" x14ac:dyDescent="0.2">
      <c r="B349" s="187" t="s">
        <v>57</v>
      </c>
      <c r="C349" s="234" t="s">
        <v>245</v>
      </c>
      <c r="D349" s="15" t="s">
        <v>249</v>
      </c>
      <c r="E349" s="16" t="s">
        <v>62</v>
      </c>
      <c r="F349" s="223">
        <v>42831</v>
      </c>
      <c r="I349" s="138" t="s">
        <v>93</v>
      </c>
      <c r="AB349">
        <v>7</v>
      </c>
    </row>
    <row r="350" spans="2:28" x14ac:dyDescent="0.2">
      <c r="B350" s="13"/>
      <c r="C350" s="15"/>
      <c r="D350" s="15"/>
      <c r="E350" s="18"/>
      <c r="F350" s="19"/>
      <c r="I350" s="138" t="s">
        <v>93</v>
      </c>
      <c r="AB350">
        <v>8</v>
      </c>
    </row>
    <row r="351" spans="2:28" ht="38.25" x14ac:dyDescent="0.2">
      <c r="B351" s="20"/>
      <c r="C351" s="21" t="s">
        <v>89</v>
      </c>
      <c r="D351" s="224" t="s">
        <v>357</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2" t="s">
        <v>358</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22" t="s">
        <v>359</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173" t="s">
        <v>261</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5" t="s">
        <v>256</v>
      </c>
      <c r="C362" s="26">
        <v>1</v>
      </c>
      <c r="D362" s="22" t="s">
        <v>360</v>
      </c>
      <c r="E362" s="27" t="s">
        <v>361</v>
      </c>
      <c r="F362" s="28" t="s">
        <v>86</v>
      </c>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38">
        <v>15</v>
      </c>
      <c r="D368" s="166" t="s">
        <v>362</v>
      </c>
      <c r="E368" s="167" t="s">
        <v>51</v>
      </c>
      <c r="F368" s="229" t="s">
        <v>257</v>
      </c>
      <c r="I368" s="138" t="s">
        <v>93</v>
      </c>
      <c r="AB368">
        <v>1</v>
      </c>
    </row>
    <row r="369" spans="2:28" x14ac:dyDescent="0.2">
      <c r="B369" s="190" t="s">
        <v>215</v>
      </c>
      <c r="C369" s="236" t="s">
        <v>363</v>
      </c>
      <c r="D369" s="192"/>
      <c r="E369" s="21"/>
      <c r="F369" s="230"/>
      <c r="I369" s="138"/>
    </row>
    <row r="370" spans="2:28" x14ac:dyDescent="0.2">
      <c r="B370" s="13" t="s">
        <v>39</v>
      </c>
      <c r="C370" s="209" t="s">
        <v>364</v>
      </c>
      <c r="D370" s="15" t="str">
        <f>IF(OR(C373="",C374=""),"",VLOOKUP(CONCATENATE(C373," - ",C374),Exposure,2))</f>
        <v>Y</v>
      </c>
      <c r="E370" s="16" t="s">
        <v>135</v>
      </c>
      <c r="F370" s="231">
        <v>1</v>
      </c>
      <c r="I370" s="138" t="s">
        <v>93</v>
      </c>
      <c r="AB370">
        <v>2</v>
      </c>
    </row>
    <row r="371" spans="2:28" x14ac:dyDescent="0.2">
      <c r="B371" s="13" t="s">
        <v>84</v>
      </c>
      <c r="C371" s="209" t="s">
        <v>256</v>
      </c>
      <c r="D371" s="15" t="s">
        <v>126</v>
      </c>
      <c r="E371" s="16" t="s">
        <v>56</v>
      </c>
      <c r="F371" s="232" t="s">
        <v>365</v>
      </c>
      <c r="I371" s="138" t="s">
        <v>93</v>
      </c>
      <c r="AB371">
        <v>3</v>
      </c>
    </row>
    <row r="372" spans="2:28" x14ac:dyDescent="0.2">
      <c r="B372" s="13" t="s">
        <v>85</v>
      </c>
      <c r="C372" s="233" t="s">
        <v>256</v>
      </c>
      <c r="D372" s="18"/>
      <c r="E372" s="16" t="s">
        <v>91</v>
      </c>
      <c r="F372" s="232" t="s">
        <v>106</v>
      </c>
      <c r="I372" s="138" t="s">
        <v>93</v>
      </c>
      <c r="AB372">
        <v>4</v>
      </c>
    </row>
    <row r="373" spans="2:28" x14ac:dyDescent="0.2">
      <c r="B373" s="13" t="s">
        <v>44</v>
      </c>
      <c r="C373" s="234" t="s">
        <v>94</v>
      </c>
      <c r="D373" s="49" t="str">
        <f>IF(C373="","WARNING - Please enter a Probability.","")</f>
        <v/>
      </c>
      <c r="E373" s="16" t="s">
        <v>60</v>
      </c>
      <c r="F373" s="232" t="s">
        <v>107</v>
      </c>
      <c r="I373" s="138" t="s">
        <v>93</v>
      </c>
      <c r="AB373">
        <v>5</v>
      </c>
    </row>
    <row r="374" spans="2:28" x14ac:dyDescent="0.2">
      <c r="B374" s="13" t="s">
        <v>50</v>
      </c>
      <c r="C374" s="234" t="s">
        <v>244</v>
      </c>
      <c r="D374" s="15" t="s">
        <v>96</v>
      </c>
      <c r="E374" s="16" t="s">
        <v>61</v>
      </c>
      <c r="F374" s="210" t="s">
        <v>366</v>
      </c>
      <c r="I374" s="138" t="s">
        <v>93</v>
      </c>
      <c r="AB374">
        <v>6</v>
      </c>
    </row>
    <row r="375" spans="2:28" ht="25.5" x14ac:dyDescent="0.2">
      <c r="B375" s="187" t="s">
        <v>57</v>
      </c>
      <c r="C375" s="234" t="s">
        <v>95</v>
      </c>
      <c r="D375" s="15" t="s">
        <v>249</v>
      </c>
      <c r="E375" s="16" t="s">
        <v>62</v>
      </c>
      <c r="F375" s="210" t="s">
        <v>367</v>
      </c>
      <c r="I375" s="138" t="s">
        <v>93</v>
      </c>
      <c r="AB375">
        <v>7</v>
      </c>
    </row>
    <row r="376" spans="2:28" x14ac:dyDescent="0.2">
      <c r="B376" s="13"/>
      <c r="C376" s="15"/>
      <c r="D376" s="15"/>
      <c r="E376" s="18"/>
      <c r="F376" s="19"/>
      <c r="I376" s="138" t="s">
        <v>93</v>
      </c>
      <c r="AB376">
        <v>8</v>
      </c>
    </row>
    <row r="377" spans="2:28" x14ac:dyDescent="0.2">
      <c r="B377" s="20"/>
      <c r="C377" s="21" t="s">
        <v>89</v>
      </c>
      <c r="D377" s="224" t="s">
        <v>368</v>
      </c>
      <c r="E377" s="18"/>
      <c r="F377" s="19"/>
      <c r="I377" s="138" t="s">
        <v>93</v>
      </c>
      <c r="AB377">
        <v>9</v>
      </c>
    </row>
    <row r="378" spans="2:28" ht="6" customHeight="1" x14ac:dyDescent="0.2">
      <c r="B378" s="20"/>
      <c r="C378" s="21"/>
      <c r="D378" s="22"/>
      <c r="E378" s="18"/>
      <c r="F378" s="19"/>
      <c r="I378" s="138" t="s">
        <v>93</v>
      </c>
      <c r="AB378">
        <v>10</v>
      </c>
    </row>
    <row r="379" spans="2:28" ht="25.5" x14ac:dyDescent="0.2">
      <c r="B379" s="20"/>
      <c r="C379" s="21" t="s">
        <v>90</v>
      </c>
      <c r="D379" s="22" t="s">
        <v>369</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370</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173" t="s">
        <v>261</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5" t="s">
        <v>256</v>
      </c>
      <c r="C388" s="26">
        <v>1</v>
      </c>
      <c r="D388" s="22" t="s">
        <v>371</v>
      </c>
      <c r="E388" s="27" t="s">
        <v>372</v>
      </c>
      <c r="F388" s="28" t="s">
        <v>86</v>
      </c>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165">
        <v>16</v>
      </c>
      <c r="D394" s="166" t="s">
        <v>373</v>
      </c>
      <c r="E394" s="167" t="s">
        <v>51</v>
      </c>
      <c r="F394" s="168" t="s">
        <v>257</v>
      </c>
      <c r="I394" s="138" t="s">
        <v>93</v>
      </c>
      <c r="AB394">
        <v>1</v>
      </c>
    </row>
    <row r="395" spans="2:28" x14ac:dyDescent="0.2">
      <c r="B395" s="190" t="s">
        <v>215</v>
      </c>
      <c r="C395" s="191"/>
      <c r="D395" s="192"/>
      <c r="E395" s="21"/>
      <c r="F395" s="193"/>
      <c r="I395" s="138"/>
    </row>
    <row r="396" spans="2:28" x14ac:dyDescent="0.2">
      <c r="B396" s="13" t="s">
        <v>39</v>
      </c>
      <c r="C396" s="131">
        <v>42902</v>
      </c>
      <c r="D396" s="15" t="str">
        <f>IF(OR(C399="",C400=""),"",VLOOKUP(CONCATENATE(C399," - ",C400),Exposure,2))</f>
        <v>R</v>
      </c>
      <c r="E396" s="16" t="s">
        <v>135</v>
      </c>
      <c r="F396" s="113">
        <v>1</v>
      </c>
      <c r="I396" s="138" t="s">
        <v>93</v>
      </c>
      <c r="AB396">
        <v>2</v>
      </c>
    </row>
    <row r="397" spans="2:28" x14ac:dyDescent="0.2">
      <c r="B397" s="13" t="s">
        <v>84</v>
      </c>
      <c r="C397" s="221" t="s">
        <v>256</v>
      </c>
      <c r="D397" s="15" t="s">
        <v>126</v>
      </c>
      <c r="E397" s="16" t="s">
        <v>56</v>
      </c>
      <c r="F397" s="134" t="s">
        <v>258</v>
      </c>
      <c r="I397" s="138" t="s">
        <v>93</v>
      </c>
      <c r="AB397">
        <v>3</v>
      </c>
    </row>
    <row r="398" spans="2:28" x14ac:dyDescent="0.2">
      <c r="B398" s="13" t="s">
        <v>85</v>
      </c>
      <c r="C398" s="222" t="s">
        <v>256</v>
      </c>
      <c r="D398" s="18"/>
      <c r="E398" s="16" t="s">
        <v>91</v>
      </c>
      <c r="F398" s="134" t="s">
        <v>106</v>
      </c>
      <c r="I398" s="138" t="s">
        <v>93</v>
      </c>
      <c r="AB398">
        <v>4</v>
      </c>
    </row>
    <row r="399" spans="2:28" x14ac:dyDescent="0.2">
      <c r="B399" s="13" t="s">
        <v>44</v>
      </c>
      <c r="C399" s="133" t="s">
        <v>244</v>
      </c>
      <c r="D399" s="49" t="str">
        <f>IF(C399="","WARNING - Please enter a Probability.","")</f>
        <v/>
      </c>
      <c r="E399" s="16" t="s">
        <v>60</v>
      </c>
      <c r="F399" s="134" t="s">
        <v>107</v>
      </c>
      <c r="I399" s="138" t="s">
        <v>93</v>
      </c>
      <c r="AB399">
        <v>5</v>
      </c>
    </row>
    <row r="400" spans="2:28" x14ac:dyDescent="0.2">
      <c r="B400" s="13" t="s">
        <v>50</v>
      </c>
      <c r="C400" s="133" t="s">
        <v>374</v>
      </c>
      <c r="D400" s="15" t="s">
        <v>96</v>
      </c>
      <c r="E400" s="16" t="s">
        <v>61</v>
      </c>
      <c r="F400" s="135">
        <v>42903</v>
      </c>
      <c r="I400" s="138" t="s">
        <v>93</v>
      </c>
      <c r="AB400">
        <v>6</v>
      </c>
    </row>
    <row r="401" spans="2:28" ht="25.5" x14ac:dyDescent="0.2">
      <c r="B401" s="187" t="s">
        <v>57</v>
      </c>
      <c r="C401" s="133" t="s">
        <v>245</v>
      </c>
      <c r="D401" s="15" t="s">
        <v>99</v>
      </c>
      <c r="E401" s="16" t="s">
        <v>62</v>
      </c>
      <c r="F401" s="175">
        <v>42903</v>
      </c>
      <c r="I401" s="138" t="s">
        <v>93</v>
      </c>
      <c r="AB401">
        <v>7</v>
      </c>
    </row>
    <row r="402" spans="2:28" x14ac:dyDescent="0.2">
      <c r="B402" s="13"/>
      <c r="C402" s="15"/>
      <c r="D402" s="15"/>
      <c r="E402" s="18"/>
      <c r="F402" s="19"/>
      <c r="I402" s="138" t="s">
        <v>93</v>
      </c>
      <c r="AB402">
        <v>8</v>
      </c>
    </row>
    <row r="403" spans="2:28" ht="38.25" x14ac:dyDescent="0.2">
      <c r="B403" s="20"/>
      <c r="C403" s="21" t="s">
        <v>89</v>
      </c>
      <c r="D403" s="224" t="s">
        <v>375</v>
      </c>
      <c r="E403" s="18"/>
      <c r="F403" s="19"/>
      <c r="I403" s="138" t="s">
        <v>93</v>
      </c>
      <c r="AB403">
        <v>9</v>
      </c>
    </row>
    <row r="404" spans="2:28" ht="6" customHeight="1" x14ac:dyDescent="0.2">
      <c r="B404" s="20"/>
      <c r="C404" s="21"/>
      <c r="D404" s="22"/>
      <c r="E404" s="18"/>
      <c r="F404" s="19"/>
      <c r="I404" s="138" t="s">
        <v>93</v>
      </c>
      <c r="AB404">
        <v>10</v>
      </c>
    </row>
    <row r="405" spans="2:28" ht="38.25" x14ac:dyDescent="0.2">
      <c r="B405" s="20"/>
      <c r="C405" s="21" t="s">
        <v>90</v>
      </c>
      <c r="D405" s="173" t="s">
        <v>376</v>
      </c>
      <c r="E405" s="18"/>
      <c r="F405" s="19"/>
      <c r="I405" s="138" t="s">
        <v>93</v>
      </c>
      <c r="AB405">
        <v>11</v>
      </c>
    </row>
    <row r="406" spans="2:28" ht="6" customHeight="1" x14ac:dyDescent="0.2">
      <c r="B406" s="20"/>
      <c r="C406" s="21"/>
      <c r="D406" s="22"/>
      <c r="E406" s="18"/>
      <c r="F406" s="19"/>
      <c r="I406" s="138" t="s">
        <v>93</v>
      </c>
      <c r="AB406">
        <v>12</v>
      </c>
    </row>
    <row r="407" spans="2:28" ht="38.25" x14ac:dyDescent="0.2">
      <c r="B407" s="20"/>
      <c r="C407" s="21" t="s">
        <v>3</v>
      </c>
      <c r="D407" s="173" t="s">
        <v>377</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173" t="s">
        <v>261</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ht="25.5" x14ac:dyDescent="0.2">
      <c r="B414" s="226" t="s">
        <v>256</v>
      </c>
      <c r="C414" s="26">
        <v>1</v>
      </c>
      <c r="D414" s="173" t="s">
        <v>378</v>
      </c>
      <c r="E414" s="27">
        <v>42902</v>
      </c>
      <c r="F414" s="28">
        <v>42902</v>
      </c>
      <c r="I414" s="138" t="s">
        <v>93</v>
      </c>
      <c r="AB414">
        <v>20</v>
      </c>
    </row>
    <row r="415" spans="2:28" x14ac:dyDescent="0.2">
      <c r="B415" s="226"/>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65">
        <v>17</v>
      </c>
      <c r="D420" s="166"/>
      <c r="E420" s="167" t="s">
        <v>51</v>
      </c>
      <c r="F420" s="168" t="s">
        <v>104</v>
      </c>
      <c r="I420" s="138" t="s">
        <v>93</v>
      </c>
      <c r="AB420">
        <v>1</v>
      </c>
    </row>
    <row r="421" spans="2:28" x14ac:dyDescent="0.2">
      <c r="B421" s="190" t="s">
        <v>215</v>
      </c>
      <c r="C421" s="191"/>
      <c r="D421" s="192"/>
      <c r="E421" s="21"/>
      <c r="F421" s="193"/>
      <c r="I421" s="138"/>
    </row>
    <row r="422" spans="2:28" x14ac:dyDescent="0.2">
      <c r="B422" s="13" t="s">
        <v>39</v>
      </c>
      <c r="C422" s="131" t="s">
        <v>86</v>
      </c>
      <c r="D422" s="15" t="str">
        <f>IF(OR(C425="",C426=""),"",VLOOKUP(CONCATENATE(C425," - ",C426),Exposure,2))</f>
        <v>G</v>
      </c>
      <c r="E422" s="16" t="s">
        <v>135</v>
      </c>
      <c r="F422" s="113">
        <v>1</v>
      </c>
      <c r="I422" s="138" t="s">
        <v>93</v>
      </c>
      <c r="AB422">
        <v>2</v>
      </c>
    </row>
    <row r="423" spans="2:28" x14ac:dyDescent="0.2">
      <c r="B423" s="13" t="s">
        <v>84</v>
      </c>
      <c r="C423" s="131" t="s">
        <v>87</v>
      </c>
      <c r="D423" s="15" t="s">
        <v>126</v>
      </c>
      <c r="E423" s="16" t="s">
        <v>56</v>
      </c>
      <c r="F423" s="134" t="s">
        <v>142</v>
      </c>
      <c r="I423" s="138" t="s">
        <v>93</v>
      </c>
      <c r="AB423">
        <v>3</v>
      </c>
    </row>
    <row r="424" spans="2:28" x14ac:dyDescent="0.2">
      <c r="B424" s="13" t="s">
        <v>85</v>
      </c>
      <c r="C424" s="132" t="s">
        <v>87</v>
      </c>
      <c r="D424" s="18"/>
      <c r="E424" s="16" t="s">
        <v>91</v>
      </c>
      <c r="F424" s="134" t="s">
        <v>106</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94</v>
      </c>
      <c r="D426" s="15" t="s">
        <v>96</v>
      </c>
      <c r="E426" s="16" t="s">
        <v>61</v>
      </c>
      <c r="F426" s="135" t="s">
        <v>86</v>
      </c>
      <c r="I426" s="138" t="s">
        <v>93</v>
      </c>
      <c r="AB426">
        <v>6</v>
      </c>
    </row>
    <row r="427" spans="2:28" ht="25.5" x14ac:dyDescent="0.2">
      <c r="B427" s="187" t="s">
        <v>57</v>
      </c>
      <c r="C427" s="133" t="s">
        <v>95</v>
      </c>
      <c r="D427" s="15" t="s">
        <v>99</v>
      </c>
      <c r="E427" s="16" t="s">
        <v>62</v>
      </c>
      <c r="F427" s="175" t="s">
        <v>86</v>
      </c>
      <c r="I427" s="138" t="s">
        <v>93</v>
      </c>
      <c r="AB427">
        <v>7</v>
      </c>
    </row>
    <row r="428" spans="2:28" x14ac:dyDescent="0.2">
      <c r="B428" s="13"/>
      <c r="C428" s="15"/>
      <c r="D428" s="15"/>
      <c r="E428" s="18"/>
      <c r="F428" s="19"/>
      <c r="I428" s="138" t="s">
        <v>93</v>
      </c>
      <c r="AB428">
        <v>8</v>
      </c>
    </row>
    <row r="429" spans="2:28" x14ac:dyDescent="0.2">
      <c r="B429" s="20"/>
      <c r="C429" s="21" t="s">
        <v>89</v>
      </c>
      <c r="D429" s="174" t="s">
        <v>110</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111</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87</v>
      </c>
      <c r="C440" s="26">
        <v>1</v>
      </c>
      <c r="D440" s="22" t="s">
        <v>100</v>
      </c>
      <c r="E440" s="27" t="s">
        <v>86</v>
      </c>
      <c r="F440" s="28" t="s">
        <v>86</v>
      </c>
      <c r="I440" s="138" t="s">
        <v>93</v>
      </c>
      <c r="AB440">
        <v>20</v>
      </c>
    </row>
    <row r="441" spans="2:28" x14ac:dyDescent="0.2">
      <c r="B441" s="25" t="s">
        <v>87</v>
      </c>
      <c r="C441" s="26">
        <v>2</v>
      </c>
      <c r="D441" s="22" t="s">
        <v>101</v>
      </c>
      <c r="E441" s="27" t="s">
        <v>86</v>
      </c>
      <c r="F441" s="28" t="s">
        <v>86</v>
      </c>
      <c r="I441" s="138" t="s">
        <v>93</v>
      </c>
      <c r="AB441">
        <v>21</v>
      </c>
    </row>
    <row r="442" spans="2:28" x14ac:dyDescent="0.2">
      <c r="B442" s="25" t="s">
        <v>87</v>
      </c>
      <c r="C442" s="26">
        <v>3</v>
      </c>
      <c r="D442" s="22" t="s">
        <v>102</v>
      </c>
      <c r="E442" s="27" t="s">
        <v>86</v>
      </c>
      <c r="F442" s="28" t="s">
        <v>86</v>
      </c>
      <c r="I442" s="138" t="s">
        <v>93</v>
      </c>
      <c r="AB442">
        <v>22</v>
      </c>
    </row>
    <row r="443" spans="2:28" x14ac:dyDescent="0.2">
      <c r="B443" s="25" t="s">
        <v>87</v>
      </c>
      <c r="C443" s="26">
        <v>4</v>
      </c>
      <c r="D443" s="22" t="s">
        <v>103</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65">
        <v>18</v>
      </c>
      <c r="D446" s="166"/>
      <c r="E446" s="167" t="s">
        <v>51</v>
      </c>
      <c r="F446" s="168" t="s">
        <v>104</v>
      </c>
      <c r="I446" s="138" t="s">
        <v>93</v>
      </c>
      <c r="AB446">
        <v>1</v>
      </c>
    </row>
    <row r="447" spans="2:28" x14ac:dyDescent="0.2">
      <c r="B447" s="190" t="s">
        <v>215</v>
      </c>
      <c r="C447" s="191"/>
      <c r="D447" s="192"/>
      <c r="E447" s="21"/>
      <c r="F447" s="193"/>
      <c r="I447" s="138"/>
    </row>
    <row r="448" spans="2:28" x14ac:dyDescent="0.2">
      <c r="B448" s="13" t="s">
        <v>39</v>
      </c>
      <c r="C448" s="131" t="s">
        <v>86</v>
      </c>
      <c r="D448" s="15" t="str">
        <f>IF(OR(C451="",C452=""),"",VLOOKUP(CONCATENATE(C451," - ",C452),Exposure,2))</f>
        <v>G</v>
      </c>
      <c r="E448" s="16" t="s">
        <v>135</v>
      </c>
      <c r="F448" s="113">
        <v>1</v>
      </c>
      <c r="I448" s="138" t="s">
        <v>93</v>
      </c>
      <c r="AB448">
        <v>2</v>
      </c>
    </row>
    <row r="449" spans="2:28" x14ac:dyDescent="0.2">
      <c r="B449" s="13" t="s">
        <v>84</v>
      </c>
      <c r="C449" s="131" t="s">
        <v>87</v>
      </c>
      <c r="D449" s="15" t="s">
        <v>126</v>
      </c>
      <c r="E449" s="16" t="s">
        <v>56</v>
      </c>
      <c r="F449" s="134" t="s">
        <v>142</v>
      </c>
      <c r="I449" s="138" t="s">
        <v>93</v>
      </c>
      <c r="AB449">
        <v>3</v>
      </c>
    </row>
    <row r="450" spans="2:28" x14ac:dyDescent="0.2">
      <c r="B450" s="13" t="s">
        <v>85</v>
      </c>
      <c r="C450" s="132" t="s">
        <v>87</v>
      </c>
      <c r="D450" s="18"/>
      <c r="E450" s="16" t="s">
        <v>91</v>
      </c>
      <c r="F450" s="134" t="s">
        <v>106</v>
      </c>
      <c r="I450" s="138" t="s">
        <v>93</v>
      </c>
      <c r="AB450">
        <v>4</v>
      </c>
    </row>
    <row r="451" spans="2:28" x14ac:dyDescent="0.2">
      <c r="B451" s="13" t="s">
        <v>44</v>
      </c>
      <c r="C451" s="133" t="s">
        <v>94</v>
      </c>
      <c r="D451" s="49" t="str">
        <f>IF(C451="","WARNING - Please enter a Probability.","")</f>
        <v/>
      </c>
      <c r="E451" s="16" t="s">
        <v>60</v>
      </c>
      <c r="F451" s="134" t="s">
        <v>107</v>
      </c>
      <c r="I451" s="138" t="s">
        <v>93</v>
      </c>
      <c r="AB451">
        <v>5</v>
      </c>
    </row>
    <row r="452" spans="2:28" x14ac:dyDescent="0.2">
      <c r="B452" s="13" t="s">
        <v>50</v>
      </c>
      <c r="C452" s="133" t="s">
        <v>94</v>
      </c>
      <c r="D452" s="15" t="s">
        <v>96</v>
      </c>
      <c r="E452" s="16" t="s">
        <v>61</v>
      </c>
      <c r="F452" s="135" t="s">
        <v>86</v>
      </c>
      <c r="I452" s="138" t="s">
        <v>93</v>
      </c>
      <c r="AB452">
        <v>6</v>
      </c>
    </row>
    <row r="453" spans="2:28" ht="25.5" x14ac:dyDescent="0.2">
      <c r="B453" s="187" t="s">
        <v>57</v>
      </c>
      <c r="C453" s="133" t="s">
        <v>95</v>
      </c>
      <c r="D453" s="15" t="s">
        <v>99</v>
      </c>
      <c r="E453" s="16" t="s">
        <v>62</v>
      </c>
      <c r="F453" s="175" t="s">
        <v>86</v>
      </c>
      <c r="I453" s="138" t="s">
        <v>93</v>
      </c>
      <c r="AB453">
        <v>7</v>
      </c>
    </row>
    <row r="454" spans="2:28" x14ac:dyDescent="0.2">
      <c r="B454" s="13"/>
      <c r="C454" s="15"/>
      <c r="D454" s="15"/>
      <c r="E454" s="18"/>
      <c r="F454" s="19"/>
      <c r="I454" s="138" t="s">
        <v>93</v>
      </c>
      <c r="AB454">
        <v>8</v>
      </c>
    </row>
    <row r="455" spans="2:28" x14ac:dyDescent="0.2">
      <c r="B455" s="20"/>
      <c r="C455" s="21" t="s">
        <v>89</v>
      </c>
      <c r="D455" s="174" t="s">
        <v>110</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111</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87</v>
      </c>
      <c r="C466" s="26">
        <v>1</v>
      </c>
      <c r="D466" s="22" t="s">
        <v>100</v>
      </c>
      <c r="E466" s="27" t="s">
        <v>86</v>
      </c>
      <c r="F466" s="28" t="s">
        <v>86</v>
      </c>
      <c r="I466" s="138" t="s">
        <v>93</v>
      </c>
      <c r="AB466">
        <v>20</v>
      </c>
    </row>
    <row r="467" spans="2:28" x14ac:dyDescent="0.2">
      <c r="B467" s="25" t="s">
        <v>87</v>
      </c>
      <c r="C467" s="26">
        <v>2</v>
      </c>
      <c r="D467" s="22" t="s">
        <v>101</v>
      </c>
      <c r="E467" s="27" t="s">
        <v>86</v>
      </c>
      <c r="F467" s="28" t="s">
        <v>86</v>
      </c>
      <c r="I467" s="138" t="s">
        <v>93</v>
      </c>
      <c r="AB467">
        <v>21</v>
      </c>
    </row>
    <row r="468" spans="2:28" x14ac:dyDescent="0.2">
      <c r="B468" s="25" t="s">
        <v>87</v>
      </c>
      <c r="C468" s="26">
        <v>3</v>
      </c>
      <c r="D468" s="22" t="s">
        <v>102</v>
      </c>
      <c r="E468" s="27" t="s">
        <v>86</v>
      </c>
      <c r="F468" s="28" t="s">
        <v>86</v>
      </c>
      <c r="I468" s="138" t="s">
        <v>93</v>
      </c>
      <c r="AB468">
        <v>22</v>
      </c>
    </row>
    <row r="469" spans="2:28" x14ac:dyDescent="0.2">
      <c r="B469" s="25" t="s">
        <v>87</v>
      </c>
      <c r="C469" s="26">
        <v>4</v>
      </c>
      <c r="D469" s="22" t="s">
        <v>103</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165">
        <v>19</v>
      </c>
      <c r="D472" s="166"/>
      <c r="E472" s="167" t="s">
        <v>51</v>
      </c>
      <c r="F472" s="168" t="s">
        <v>104</v>
      </c>
      <c r="I472" s="138" t="s">
        <v>93</v>
      </c>
      <c r="AB472">
        <v>1</v>
      </c>
    </row>
    <row r="473" spans="2:28" x14ac:dyDescent="0.2">
      <c r="B473" s="190" t="s">
        <v>215</v>
      </c>
      <c r="C473" s="191"/>
      <c r="D473" s="192"/>
      <c r="E473" s="21"/>
      <c r="F473" s="193"/>
      <c r="I473" s="138"/>
    </row>
    <row r="474" spans="2:28" x14ac:dyDescent="0.2">
      <c r="B474" s="13" t="s">
        <v>39</v>
      </c>
      <c r="C474" s="131" t="s">
        <v>86</v>
      </c>
      <c r="D474" s="15" t="str">
        <f>IF(OR(C477="",C478=""),"",VLOOKUP(CONCATENATE(C477," - ",C478),Exposure,2))</f>
        <v>G</v>
      </c>
      <c r="E474" s="16" t="s">
        <v>135</v>
      </c>
      <c r="F474" s="113">
        <v>1</v>
      </c>
      <c r="I474" s="138" t="s">
        <v>93</v>
      </c>
      <c r="AB474">
        <v>2</v>
      </c>
    </row>
    <row r="475" spans="2:28" x14ac:dyDescent="0.2">
      <c r="B475" s="13" t="s">
        <v>84</v>
      </c>
      <c r="C475" s="131" t="s">
        <v>87</v>
      </c>
      <c r="D475" s="15" t="s">
        <v>126</v>
      </c>
      <c r="E475" s="16" t="s">
        <v>56</v>
      </c>
      <c r="F475" s="134" t="s">
        <v>142</v>
      </c>
      <c r="I475" s="138" t="s">
        <v>93</v>
      </c>
      <c r="AB475">
        <v>3</v>
      </c>
    </row>
    <row r="476" spans="2:28" x14ac:dyDescent="0.2">
      <c r="B476" s="13" t="s">
        <v>85</v>
      </c>
      <c r="C476" s="132" t="s">
        <v>87</v>
      </c>
      <c r="D476" s="18"/>
      <c r="E476" s="16" t="s">
        <v>91</v>
      </c>
      <c r="F476" s="134" t="s">
        <v>106</v>
      </c>
      <c r="I476" s="138" t="s">
        <v>93</v>
      </c>
      <c r="AB476">
        <v>4</v>
      </c>
    </row>
    <row r="477" spans="2:28" x14ac:dyDescent="0.2">
      <c r="B477" s="13" t="s">
        <v>44</v>
      </c>
      <c r="C477" s="133" t="s">
        <v>94</v>
      </c>
      <c r="D477" s="49" t="str">
        <f>IF(C477="","WARNING - Please enter a Probability.","")</f>
        <v/>
      </c>
      <c r="E477" s="16" t="s">
        <v>60</v>
      </c>
      <c r="F477" s="134" t="s">
        <v>107</v>
      </c>
      <c r="I477" s="138" t="s">
        <v>93</v>
      </c>
      <c r="AB477">
        <v>5</v>
      </c>
    </row>
    <row r="478" spans="2:28" x14ac:dyDescent="0.2">
      <c r="B478" s="13" t="s">
        <v>50</v>
      </c>
      <c r="C478" s="133" t="s">
        <v>94</v>
      </c>
      <c r="D478" s="15" t="s">
        <v>96</v>
      </c>
      <c r="E478" s="16" t="s">
        <v>61</v>
      </c>
      <c r="F478" s="135" t="s">
        <v>86</v>
      </c>
      <c r="I478" s="138" t="s">
        <v>93</v>
      </c>
      <c r="AB478">
        <v>6</v>
      </c>
    </row>
    <row r="479" spans="2:28" ht="25.5" x14ac:dyDescent="0.2">
      <c r="B479" s="187" t="s">
        <v>57</v>
      </c>
      <c r="C479" s="133" t="s">
        <v>95</v>
      </c>
      <c r="D479" s="15" t="s">
        <v>99</v>
      </c>
      <c r="E479" s="16" t="s">
        <v>62</v>
      </c>
      <c r="F479" s="175" t="s">
        <v>86</v>
      </c>
      <c r="I479" s="138" t="s">
        <v>93</v>
      </c>
      <c r="AB479">
        <v>7</v>
      </c>
    </row>
    <row r="480" spans="2:28" x14ac:dyDescent="0.2">
      <c r="B480" s="13"/>
      <c r="C480" s="15"/>
      <c r="D480" s="15"/>
      <c r="E480" s="18"/>
      <c r="F480" s="19"/>
      <c r="I480" s="138" t="s">
        <v>93</v>
      </c>
      <c r="AB480">
        <v>8</v>
      </c>
    </row>
    <row r="481" spans="2:28" x14ac:dyDescent="0.2">
      <c r="B481" s="20"/>
      <c r="C481" s="21" t="s">
        <v>89</v>
      </c>
      <c r="D481" s="174" t="s">
        <v>110</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111</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87</v>
      </c>
      <c r="C492" s="26">
        <v>1</v>
      </c>
      <c r="D492" s="22" t="s">
        <v>100</v>
      </c>
      <c r="E492" s="27" t="s">
        <v>86</v>
      </c>
      <c r="F492" s="28" t="s">
        <v>86</v>
      </c>
      <c r="I492" s="138" t="s">
        <v>93</v>
      </c>
      <c r="AB492">
        <v>20</v>
      </c>
    </row>
    <row r="493" spans="2:28" x14ac:dyDescent="0.2">
      <c r="B493" s="25" t="s">
        <v>87</v>
      </c>
      <c r="C493" s="26">
        <v>2</v>
      </c>
      <c r="D493" s="22" t="s">
        <v>101</v>
      </c>
      <c r="E493" s="27" t="s">
        <v>86</v>
      </c>
      <c r="F493" s="28" t="s">
        <v>86</v>
      </c>
      <c r="I493" s="138" t="s">
        <v>93</v>
      </c>
      <c r="AB493">
        <v>21</v>
      </c>
    </row>
    <row r="494" spans="2:28" x14ac:dyDescent="0.2">
      <c r="B494" s="25" t="s">
        <v>87</v>
      </c>
      <c r="C494" s="26">
        <v>3</v>
      </c>
      <c r="D494" s="22" t="s">
        <v>102</v>
      </c>
      <c r="E494" s="27" t="s">
        <v>86</v>
      </c>
      <c r="F494" s="28" t="s">
        <v>86</v>
      </c>
      <c r="I494" s="138" t="s">
        <v>93</v>
      </c>
      <c r="AB494">
        <v>22</v>
      </c>
    </row>
    <row r="495" spans="2:28" x14ac:dyDescent="0.2">
      <c r="B495" s="25" t="s">
        <v>87</v>
      </c>
      <c r="C495" s="26">
        <v>4</v>
      </c>
      <c r="D495" s="22" t="s">
        <v>103</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165">
        <v>20</v>
      </c>
      <c r="D498" s="166"/>
      <c r="E498" s="167" t="s">
        <v>51</v>
      </c>
      <c r="F498" s="168" t="s">
        <v>104</v>
      </c>
      <c r="I498" s="138" t="s">
        <v>93</v>
      </c>
      <c r="AB498">
        <v>1</v>
      </c>
    </row>
    <row r="499" spans="2:28" x14ac:dyDescent="0.2">
      <c r="B499" s="190" t="s">
        <v>215</v>
      </c>
      <c r="C499" s="191"/>
      <c r="D499" s="192"/>
      <c r="E499" s="21"/>
      <c r="F499" s="193"/>
      <c r="I499" s="138"/>
    </row>
    <row r="500" spans="2:28" x14ac:dyDescent="0.2">
      <c r="B500" s="13" t="s">
        <v>39</v>
      </c>
      <c r="C500" s="131" t="s">
        <v>86</v>
      </c>
      <c r="D500" s="15" t="str">
        <f>IF(OR(C503="",C504=""),"",VLOOKUP(CONCATENATE(C503," - ",C504),Exposure,2))</f>
        <v>G</v>
      </c>
      <c r="E500" s="16" t="s">
        <v>135</v>
      </c>
      <c r="F500" s="113">
        <v>1</v>
      </c>
      <c r="I500" s="138" t="s">
        <v>93</v>
      </c>
      <c r="AB500">
        <v>2</v>
      </c>
    </row>
    <row r="501" spans="2:28" x14ac:dyDescent="0.2">
      <c r="B501" s="13" t="s">
        <v>84</v>
      </c>
      <c r="C501" s="131" t="s">
        <v>87</v>
      </c>
      <c r="D501" s="15" t="s">
        <v>126</v>
      </c>
      <c r="E501" s="16" t="s">
        <v>56</v>
      </c>
      <c r="F501" s="134" t="s">
        <v>142</v>
      </c>
      <c r="I501" s="138" t="s">
        <v>93</v>
      </c>
      <c r="AB501">
        <v>3</v>
      </c>
    </row>
    <row r="502" spans="2:28" x14ac:dyDescent="0.2">
      <c r="B502" s="13" t="s">
        <v>85</v>
      </c>
      <c r="C502" s="132" t="s">
        <v>87</v>
      </c>
      <c r="D502" s="18"/>
      <c r="E502" s="16" t="s">
        <v>91</v>
      </c>
      <c r="F502" s="134" t="s">
        <v>106</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110</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111</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87</v>
      </c>
      <c r="C518" s="26">
        <v>1</v>
      </c>
      <c r="D518" s="22" t="s">
        <v>100</v>
      </c>
      <c r="E518" s="27" t="s">
        <v>86</v>
      </c>
      <c r="F518" s="28" t="s">
        <v>86</v>
      </c>
      <c r="I518" s="138" t="s">
        <v>93</v>
      </c>
      <c r="AB518">
        <v>20</v>
      </c>
    </row>
    <row r="519" spans="2:28" x14ac:dyDescent="0.2">
      <c r="B519" s="25" t="s">
        <v>87</v>
      </c>
      <c r="C519" s="26">
        <v>2</v>
      </c>
      <c r="D519" s="22" t="s">
        <v>101</v>
      </c>
      <c r="E519" s="27" t="s">
        <v>86</v>
      </c>
      <c r="F519" s="28" t="s">
        <v>86</v>
      </c>
      <c r="I519" s="138" t="s">
        <v>93</v>
      </c>
      <c r="AB519">
        <v>21</v>
      </c>
    </row>
    <row r="520" spans="2:28" x14ac:dyDescent="0.2">
      <c r="B520" s="25" t="s">
        <v>87</v>
      </c>
      <c r="C520" s="26">
        <v>3</v>
      </c>
      <c r="D520" s="22" t="s">
        <v>102</v>
      </c>
      <c r="E520" s="27" t="s">
        <v>86</v>
      </c>
      <c r="F520" s="28" t="s">
        <v>86</v>
      </c>
      <c r="I520" s="138" t="s">
        <v>93</v>
      </c>
      <c r="AB520">
        <v>22</v>
      </c>
    </row>
    <row r="521" spans="2:28" x14ac:dyDescent="0.2">
      <c r="B521" s="25" t="s">
        <v>87</v>
      </c>
      <c r="C521" s="26">
        <v>4</v>
      </c>
      <c r="D521" s="22" t="s">
        <v>103</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40 D422 D396 D474 D448 D526 D500 D578 D552 D630 D604 D58 D760">
    <cfRule type="cellIs" dxfId="50" priority="32" stopIfTrue="1" operator="equal">
      <formula>"R"</formula>
    </cfRule>
    <cfRule type="cellIs" dxfId="49" priority="33" stopIfTrue="1" operator="equal">
      <formula>"G"</formula>
    </cfRule>
    <cfRule type="cellIs" dxfId="48" priority="34" stopIfTrue="1" operator="equal">
      <formula>"Y"</formula>
    </cfRule>
  </conditionalFormatting>
  <conditionalFormatting sqref="D713 D10 D89 D635 D687 D37 D141 D739 D167 D115 D245 D193 D219 D453 D401 D479 D427 D557 D505 D583 D531 D661 D609 D63 D765">
    <cfRule type="cellIs" dxfId="47" priority="35" stopIfTrue="1" operator="equal">
      <formula>"Worsening"</formula>
    </cfRule>
    <cfRule type="cellIs" dxfId="46" priority="36" stopIfTrue="1" operator="equal">
      <formula>"Improving"</formula>
    </cfRule>
  </conditionalFormatting>
  <conditionalFormatting sqref="F738 F9 F88 F712 F36 F114 F140 F166 F192 F218 F244 F400 F426 F452 F478 F504 F530 F556 F582 F608 F634 F660 F686 F62 F764">
    <cfRule type="cellIs" dxfId="45" priority="37" stopIfTrue="1" operator="lessThan">
      <formula>C5</formula>
    </cfRule>
  </conditionalFormatting>
  <conditionalFormatting sqref="F10">
    <cfRule type="cellIs" dxfId="44" priority="38" stopIfTrue="1" operator="lessThan">
      <formula>$C$5</formula>
    </cfRule>
  </conditionalFormatting>
  <conditionalFormatting sqref="F37 F63 F89 F115 F141 F167 F193 F219 F245 F401 F427 F453 F479 F505 F531 F557 F583 F609 F635 F661 F687 F713 F739 F765">
    <cfRule type="cellIs" dxfId="43" priority="39" stopIfTrue="1" operator="lessThan">
      <formula>C32</formula>
    </cfRule>
  </conditionalFormatting>
  <conditionalFormatting sqref="D266">
    <cfRule type="cellIs" dxfId="42" priority="25" stopIfTrue="1" operator="equal">
      <formula>"R"</formula>
    </cfRule>
    <cfRule type="cellIs" dxfId="41" priority="26" stopIfTrue="1" operator="equal">
      <formula>"G"</formula>
    </cfRule>
    <cfRule type="cellIs" dxfId="40" priority="27" stopIfTrue="1" operator="equal">
      <formula>"Y"</formula>
    </cfRule>
  </conditionalFormatting>
  <conditionalFormatting sqref="D271">
    <cfRule type="cellIs" dxfId="39" priority="28" stopIfTrue="1" operator="equal">
      <formula>"Worsening"</formula>
    </cfRule>
    <cfRule type="cellIs" dxfId="38" priority="29" stopIfTrue="1" operator="equal">
      <formula>"Improving"</formula>
    </cfRule>
  </conditionalFormatting>
  <conditionalFormatting sqref="F270">
    <cfRule type="cellIs" dxfId="37" priority="30" stopIfTrue="1" operator="lessThan">
      <formula>C266</formula>
    </cfRule>
  </conditionalFormatting>
  <conditionalFormatting sqref="F271">
    <cfRule type="cellIs" dxfId="36" priority="31" stopIfTrue="1" operator="lessThan">
      <formula>$C$5</formula>
    </cfRule>
  </conditionalFormatting>
  <conditionalFormatting sqref="D292">
    <cfRule type="cellIs" dxfId="35" priority="19" stopIfTrue="1" operator="equal">
      <formula>"R"</formula>
    </cfRule>
    <cfRule type="cellIs" dxfId="34" priority="20" stopIfTrue="1" operator="equal">
      <formula>"G"</formula>
    </cfRule>
    <cfRule type="cellIs" dxfId="33" priority="21" stopIfTrue="1" operator="equal">
      <formula>"Y"</formula>
    </cfRule>
  </conditionalFormatting>
  <conditionalFormatting sqref="D297">
    <cfRule type="cellIs" dxfId="32" priority="22" stopIfTrue="1" operator="equal">
      <formula>"Worsening"</formula>
    </cfRule>
    <cfRule type="cellIs" dxfId="31" priority="23" stopIfTrue="1" operator="equal">
      <formula>"Improving"</formula>
    </cfRule>
  </conditionalFormatting>
  <conditionalFormatting sqref="F296:F297">
    <cfRule type="cellIs" dxfId="30" priority="24" stopIfTrue="1" operator="lessThan">
      <formula>C292</formula>
    </cfRule>
  </conditionalFormatting>
  <conditionalFormatting sqref="D318">
    <cfRule type="cellIs" dxfId="29" priority="13" stopIfTrue="1" operator="equal">
      <formula>"R"</formula>
    </cfRule>
    <cfRule type="cellIs" dxfId="28" priority="14" stopIfTrue="1" operator="equal">
      <formula>"G"</formula>
    </cfRule>
    <cfRule type="cellIs" dxfId="27" priority="15" stopIfTrue="1" operator="equal">
      <formula>"Y"</formula>
    </cfRule>
  </conditionalFormatting>
  <conditionalFormatting sqref="D323">
    <cfRule type="cellIs" dxfId="26" priority="16" stopIfTrue="1" operator="equal">
      <formula>"Worsening"</formula>
    </cfRule>
    <cfRule type="cellIs" dxfId="25" priority="17" stopIfTrue="1" operator="equal">
      <formula>"Improving"</formula>
    </cfRule>
  </conditionalFormatting>
  <conditionalFormatting sqref="F322:F323">
    <cfRule type="cellIs" dxfId="24" priority="18" stopIfTrue="1" operator="lessThan">
      <formula>C318</formula>
    </cfRule>
  </conditionalFormatting>
  <conditionalFormatting sqref="D344">
    <cfRule type="cellIs" dxfId="23" priority="7" stopIfTrue="1" operator="equal">
      <formula>"R"</formula>
    </cfRule>
    <cfRule type="cellIs" dxfId="22" priority="8" stopIfTrue="1" operator="equal">
      <formula>"G"</formula>
    </cfRule>
    <cfRule type="cellIs" dxfId="21" priority="9" stopIfTrue="1" operator="equal">
      <formula>"Y"</formula>
    </cfRule>
  </conditionalFormatting>
  <conditionalFormatting sqref="D349">
    <cfRule type="cellIs" dxfId="20" priority="10" stopIfTrue="1" operator="equal">
      <formula>"Worsening"</formula>
    </cfRule>
    <cfRule type="cellIs" dxfId="19" priority="11" stopIfTrue="1" operator="equal">
      <formula>"Improving"</formula>
    </cfRule>
  </conditionalFormatting>
  <conditionalFormatting sqref="F348:F349">
    <cfRule type="cellIs" dxfId="18" priority="12" stopIfTrue="1" operator="lessThan">
      <formula>C344</formula>
    </cfRule>
  </conditionalFormatting>
  <conditionalFormatting sqref="D370">
    <cfRule type="cellIs" dxfId="17" priority="1" stopIfTrue="1" operator="equal">
      <formula>"R"</formula>
    </cfRule>
    <cfRule type="cellIs" dxfId="16" priority="2" stopIfTrue="1" operator="equal">
      <formula>"G"</formula>
    </cfRule>
    <cfRule type="cellIs" dxfId="15" priority="3" stopIfTrue="1" operator="equal">
      <formula>"Y"</formula>
    </cfRule>
  </conditionalFormatting>
  <conditionalFormatting sqref="D375">
    <cfRule type="cellIs" dxfId="14" priority="4" stopIfTrue="1" operator="equal">
      <formula>"Worsening"</formula>
    </cfRule>
    <cfRule type="cellIs" dxfId="13" priority="5" stopIfTrue="1" operator="equal">
      <formula>"Improving"</formula>
    </cfRule>
  </conditionalFormatting>
  <conditionalFormatting sqref="F374:F375">
    <cfRule type="cellIs" dxfId="12" priority="6" stopIfTrue="1" operator="lessThan">
      <formula>C370</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763:C764 C269:C270 C295:C296 C321:C322 C347:C348 C399:C400 C425:C426 C451:C452 C477:C478 C503:C504 C529:C530 C555:C556 C581:C582 C607:C608 C633:C634 C659:C660 C685:C686 C711:C712 C373:C374">
      <formula1>"Muy alta, Alta, Media, Baja, Muy baja"</formula1>
    </dataValidation>
    <dataValidation type="list" allowBlank="1" showInputMessage="1" showErrorMessage="1" sqref="C10 C37 C89 C739 C63 C115 C141 C167 C193 C219 C245 C765 C271 C297 C323 C349 C401 C427 C453 C479 C505 C531 C557 C583 C609 C635 C661 C687 C713 C375">
      <formula1>"&gt; 3 meses, 1-3 meses, &lt;1 mes"</formula1>
    </dataValidation>
    <dataValidation type="list" allowBlank="1" showInputMessage="1" showErrorMessage="1" sqref="D10 D37 D89 D739 D63 D115 D141 D167 D193 D219 D245 D765 D271 D297 D323 D349 D401 D427 D453 D479 D505 D531 D557 D583 D609 D635 D661 D687 D713 D375">
      <formula1>"Mejorado, Empeorado, Sin cambios, Nuevo"</formula1>
    </dataValidation>
    <dataValidation type="list" allowBlank="1" showInputMessage="1" showErrorMessage="1" error="Please enter either Mgmt or Technical" sqref="F7 F34 F86 F736 F60 F112 F138 F164 F190 F216 F242 F762 F268 F294 F320 F346 F398 F424 F450 F476 F502 F528 F554 F580 F606 F632 F658 F684 F710 F372">
      <formula1>"Admón, Tec"</formula1>
    </dataValidation>
    <dataValidation type="list" allowBlank="1" showInputMessage="1" showErrorMessage="1" error="Please enter either Internal or External" sqref="F8 F35 F87 F737 F61 F113 F139 F165 F191 F217 F243 F763 F269 F295 F321 F347 F399 F425 F451 F477 F503 F529 F555 F581 F607 F633 F659 F685 F711 F373">
      <formula1>"Interna, Externa"</formula1>
    </dataValidation>
    <dataValidation type="list" allowBlank="1" showInputMessage="1" showErrorMessage="1" error="Please enter Research, Accept, Watch, Mitigate, or Retired." sqref="F3:F4 F732:F733 F30:F31 F56:F57 F82:F83 F108:F109 F134:F135 F160:F161 F186:F187 F212:F213 F238:F239 F758:F759 F264:F265 F290:F291 F316:F317 F342:F343 F394:F395 F420:F421 F446:F447 F472:F473 F498:F499 F524:F525 F550:F551 F576:F577 F602:F603 F628:F629 F654:F655 F680:F681 F706:F707 F368:F369">
      <formula1>"Investigar, Aceptar, Prevenir,Mitigar,Retirar"</formula1>
    </dataValidation>
    <dataValidation type="list" errorStyle="warning" allowBlank="1" showInputMessage="1" showErrorMessage="1" error="Please select the source from the drop-down menu." sqref="F6 F33 F59 F85 F111 F137 F163 F189 F215 F241 F761 F267 F293 F319 F345 F397 F423 F449 F475 F501 F527 F553 F579 F605 F631 F657 F683 F709 F735 F37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9" manualBreakCount="9">
    <brk id="55" min="1" max="5" man="1"/>
    <brk id="107" min="1" max="5" man="1"/>
    <brk id="159" min="1" max="5" man="1"/>
    <brk id="21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3"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216</v>
      </c>
      <c r="J1" s="155">
        <f>'Detalle del Riesgo'!F2</f>
        <v>42903</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10</v>
      </c>
      <c r="H6" s="123">
        <f>Exposure!D5</f>
        <v>10</v>
      </c>
      <c r="I6" s="123">
        <f>Exposure!E5</f>
        <v>0</v>
      </c>
      <c r="J6" s="91">
        <f>Exposure!F5</f>
        <v>11</v>
      </c>
    </row>
    <row r="7" spans="1:10" x14ac:dyDescent="0.2">
      <c r="A7" s="84"/>
      <c r="B7" s="92" t="s">
        <v>122</v>
      </c>
      <c r="C7" s="93"/>
      <c r="D7" s="147"/>
      <c r="E7" s="84"/>
      <c r="F7" s="120" t="s">
        <v>19</v>
      </c>
      <c r="G7" s="124">
        <f>Exposure!C7</f>
        <v>1</v>
      </c>
      <c r="H7" s="124">
        <f>Exposure!D7</f>
        <v>4</v>
      </c>
      <c r="I7" s="124">
        <f>Exposure!E7</f>
        <v>0</v>
      </c>
      <c r="J7" s="94">
        <f>Exposure!F7</f>
        <v>5</v>
      </c>
    </row>
    <row r="8" spans="1:10" ht="13.5" thickBot="1" x14ac:dyDescent="0.25">
      <c r="A8" s="84"/>
      <c r="B8" s="92" t="s">
        <v>123</v>
      </c>
      <c r="C8" s="93"/>
      <c r="D8" s="147"/>
      <c r="E8" s="84"/>
      <c r="F8" s="120" t="s">
        <v>20</v>
      </c>
      <c r="G8" s="125">
        <f>Exposure!C9</f>
        <v>4</v>
      </c>
      <c r="H8" s="125">
        <f>Exposure!D9</f>
        <v>0</v>
      </c>
      <c r="I8" s="125">
        <f>Exposure!E9</f>
        <v>0</v>
      </c>
      <c r="J8" s="95">
        <f>Exposure!F9</f>
        <v>4</v>
      </c>
    </row>
    <row r="9" spans="1:10" ht="13.5" thickBot="1" x14ac:dyDescent="0.25">
      <c r="A9" s="84"/>
      <c r="B9" s="96" t="s">
        <v>124</v>
      </c>
      <c r="C9" s="97"/>
      <c r="D9" s="147"/>
      <c r="E9" s="84"/>
      <c r="F9" s="121" t="s">
        <v>120</v>
      </c>
      <c r="G9" s="125">
        <f>SUM(G6:G8)</f>
        <v>15</v>
      </c>
      <c r="H9" s="125">
        <f>SUM(H6:H8)</f>
        <v>14</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f>IF(LEFT('Detalle del Riesgo'!D3)="&lt;","",'Detalle del Riesgo'!C3)</f>
        <v>1</v>
      </c>
      <c r="B12" s="158">
        <f>IF($A12="","",'Detalle del Riesgo'!F5)</f>
        <v>1</v>
      </c>
      <c r="C12" s="159" t="str">
        <f>IF($A12="","",LEFT('Detalle del Riesgo'!D10,1))</f>
        <v>S</v>
      </c>
      <c r="D12" s="160" t="str">
        <f>IF($A12="","",'Detalle del Riesgo'!D3)</f>
        <v>Modificación de fechas de entrega</v>
      </c>
      <c r="E12" s="161" t="str">
        <f>IF($A12="","",'Detalle del Riesgo'!C7)</f>
        <v>FJRC</v>
      </c>
      <c r="F12" s="159" t="str">
        <f>IF(OR($A12="",$H12="Retirar"),"",'Detalle del Riesgo'!D5)</f>
        <v>R</v>
      </c>
      <c r="G12" s="159" t="str">
        <f>IF($A12="","",'Detalle del Riesgo'!C10)</f>
        <v>&lt;1 mes</v>
      </c>
      <c r="H12" s="159" t="str">
        <f>IF($A12= "","",'Detalle del Riesgo'!F3)</f>
        <v>Prevenir</v>
      </c>
      <c r="I12" s="162">
        <f>IF($A12= "","",'Detalle del Riesgo'!C5)</f>
        <v>42902</v>
      </c>
      <c r="J12" s="163" t="str">
        <f>IF($A12= "","",'Detalle del Riesgo'!F9)</f>
        <v>06/17/16</v>
      </c>
    </row>
    <row r="13" spans="1:10" x14ac:dyDescent="0.2">
      <c r="A13" s="157">
        <f>IF(LEFT('Detalle del Riesgo'!D30)="&lt;","",'Detalle del Riesgo'!C30)</f>
        <v>2</v>
      </c>
      <c r="B13" s="158">
        <f>IF($A13="","",'Detalle del Riesgo'!F32)</f>
        <v>2</v>
      </c>
      <c r="C13" s="159" t="str">
        <f>IF($A13="","",LEFT('Detalle del Riesgo'!D37,1))</f>
        <v>N</v>
      </c>
      <c r="D13" s="160" t="str">
        <f>IF($A13="","",'Detalle del Riesgo'!D30)</f>
        <v>Los requerimientos no siguen normativas</v>
      </c>
      <c r="E13" s="161" t="str">
        <f>IF($A13="","",'Detalle del Riesgo'!C34)</f>
        <v>FJRC</v>
      </c>
      <c r="F13" s="159" t="str">
        <f>IF(OR($A13="",$H13="Retired"),"",'Detalle del Riesgo'!D32)</f>
        <v>R</v>
      </c>
      <c r="G13" s="159" t="str">
        <f>IF($A13="","",'Detalle del Riesgo'!C37)</f>
        <v>&lt;1 mes</v>
      </c>
      <c r="H13" s="159" t="str">
        <f>IF($A13= "","",'Detalle del Riesgo'!F30)</f>
        <v>Prevenir</v>
      </c>
      <c r="I13" s="162">
        <f>IF($A13= "","",'Detalle del Riesgo'!C32)</f>
        <v>42896</v>
      </c>
      <c r="J13" s="163">
        <f>IF($A13= "","",'Detalle del Riesgo'!F36)</f>
        <v>42903</v>
      </c>
    </row>
    <row r="14" spans="1:10" x14ac:dyDescent="0.2">
      <c r="A14" s="157">
        <f>IF(LEFT('Detalle del Riesgo'!D56)="&lt;","",'Detalle del Riesgo'!C56)</f>
        <v>3</v>
      </c>
      <c r="B14" s="158">
        <f>IF($A14="","",'Detalle del Riesgo'!F58)</f>
        <v>1</v>
      </c>
      <c r="C14" s="159" t="str">
        <f>IF($A14="","",LEFT('Detalle del Riesgo'!D63,1))</f>
        <v>N</v>
      </c>
      <c r="D14" s="160" t="str">
        <f>IF($A14="","",'Detalle del Riesgo'!D56)</f>
        <v>Los requerimientos no tienen aprobación del administrador o el cliente</v>
      </c>
      <c r="E14" s="161" t="str">
        <f>IF($A14="","",'Detalle del Riesgo'!C60)</f>
        <v>FJRC</v>
      </c>
      <c r="F14" s="159" t="str">
        <f>IF(OR($A14="",$H14="Retired"),"",'Detalle del Riesgo'!D58)</f>
        <v>R</v>
      </c>
      <c r="G14" s="159" t="str">
        <f>IF($A14="","",'Detalle del Riesgo'!C63)</f>
        <v>&lt;1 mes</v>
      </c>
      <c r="H14" s="159" t="str">
        <f>IF($A14= "","",'Detalle del Riesgo'!F56)</f>
        <v>Prevenir</v>
      </c>
      <c r="I14" s="162">
        <f>IF($A14= "","",'Detalle del Riesgo'!C58)</f>
        <v>42896</v>
      </c>
      <c r="J14" s="163">
        <f>IF($A14= "","",'Detalle del Riesgo'!F62)</f>
        <v>42903</v>
      </c>
    </row>
    <row r="15" spans="1:10" x14ac:dyDescent="0.2">
      <c r="A15" s="157">
        <f>IF(LEFT('Detalle del Riesgo'!D82)="&lt;","",'Detalle del Riesgo'!C82)</f>
        <v>4</v>
      </c>
      <c r="B15" s="158">
        <f>IF($A15="","",'Detalle del Riesgo'!F84)</f>
        <v>1</v>
      </c>
      <c r="C15" s="159" t="str">
        <f>IF($A15="","",LEFT('Detalle del Riesgo'!D89,1))</f>
        <v>N</v>
      </c>
      <c r="D15" s="160" t="str">
        <f>IF($A15="","",'Detalle del Riesgo'!D82)</f>
        <v>Requerimientos finales causan rechazo en los usuarios</v>
      </c>
      <c r="E15" s="161" t="str">
        <f>IF($A15="","",'Detalle del Riesgo'!C86)</f>
        <v>FJRC</v>
      </c>
      <c r="F15" s="159" t="str">
        <f>IF(OR($A15="",$H15="Retired"),"",'Detalle del Riesgo'!D84)</f>
        <v>R</v>
      </c>
      <c r="G15" s="159" t="str">
        <f>IF($A15="","",'Detalle del Riesgo'!C89)</f>
        <v>&lt;1 mes</v>
      </c>
      <c r="H15" s="159" t="str">
        <f>IF($A15= "","",'Detalle del Riesgo'!F82)</f>
        <v>Prevenir</v>
      </c>
      <c r="I15" s="162">
        <f>IF($A15= "","",'Detalle del Riesgo'!C84)</f>
        <v>42897</v>
      </c>
      <c r="J15" s="163">
        <f>IF($A15= "","",'Detalle del Riesgo'!F88)</f>
        <v>42903</v>
      </c>
    </row>
    <row r="16" spans="1:10" x14ac:dyDescent="0.2">
      <c r="A16" s="157">
        <f>IF(LEFT('Detalle del Riesgo'!D108)="&lt;","",'Detalle del Riesgo'!C108)</f>
        <v>5</v>
      </c>
      <c r="B16" s="158">
        <f>IF($A16="","",'Detalle del Riesgo'!F110)</f>
        <v>1</v>
      </c>
      <c r="C16" s="159" t="str">
        <f>IF($A16="","",LEFT('Detalle del Riesgo'!D115,1))</f>
        <v>N</v>
      </c>
      <c r="D16" s="160" t="str">
        <f>IF($A16="","",'Detalle del Riesgo'!D108)</f>
        <v>Los requerimientos se han formalizando pero continuan cambiando</v>
      </c>
      <c r="E16" s="161" t="str">
        <f>IF($A16="","",'Detalle del Riesgo'!C112)</f>
        <v>FJRC</v>
      </c>
      <c r="F16" s="159" t="str">
        <f>IF(OR($A16="",$H16="Retired"),"",'Detalle del Riesgo'!D110)</f>
        <v>R</v>
      </c>
      <c r="G16" s="159" t="str">
        <f>IF($A16="","",'Detalle del Riesgo'!C115)</f>
        <v>&lt;1 mes</v>
      </c>
      <c r="H16" s="159" t="str">
        <f>IF($A16= "","",'Detalle del Riesgo'!F108)</f>
        <v>Prevenir</v>
      </c>
      <c r="I16" s="162">
        <f>IF($A16= "","",'Detalle del Riesgo'!C110)</f>
        <v>42897</v>
      </c>
      <c r="J16" s="163">
        <f>IF($A16= "","",'Detalle del Riesgo'!F114)</f>
        <v>42903</v>
      </c>
    </row>
    <row r="17" spans="1:10" x14ac:dyDescent="0.2">
      <c r="A17" s="157">
        <f>IF(LEFT('Detalle del Riesgo'!D134)="&lt;","",'Detalle del Riesgo'!C134)</f>
        <v>6</v>
      </c>
      <c r="B17" s="158">
        <f>IF($A17="","",'Detalle del Riesgo'!F136)</f>
        <v>1</v>
      </c>
      <c r="C17" s="159" t="str">
        <f>IF($A17="","",LEFT('Detalle del Riesgo'!D141,1))</f>
        <v>N</v>
      </c>
      <c r="D17" s="160" t="str">
        <f>IF($A17="","",'Detalle del Riesgo'!D134)</f>
        <v>Calendario optimista</v>
      </c>
      <c r="E17" s="161" t="str">
        <f>IF($A17="","",'Detalle del Riesgo'!C138)</f>
        <v>FJRC</v>
      </c>
      <c r="F17" s="159" t="str">
        <f>IF(OR($A17="",$H17="Retired"),"",'Detalle del Riesgo'!D136)</f>
        <v>R</v>
      </c>
      <c r="G17" s="159" t="str">
        <f>IF($A17="","",'Detalle del Riesgo'!C141)</f>
        <v>&lt;1 mes</v>
      </c>
      <c r="H17" s="159" t="str">
        <f>IF($A17= "","",'Detalle del Riesgo'!F134)</f>
        <v>Prevenir</v>
      </c>
      <c r="I17" s="162">
        <f>IF($A17= "","",'Detalle del Riesgo'!C136)</f>
        <v>42860</v>
      </c>
      <c r="J17" s="163">
        <f>IF($A17= "","",'Detalle del Riesgo'!F140)</f>
        <v>42903</v>
      </c>
    </row>
    <row r="18" spans="1:10" x14ac:dyDescent="0.2">
      <c r="A18" s="157">
        <f>IF(LEFT('Detalle del Riesgo'!D160)="&lt;","",'Detalle del Riesgo'!C160)</f>
        <v>7</v>
      </c>
      <c r="B18" s="158">
        <f>IF($A18="","",'Detalle del Riesgo'!F162)</f>
        <v>1</v>
      </c>
      <c r="C18" s="159" t="str">
        <f>IF($A18="","",LEFT('Detalle del Riesgo'!D167,1))</f>
        <v>N</v>
      </c>
      <c r="D18" s="160" t="str">
        <f>IF($A18="","",'Detalle del Riesgo'!D160)</f>
        <v>Método de comunicación no establecidos</v>
      </c>
      <c r="E18" s="161" t="str">
        <f>IF($A18="","",'Detalle del Riesgo'!C164)</f>
        <v>FJRC</v>
      </c>
      <c r="F18" s="159" t="str">
        <f>IF(OR($A18="",$H18="Retired"),"",'Detalle del Riesgo'!D162)</f>
        <v>R</v>
      </c>
      <c r="G18" s="159" t="str">
        <f>IF($A18="","",'Detalle del Riesgo'!C167)</f>
        <v>&lt;1 mes</v>
      </c>
      <c r="H18" s="159" t="str">
        <f>IF($A18= "","",'Detalle del Riesgo'!F160)</f>
        <v>Prevenir</v>
      </c>
      <c r="I18" s="162">
        <f>IF($A18= "","",'Detalle del Riesgo'!C162)</f>
        <v>42875</v>
      </c>
      <c r="J18" s="163">
        <f>IF($A18= "","",'Detalle del Riesgo'!F166)</f>
        <v>42903</v>
      </c>
    </row>
    <row r="19" spans="1:10" x14ac:dyDescent="0.2">
      <c r="A19" s="157">
        <f>IF(LEFT('Detalle del Riesgo'!D186)="&lt;","",'Detalle del Riesgo'!C186)</f>
        <v>8</v>
      </c>
      <c r="B19" s="158">
        <f>IF($A19="","",'Detalle del Riesgo'!F188)</f>
        <v>1</v>
      </c>
      <c r="C19" s="159" t="str">
        <f>IF($A19="","",LEFT('Detalle del Riesgo'!D193,1))</f>
        <v>N</v>
      </c>
      <c r="D19" s="160" t="str">
        <f>IF($A19="","",'Detalle del Riesgo'!D186)</f>
        <v>El tamaño del proyecto ha sido subestimado</v>
      </c>
      <c r="E19" s="161" t="str">
        <f>IF($A19="","",'Detalle del Riesgo'!C190)</f>
        <v>FJRC</v>
      </c>
      <c r="F19" s="159" t="str">
        <f>IF(OR($A19="",$H19="Retired"),"",'Detalle del Riesgo'!D188)</f>
        <v>R</v>
      </c>
      <c r="G19" s="159" t="str">
        <f>IF($A19="","",'Detalle del Riesgo'!C193)</f>
        <v>&lt;1 mes</v>
      </c>
      <c r="H19" s="159" t="str">
        <f>IF($A19= "","",'Detalle del Riesgo'!F186)</f>
        <v>Prevenir</v>
      </c>
      <c r="I19" s="162">
        <f>IF($A19= "","",'Detalle del Riesgo'!C188)</f>
        <v>42880</v>
      </c>
      <c r="J19" s="163">
        <f>IF($A19= "","",'Detalle del Riesgo'!F192)</f>
        <v>42903</v>
      </c>
    </row>
    <row r="20" spans="1:10" x14ac:dyDescent="0.2">
      <c r="A20" s="157">
        <f>IF(LEFT('Detalle del Riesgo'!D212)="&lt;","",'Detalle del Riesgo'!C212)</f>
        <v>9</v>
      </c>
      <c r="B20" s="158">
        <f>IF($A20="","",'Detalle del Riesgo'!F214)</f>
        <v>1</v>
      </c>
      <c r="C20" s="159" t="str">
        <f>IF($A20="","",LEFT('Detalle del Riesgo'!D219,1))</f>
        <v>N</v>
      </c>
      <c r="D20" s="160" t="str">
        <f>IF($A20="","",'Detalle del Riesgo'!D212)</f>
        <v>Se subestimo el problema y es más dificil de lo pensado</v>
      </c>
      <c r="E20" s="161" t="str">
        <f>IF($A20="","",'Detalle del Riesgo'!C216)</f>
        <v>FJRC</v>
      </c>
      <c r="F20" s="159" t="str">
        <f>IF(OR($A20="",$H20="Retired"),"",'Detalle del Riesgo'!D214)</f>
        <v>R</v>
      </c>
      <c r="G20" s="159" t="str">
        <f>IF($A20="","",'Detalle del Riesgo'!C219)</f>
        <v>&lt;1 mes</v>
      </c>
      <c r="H20" s="159" t="str">
        <f>IF($A20= "","",'Detalle del Riesgo'!F212)</f>
        <v>Prevenir</v>
      </c>
      <c r="I20" s="162">
        <f>IF($A20= "","",'Detalle del Riesgo'!C214)</f>
        <v>42857</v>
      </c>
      <c r="J20" s="163">
        <f>IF($A20= "","",'Detalle del Riesgo'!F218)</f>
        <v>42903</v>
      </c>
    </row>
    <row r="21" spans="1:10" x14ac:dyDescent="0.2">
      <c r="A21" s="157">
        <f>IF(LEFT('Detalle del Riesgo'!D238)="&lt;","",'Detalle del Riesgo'!C238)</f>
        <v>10</v>
      </c>
      <c r="B21" s="158">
        <f>IF($A21="","",'Detalle del Riesgo'!F240)</f>
        <v>1</v>
      </c>
      <c r="C21" s="159" t="str">
        <f>IF($A21="","",LEFT('Detalle del Riesgo'!D245,1))</f>
        <v>N</v>
      </c>
      <c r="D21" s="160" t="str">
        <f>IF($A21="","",'Detalle del Riesgo'!D238)</f>
        <v>El tabajo entregado por cada miembro de equipo no es de calidad</v>
      </c>
      <c r="E21" s="161" t="str">
        <f>IF($A21="","",'Detalle del Riesgo'!C242)</f>
        <v>FJRC</v>
      </c>
      <c r="F21" s="159" t="str">
        <f>IF(OR($A21="",$H21="Retired"),"",'Detalle del Riesgo'!D240)</f>
        <v>R</v>
      </c>
      <c r="G21" s="159" t="str">
        <f>IF($A21="","",'Detalle del Riesgo'!C245)</f>
        <v>&lt;1 mes</v>
      </c>
      <c r="H21" s="159" t="str">
        <f>IF($A21= "","",'Detalle del Riesgo'!F238)</f>
        <v>Prevenir</v>
      </c>
      <c r="I21" s="162">
        <f>IF($A21= "","",'Detalle del Riesgo'!C240)</f>
        <v>42869</v>
      </c>
      <c r="J21" s="163">
        <f>IF($A21= "","",'Detalle del Riesgo'!F244)</f>
        <v>42903</v>
      </c>
    </row>
    <row r="22" spans="1:10" x14ac:dyDescent="0.2">
      <c r="A22" s="157">
        <f>IF(LEFT('Detalle del Riesgo'!D264)="&lt;","",'Detalle del Riesgo'!C264)</f>
        <v>11</v>
      </c>
      <c r="B22" s="158">
        <f>IF($A22="","",'Detalle del Riesgo'!F266)</f>
        <v>2</v>
      </c>
      <c r="C22" s="159" t="str">
        <f>IF($A22="","",LEFT('Detalle del Riesgo'!D271,1))</f>
        <v>S</v>
      </c>
      <c r="D22" s="160" t="str">
        <f>IF($A22="","",'Detalle del Riesgo'!D264)</f>
        <v>Denegación de servicios</v>
      </c>
      <c r="E22" s="161" t="str">
        <f>IF($A22="","",'Detalle del Riesgo'!C268)</f>
        <v>MBMR</v>
      </c>
      <c r="F22" s="159" t="str">
        <f>IF(OR($A22="",$H22="Retired"),"",'Detalle del Riesgo'!D266)</f>
        <v>Y</v>
      </c>
      <c r="G22" s="159" t="str">
        <f>IF($A22="","",'Detalle del Riesgo'!C271)</f>
        <v>&lt;1 mes</v>
      </c>
      <c r="H22" s="159" t="str">
        <f>IF($A22= "","",'Detalle del Riesgo'!F264)</f>
        <v>Prevenir</v>
      </c>
      <c r="I22" s="162">
        <f>IF($A22= "","",'Detalle del Riesgo'!C266)</f>
        <v>43044</v>
      </c>
      <c r="J22" s="163">
        <f>IF($A22= "","",'Detalle del Riesgo'!F270)</f>
        <v>43014</v>
      </c>
    </row>
    <row r="23" spans="1:10" x14ac:dyDescent="0.2">
      <c r="A23" s="157">
        <f>IF(LEFT('Detalle del Riesgo'!D290)="&lt;","",'Detalle del Riesgo'!C290)</f>
        <v>12</v>
      </c>
      <c r="B23" s="158">
        <f>IF($A23="","",'Detalle del Riesgo'!F292)</f>
        <v>3</v>
      </c>
      <c r="C23" s="159" t="str">
        <f>IF($A23="","",LEFT('Detalle del Riesgo'!D297,1))</f>
        <v>N</v>
      </c>
      <c r="D23" s="160" t="str">
        <f>IF($A23="","",'Detalle del Riesgo'!D290)</f>
        <v>Contaminación ambiental, acústica y lumínica</v>
      </c>
      <c r="E23" s="161" t="str">
        <f>IF($A23="","",'Detalle del Riesgo'!C294)</f>
        <v>FJRC</v>
      </c>
      <c r="F23" s="159" t="str">
        <f>IF(OR($A23="",$H23="Retired"),"",'Detalle del Riesgo'!D292)</f>
        <v>Y</v>
      </c>
      <c r="G23" s="159" t="str">
        <f>IF($A23="","",'Detalle del Riesgo'!C297)</f>
        <v>1-3 meses</v>
      </c>
      <c r="H23" s="159" t="str">
        <f>IF($A23= "","",'Detalle del Riesgo'!F290)</f>
        <v>Prevenir</v>
      </c>
      <c r="I23" s="162">
        <f>IF($A23= "","",'Detalle del Riesgo'!C292)</f>
        <v>42866</v>
      </c>
      <c r="J23" s="163">
        <f>IF($A23= "","",'Detalle del Riesgo'!F296)</f>
        <v>42865</v>
      </c>
    </row>
    <row r="24" spans="1:10" x14ac:dyDescent="0.2">
      <c r="A24" s="157">
        <f>IF(LEFT('Detalle del Riesgo'!D316)="&lt;","",'Detalle del Riesgo'!C316)</f>
        <v>13</v>
      </c>
      <c r="B24" s="158">
        <f>IF($A24="","",'Detalle del Riesgo'!F318)</f>
        <v>2</v>
      </c>
      <c r="C24" s="159" t="str">
        <f>IF($A24="","",LEFT('Detalle del Riesgo'!D323,1))</f>
        <v>S</v>
      </c>
      <c r="D24" s="160" t="str">
        <f>IF($A24="","",'Detalle del Riesgo'!D316)</f>
        <v>Modificaciones en cambio de leyes</v>
      </c>
      <c r="E24" s="161" t="str">
        <f>IF($A24="","",'Detalle del Riesgo'!C320)</f>
        <v>FJRC</v>
      </c>
      <c r="F24" s="159" t="str">
        <f>IF(OR($A24="",$H24="Retired"),"",'Detalle del Riesgo'!D318)</f>
        <v>Y</v>
      </c>
      <c r="G24" s="159" t="str">
        <f>IF($A24="","",'Detalle del Riesgo'!C323)</f>
        <v>&lt;1 mes</v>
      </c>
      <c r="H24" s="159" t="str">
        <f>IF($A24= "","",'Detalle del Riesgo'!F316)</f>
        <v>Prevenir</v>
      </c>
      <c r="I24" s="162">
        <f>IF($A24= "","",'Detalle del Riesgo'!C318)</f>
        <v>42952</v>
      </c>
      <c r="J24" s="163">
        <f>IF($A24= "","",'Detalle del Riesgo'!F322)</f>
        <v>42921</v>
      </c>
    </row>
    <row r="25" spans="1:10" x14ac:dyDescent="0.2">
      <c r="A25" s="157">
        <f>IF(LEFT('Detalle del Riesgo'!D342)="&lt;","",'Detalle del Riesgo'!C342)</f>
        <v>14</v>
      </c>
      <c r="B25" s="158">
        <f>IF($A25="","",'Detalle del Riesgo'!F344)</f>
        <v>2</v>
      </c>
      <c r="C25" s="159" t="str">
        <f>IF($A25="","",LEFT('Detalle del Riesgo'!D349,1))</f>
        <v>S</v>
      </c>
      <c r="D25" s="160" t="str">
        <f>IF($A25="","",'Detalle del Riesgo'!D342)</f>
        <v>Devaluaciones de producción</v>
      </c>
      <c r="E25" s="161" t="str">
        <f>IF($A25="","",'Detalle del Riesgo'!C346)</f>
        <v>FJRC</v>
      </c>
      <c r="F25" s="159" t="str">
        <f>IF(OR($A25="",$H25="Retired"),"",'Detalle del Riesgo'!D344)</f>
        <v>Y</v>
      </c>
      <c r="G25" s="159" t="str">
        <f>IF($A25="","",'Detalle del Riesgo'!C349)</f>
        <v>&lt;1 mes</v>
      </c>
      <c r="H25" s="159" t="str">
        <f>IF($A25= "","",'Detalle del Riesgo'!F342)</f>
        <v>Prevenir</v>
      </c>
      <c r="I25" s="162">
        <f>IF($A25= "","",'Detalle del Riesgo'!C344)</f>
        <v>42860</v>
      </c>
      <c r="J25" s="163">
        <f>IF($A25= "","",'Detalle del Riesgo'!F348)</f>
        <v>42830</v>
      </c>
    </row>
    <row r="26" spans="1:10" x14ac:dyDescent="0.2">
      <c r="A26" s="157">
        <f>IF(LEFT('Detalle del Riesgo'!D368)="&lt;","",'Detalle del Riesgo'!C368)</f>
        <v>15</v>
      </c>
      <c r="B26" s="158">
        <f>IF($A26="","",'Detalle del Riesgo'!F370)</f>
        <v>1</v>
      </c>
      <c r="C26" s="159" t="str">
        <f>IF($A26="","",LEFT('Detalle del Riesgo'!D375,1))</f>
        <v>S</v>
      </c>
      <c r="D26" s="160" t="str">
        <f>IF($A26="","",'Detalle del Riesgo'!D368)</f>
        <v>El software presenta errores de implementación</v>
      </c>
      <c r="E26" s="161" t="str">
        <f>IF($A26="","",'Detalle del Riesgo'!C372)</f>
        <v>FJRC</v>
      </c>
      <c r="F26" s="159" t="str">
        <f>IF(OR($A26="",$H26="Retired"),"",'Detalle del Riesgo'!D370)</f>
        <v>Y</v>
      </c>
      <c r="G26" s="159" t="str">
        <f>IF($A26="","",'Detalle del Riesgo'!C375)</f>
        <v>1-3 meses</v>
      </c>
      <c r="H26" s="159" t="str">
        <f>IF($A26= "","",'Detalle del Riesgo'!F368)</f>
        <v>Prevenir</v>
      </c>
      <c r="I26" s="162" t="str">
        <f>IF($A26= "","",'Detalle del Riesgo'!C370)</f>
        <v>05/29/17</v>
      </c>
      <c r="J26" s="163" t="str">
        <f>IF($A26= "","",'Detalle del Riesgo'!F374)</f>
        <v>05/28/17</v>
      </c>
    </row>
    <row r="27" spans="1:10" x14ac:dyDescent="0.2">
      <c r="A27" s="157">
        <f>IF(LEFT('Detalle del Riesgo'!D394)="&lt;","",'Detalle del Riesgo'!C394)</f>
        <v>16</v>
      </c>
      <c r="B27" s="158">
        <f>IF($A27="","",'Detalle del Riesgo'!F396)</f>
        <v>1</v>
      </c>
      <c r="C27" s="159" t="str">
        <f>IF($A27="","",LEFT('Detalle del Riesgo'!D401,1))</f>
        <v>N</v>
      </c>
      <c r="D27" s="160" t="str">
        <f>IF($A27="","",'Detalle del Riesgo'!D394)</f>
        <v>No se realizan revisiones de calidad en el proceso</v>
      </c>
      <c r="E27" s="161" t="str">
        <f>IF($A27="","",'Detalle del Riesgo'!C398)</f>
        <v>FJRC</v>
      </c>
      <c r="F27" s="159" t="str">
        <f>IF(OR($A27="",$H27="Retired"),"",'Detalle del Riesgo'!D396)</f>
        <v>R</v>
      </c>
      <c r="G27" s="159" t="str">
        <f>IF($A27="","",'Detalle del Riesgo'!C401)</f>
        <v>&lt;1 mes</v>
      </c>
      <c r="H27" s="159" t="str">
        <f>IF($A27= "","",'Detalle del Riesgo'!F394)</f>
        <v>Prevenir</v>
      </c>
      <c r="I27" s="162">
        <f>IF($A27= "","",'Detalle del Riesgo'!C396)</f>
        <v>42902</v>
      </c>
      <c r="J27" s="163">
        <f>IF($A27= "","",'Detalle del Riesgo'!F400)</f>
        <v>42903</v>
      </c>
    </row>
    <row r="28" spans="1:10" x14ac:dyDescent="0.2">
      <c r="A28" s="157">
        <f>IF(LEFT('Detalle del Riesgo'!D420)="&lt;","",'Detalle del Riesgo'!C420)</f>
        <v>17</v>
      </c>
      <c r="B28" s="158">
        <f>IF($A28="","",'Detalle del Riesgo'!F422)</f>
        <v>1</v>
      </c>
      <c r="C28" s="159" t="str">
        <f>IF($A28="","",LEFT('Detalle del Riesgo'!D427,1))</f>
        <v>N</v>
      </c>
      <c r="D28" s="160">
        <f>IF($A28="","",'Detalle del Riesgo'!D420)</f>
        <v>0</v>
      </c>
      <c r="E28" s="161" t="str">
        <f>IF($A28="","",'Detalle del Riesgo'!C424)</f>
        <v>&lt;Nombre&gt;</v>
      </c>
      <c r="F28" s="159" t="str">
        <f>IF(OR($A28="",$H28="Retired"),"",'Detalle del Riesgo'!D422)</f>
        <v>G</v>
      </c>
      <c r="G28" s="159" t="str">
        <f>IF($A28="","",'Detalle del Riesgo'!C427)</f>
        <v>1-3 meses</v>
      </c>
      <c r="H28" s="159" t="str">
        <f>IF($A28= "","",'Detalle del Riesgo'!F420)</f>
        <v>Investigar</v>
      </c>
      <c r="I28" s="162" t="str">
        <f>IF($A28= "","",'Detalle del Riesgo'!C422)</f>
        <v>&lt;Fecha&gt;</v>
      </c>
      <c r="J28" s="163" t="str">
        <f>IF($A28= "","",'Detalle del Riesgo'!F426)</f>
        <v>&lt;Fecha&gt;</v>
      </c>
    </row>
    <row r="29" spans="1:10" x14ac:dyDescent="0.2">
      <c r="A29" s="157">
        <f>IF(LEFT('Detalle del Riesgo'!D446)="&lt;","",'Detalle del Riesgo'!C446)</f>
        <v>18</v>
      </c>
      <c r="B29" s="158">
        <f>IF($A29="","",'Detalle del Riesgo'!F448)</f>
        <v>1</v>
      </c>
      <c r="C29" s="159" t="str">
        <f>IF($A29="","",LEFT('Detalle del Riesgo'!D453,1))</f>
        <v>N</v>
      </c>
      <c r="D29" s="160">
        <f>IF($A29="","",'Detalle del Riesgo'!D446)</f>
        <v>0</v>
      </c>
      <c r="E29" s="161" t="str">
        <f>IF($A29="","",'Detalle del Riesgo'!C450)</f>
        <v>&lt;Nombre&gt;</v>
      </c>
      <c r="F29" s="159" t="str">
        <f>IF(OR($A29="",$H29="Retired"),"",'Detalle del Riesgo'!D448)</f>
        <v>G</v>
      </c>
      <c r="G29" s="159" t="str">
        <f>IF($A29="","",'Detalle del Riesgo'!C453)</f>
        <v>1-3 meses</v>
      </c>
      <c r="H29" s="159" t="str">
        <f>IF($A29= "","",'Detalle del Riesgo'!F446)</f>
        <v>Investigar</v>
      </c>
      <c r="I29" s="162" t="str">
        <f>IF($A29= "","",'Detalle del Riesgo'!C448)</f>
        <v>&lt;Fecha&gt;</v>
      </c>
      <c r="J29" s="163" t="str">
        <f>IF($A29= "","",'Detalle del Riesgo'!F452)</f>
        <v>&lt;Fecha&gt;</v>
      </c>
    </row>
    <row r="30" spans="1:10" x14ac:dyDescent="0.2">
      <c r="A30" s="157">
        <f>IF(LEFT('Detalle del Riesgo'!D472)="&lt;","",'Detalle del Riesgo'!C472)</f>
        <v>19</v>
      </c>
      <c r="B30" s="158">
        <f>IF($A30="","",'Detalle del Riesgo'!F474)</f>
        <v>1</v>
      </c>
      <c r="C30" s="159" t="str">
        <f>IF($A30="","",LEFT('Detalle del Riesgo'!D479,1))</f>
        <v>N</v>
      </c>
      <c r="D30" s="160">
        <f>IF($A30="","",'Detalle del Riesgo'!D472)</f>
        <v>0</v>
      </c>
      <c r="E30" s="161" t="str">
        <f>IF($A30="","",'Detalle del Riesgo'!C476)</f>
        <v>&lt;Nombre&gt;</v>
      </c>
      <c r="F30" s="159" t="str">
        <f>IF(OR($A30="",$H30="Retired"),"",'Detalle del Riesgo'!D474)</f>
        <v>G</v>
      </c>
      <c r="G30" s="159" t="str">
        <f>IF($A30="","",'Detalle del Riesgo'!C479)</f>
        <v>1-3 meses</v>
      </c>
      <c r="H30" s="159" t="str">
        <f>IF($A30= "","",'Detalle del Riesgo'!F472)</f>
        <v>Investigar</v>
      </c>
      <c r="I30" s="162" t="str">
        <f>IF($A30= "","",'Detalle del Riesgo'!C474)</f>
        <v>&lt;Fecha&gt;</v>
      </c>
      <c r="J30" s="163" t="str">
        <f>IF($A30= "","",'Detalle del Riesgo'!F478)</f>
        <v>&lt;Fecha&gt;</v>
      </c>
    </row>
    <row r="31" spans="1:10" x14ac:dyDescent="0.2">
      <c r="A31" s="157">
        <f>IF(LEFT('Detalle del Riesgo'!D498)="&lt;","",'Detalle del Riesgo'!C498)</f>
        <v>20</v>
      </c>
      <c r="B31" s="158">
        <f>IF($A31="","",'Detalle del Riesgo'!F500)</f>
        <v>1</v>
      </c>
      <c r="C31" s="159" t="str">
        <f>IF($A31="","",LEFT('Detalle del Riesgo'!D505,1))</f>
        <v>N</v>
      </c>
      <c r="D31" s="160">
        <f>IF($A31="","",'Detalle del Riesgo'!D498)</f>
        <v>0</v>
      </c>
      <c r="E31" s="161" t="str">
        <f>IF($A31="","",'Detalle del Riesgo'!C502)</f>
        <v>&lt;Nombre&gt;</v>
      </c>
      <c r="F31" s="159" t="str">
        <f>IF(OR($A31="",$H31="Retired"),"",'Detalle del Riesgo'!D500)</f>
        <v>G</v>
      </c>
      <c r="G31" s="159" t="str">
        <f>IF($A31="","",'Detalle del Riesgo'!C505)</f>
        <v>1-3 meses</v>
      </c>
      <c r="H31" s="159" t="str">
        <f>IF($A31= "","",'Detalle del Riesgo'!F498)</f>
        <v>Investigar</v>
      </c>
      <c r="I31" s="162" t="str">
        <f>IF($A31= "","",'Detalle del Riesgo'!C500)</f>
        <v>&lt;Fecha&gt;</v>
      </c>
      <c r="J31" s="163" t="str">
        <f>IF($A31= "","",'Detalle del Riesgo'!F504)</f>
        <v>&lt;Fecha&gt;</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242</v>
      </c>
    </row>
    <row r="8" spans="1:8" ht="18" x14ac:dyDescent="0.25">
      <c r="A8" s="204" t="s">
        <v>237</v>
      </c>
    </row>
    <row r="10" spans="1:8" ht="13.5" thickBot="1" x14ac:dyDescent="0.25"/>
    <row r="11" spans="1:8" ht="13.5" thickBot="1" x14ac:dyDescent="0.25">
      <c r="B11" s="185" t="s">
        <v>127</v>
      </c>
      <c r="C11" s="126" t="s">
        <v>120</v>
      </c>
      <c r="D11" s="126" t="s">
        <v>238</v>
      </c>
      <c r="E11" s="122" t="s">
        <v>239</v>
      </c>
      <c r="F11" s="122" t="s">
        <v>240</v>
      </c>
    </row>
    <row r="12" spans="1:8" x14ac:dyDescent="0.2">
      <c r="B12" s="120" t="s">
        <v>18</v>
      </c>
      <c r="C12" s="123">
        <f>Resumen!G6</f>
        <v>10</v>
      </c>
      <c r="D12" s="123">
        <f>Resumen!I6</f>
        <v>0</v>
      </c>
      <c r="E12" s="123">
        <f>COUNTIF($H$14:$H$1002,"RMitigar")</f>
        <v>0</v>
      </c>
      <c r="F12" s="123">
        <f>COUNTIF($H$14:$H$1002,"RAceptar")</f>
        <v>0</v>
      </c>
    </row>
    <row r="13" spans="1:8" x14ac:dyDescent="0.2">
      <c r="B13" s="120" t="s">
        <v>19</v>
      </c>
      <c r="C13" s="124">
        <f>Resumen!G7</f>
        <v>1</v>
      </c>
      <c r="D13" s="124">
        <f>Resumen!I7</f>
        <v>0</v>
      </c>
      <c r="E13" s="124">
        <f>COUNTIF($H$14:$H$1002,"YMitigar")</f>
        <v>0</v>
      </c>
      <c r="F13" s="124">
        <f>COUNTIF($H$14:$H$1002,"YAceptar")</f>
        <v>0</v>
      </c>
      <c r="H13" t="s">
        <v>241</v>
      </c>
    </row>
    <row r="14" spans="1:8" ht="13.5" thickBot="1" x14ac:dyDescent="0.25">
      <c r="B14" s="120" t="s">
        <v>20</v>
      </c>
      <c r="C14" s="125">
        <f>Resumen!G8</f>
        <v>4</v>
      </c>
      <c r="D14" s="125">
        <f>Resumen!I8</f>
        <v>0</v>
      </c>
      <c r="E14" s="125">
        <f>COUNTIF($H$14:$H$1002,"gMitigar")</f>
        <v>0</v>
      </c>
      <c r="F14" s="125">
        <f>COUNTIF($H$14:$H$1002,"GAceptar")</f>
        <v>0</v>
      </c>
      <c r="H14" s="205" t="str">
        <f>CONCATENATE(Resumen!F12,Resumen!H12)</f>
        <v>RPrevenir</v>
      </c>
    </row>
    <row r="15" spans="1:8" ht="13.5" thickBot="1" x14ac:dyDescent="0.25">
      <c r="B15" s="206" t="s">
        <v>120</v>
      </c>
      <c r="C15" s="207">
        <f>SUM(C12:C14)</f>
        <v>15</v>
      </c>
      <c r="D15" s="207">
        <f>SUM(D12:D14)</f>
        <v>0</v>
      </c>
      <c r="E15" s="207">
        <f>SUM(E12:E14)</f>
        <v>0</v>
      </c>
      <c r="F15" s="207">
        <f>SUM(F12:F14)</f>
        <v>0</v>
      </c>
      <c r="H15" s="205" t="str">
        <f>CONCATENATE(Resumen!F13,Resumen!H13)</f>
        <v>RPrevenir</v>
      </c>
    </row>
    <row r="16" spans="1:8" x14ac:dyDescent="0.2">
      <c r="H16" s="205" t="str">
        <f>CONCATENATE(Resumen!F14,Resumen!H14)</f>
        <v>RPrevenir</v>
      </c>
    </row>
    <row r="17" spans="8:8" x14ac:dyDescent="0.2">
      <c r="H17" s="205" t="str">
        <f>CONCATENATE(Resumen!F15,Resumen!H15)</f>
        <v>RPrevenir</v>
      </c>
    </row>
    <row r="18" spans="8:8" x14ac:dyDescent="0.2">
      <c r="H18" s="205" t="str">
        <f>CONCATENATE(Resumen!F16,Resumen!H16)</f>
        <v>RPrevenir</v>
      </c>
    </row>
    <row r="19" spans="8:8" x14ac:dyDescent="0.2">
      <c r="H19" s="205" t="str">
        <f>CONCATENATE(Resumen!F17,Resumen!H17)</f>
        <v>RPrevenir</v>
      </c>
    </row>
    <row r="20" spans="8:8" x14ac:dyDescent="0.2">
      <c r="H20" s="205" t="str">
        <f>CONCATENATE(Resumen!F18,Resumen!H18)</f>
        <v>RPrevenir</v>
      </c>
    </row>
    <row r="21" spans="8:8" x14ac:dyDescent="0.2">
      <c r="H21" s="205" t="str">
        <f>CONCATENATE(Resumen!F19,Resumen!H19)</f>
        <v>RPrevenir</v>
      </c>
    </row>
    <row r="22" spans="8:8" x14ac:dyDescent="0.2">
      <c r="H22" s="205" t="str">
        <f>CONCATENATE(Resumen!F20,Resumen!H20)</f>
        <v>RPrevenir</v>
      </c>
    </row>
    <row r="23" spans="8:8" x14ac:dyDescent="0.2">
      <c r="H23" s="205" t="str">
        <f>CONCATENATE(Resumen!F21,Resumen!H21)</f>
        <v>RPrevenir</v>
      </c>
    </row>
    <row r="24" spans="8:8" x14ac:dyDescent="0.2">
      <c r="H24" s="205" t="str">
        <f>CONCATENATE(Resumen!F22,Resumen!H22)</f>
        <v>YPrevenir</v>
      </c>
    </row>
    <row r="25" spans="8:8" x14ac:dyDescent="0.2">
      <c r="H25" s="205" t="str">
        <f>CONCATENATE(Resumen!F23,Resumen!H23)</f>
        <v>YPrevenir</v>
      </c>
    </row>
    <row r="26" spans="8:8" x14ac:dyDescent="0.2">
      <c r="H26" s="205" t="str">
        <f>CONCATENATE(Resumen!F24,Resumen!H24)</f>
        <v>YPrevenir</v>
      </c>
    </row>
    <row r="27" spans="8:8" x14ac:dyDescent="0.2">
      <c r="H27" s="205" t="str">
        <f>CONCATENATE(Resumen!F25,Resumen!H25)</f>
        <v>YPrevenir</v>
      </c>
    </row>
    <row r="28" spans="8:8" x14ac:dyDescent="0.2">
      <c r="H28" s="205" t="str">
        <f>CONCATENATE(Resumen!F26,Resumen!H26)</f>
        <v>YPrevenir</v>
      </c>
    </row>
    <row r="29" spans="8:8" x14ac:dyDescent="0.2">
      <c r="H29" s="205" t="str">
        <f>CONCATENATE(Resumen!F27,Resumen!H27)</f>
        <v>RPrevenir</v>
      </c>
    </row>
    <row r="30" spans="8:8" x14ac:dyDescent="0.2">
      <c r="H30" s="205" t="str">
        <f>CONCATENATE(Resumen!F28,Resumen!H28)</f>
        <v>GInvestigar</v>
      </c>
    </row>
    <row r="31" spans="8:8" x14ac:dyDescent="0.2">
      <c r="H31" s="205" t="str">
        <f>CONCATENATE(Resumen!F29,Resumen!H29)</f>
        <v>GInvestigar</v>
      </c>
    </row>
    <row r="32" spans="8:8" x14ac:dyDescent="0.2">
      <c r="H32" s="205" t="str">
        <f>CONCATENATE(Resumen!F30,Resumen!H30)</f>
        <v>GInvestigar</v>
      </c>
    </row>
    <row r="33" spans="8:8" x14ac:dyDescent="0.2">
      <c r="H33" s="205" t="str">
        <f>CONCATENATE(Resumen!F31,Resumen!H31)</f>
        <v>GInvestigar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10</v>
      </c>
      <c r="D5" s="54">
        <f>COUNTIF($D$16:$D$45,"R-M")</f>
        <v>10</v>
      </c>
      <c r="E5" s="54">
        <f>COUNTIF($E$16:$E$45,"R-Retirar")</f>
        <v>0</v>
      </c>
      <c r="F5" s="55">
        <f>COUNTIF($F$16:$F$45,"R-Abierto")</f>
        <v>11</v>
      </c>
      <c r="G5" s="51"/>
      <c r="H5" s="51"/>
      <c r="I5" s="51"/>
      <c r="J5" s="51"/>
      <c r="K5" s="108" t="s">
        <v>15</v>
      </c>
      <c r="L5" s="109">
        <f>COUNTIF($M$16:$M$45,"Alta - Muy baja")</f>
        <v>0</v>
      </c>
      <c r="M5" s="109">
        <f>COUNTIF($M$16:$M$45,"Alta - Baja")</f>
        <v>0</v>
      </c>
      <c r="N5" s="109">
        <f>COUNTIF($M$16:$M$45,"Alta - Media")</f>
        <v>1</v>
      </c>
      <c r="O5" s="109">
        <f>COUNTIF($M$16:$M$45,"Alta - Alta")</f>
        <v>10</v>
      </c>
      <c r="P5" s="110">
        <f>COUNTIF($M$16:$M$45,"Alta - Muy alta")</f>
        <v>1</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1</v>
      </c>
      <c r="O6" s="109">
        <f>COUNTIF($M$16:$M$45,"Media - Alta")</f>
        <v>0</v>
      </c>
      <c r="P6" s="110">
        <f>COUNTIF($M$16:$M$45,"Media - Muy alta")</f>
        <v>0</v>
      </c>
      <c r="R6" s="188"/>
      <c r="S6" s="2" t="s">
        <v>151</v>
      </c>
      <c r="T6" s="4" t="s">
        <v>19</v>
      </c>
      <c r="U6" s="2">
        <v>8</v>
      </c>
    </row>
    <row r="7" spans="2:27" x14ac:dyDescent="0.2">
      <c r="B7" s="42" t="s">
        <v>19</v>
      </c>
      <c r="C7" s="54">
        <f>COUNTIF($C$16:$C$45,"Y-N")</f>
        <v>1</v>
      </c>
      <c r="D7" s="54">
        <f>COUNTIF($D$16:$D$45,"Y-M")</f>
        <v>4</v>
      </c>
      <c r="E7" s="54">
        <f>COUNTIF($E$16:$E$45,"Y-Retirar")</f>
        <v>0</v>
      </c>
      <c r="F7" s="55">
        <f>COUNTIF($F$16:$F$45,"Y-Abierto")</f>
        <v>5</v>
      </c>
      <c r="G7" s="51"/>
      <c r="H7" s="52"/>
      <c r="I7" s="52"/>
      <c r="J7" s="52"/>
      <c r="K7" s="111" t="s">
        <v>13</v>
      </c>
      <c r="L7" s="112">
        <f>COUNTIF($M$16:$M$45,"Baja - Muy baja")</f>
        <v>0</v>
      </c>
      <c r="M7" s="112">
        <f>COUNTIF($M$16:$M$45,"Baja - Baja")</f>
        <v>4</v>
      </c>
      <c r="N7" s="112">
        <f>COUNTIF($M$16:$M$45,"Baja - Media")</f>
        <v>0</v>
      </c>
      <c r="O7" s="112">
        <f>COUNTIF($M$16:$M$45,"Baja - Alta")</f>
        <v>2</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4</v>
      </c>
      <c r="D9" s="54">
        <f>COUNTIF($D$16:$D$45,"G-M")</f>
        <v>0</v>
      </c>
      <c r="E9" s="54">
        <f>COUNTIF($E$16:$E$45,"G-Retirar")</f>
        <v>0</v>
      </c>
      <c r="F9" s="55">
        <f>COUNTIF($F$16:$F$45,"G-Abierto")</f>
        <v>4</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15</v>
      </c>
      <c r="D11" s="43">
        <f>SUM(D5:D9)</f>
        <v>14</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f>Resumen!A12</f>
        <v>1</v>
      </c>
      <c r="C16" s="51" t="str">
        <f>IF($B16="","",CONCATENATE(I16,"-",Resumen!C12))</f>
        <v>R-S</v>
      </c>
      <c r="D16" s="51" t="str">
        <f>IF($B16="","",CONCATENATE(I16,"-",H16))</f>
        <v>R-</v>
      </c>
      <c r="E16" s="51" t="str">
        <f>IF($B16="","",CONCATENATE(I16,"-",Resumen!H12))</f>
        <v>R-Prevenir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Alta</v>
      </c>
      <c r="M16" t="str">
        <f>IF(OR(B16="",Resumen!H12="Retirar"),"",CONCATENATE(K16," - ",L16))</f>
        <v>Alta - Alta</v>
      </c>
      <c r="N16"/>
      <c r="O16"/>
      <c r="P16"/>
      <c r="R16" s="188"/>
      <c r="S16" s="2" t="s">
        <v>161</v>
      </c>
      <c r="T16" s="4" t="s">
        <v>19</v>
      </c>
      <c r="U16" s="2">
        <v>13</v>
      </c>
      <c r="V16" s="5"/>
      <c r="W16" s="3" t="s">
        <v>12</v>
      </c>
      <c r="X16" s="3" t="s">
        <v>13</v>
      </c>
      <c r="Y16" s="3" t="s">
        <v>14</v>
      </c>
      <c r="Z16" s="3" t="s">
        <v>15</v>
      </c>
      <c r="AA16" s="3" t="s">
        <v>16</v>
      </c>
    </row>
    <row r="17" spans="2:27" x14ac:dyDescent="0.2">
      <c r="B17" s="60">
        <f>Resumen!A13</f>
        <v>2</v>
      </c>
      <c r="C17" s="51" t="str">
        <f>IF(B17="","",CONCATENATE(I17,"-",Resumen!C13))</f>
        <v>R-N</v>
      </c>
      <c r="D17" s="51" t="str">
        <f>IF($B17="","",CONCATENATE(I17,"-",H17))</f>
        <v>R-M</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M</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f>Resumen!A14</f>
        <v>3</v>
      </c>
      <c r="C18" s="51" t="str">
        <f>IF(B18="","",CONCATENATE(I18,"-",Resumen!C14))</f>
        <v>R-N</v>
      </c>
      <c r="D18" s="51" t="str">
        <f t="shared" ref="D18:D45" si="1">IF($B18="","",CONCATENATE(I18,"-",H18))</f>
        <v>R-M</v>
      </c>
      <c r="E18" s="51" t="str">
        <f>IF($B18="","",CONCATENATE(I18,"-",Resumen!H14))</f>
        <v>R-Prevenir</v>
      </c>
      <c r="F18" s="51" t="str">
        <f t="shared" si="0"/>
        <v>R-Abierto</v>
      </c>
      <c r="G18" s="51" t="str">
        <f>IF(Resumen!H14="Retirar","Cerrado","Abierto")</f>
        <v>Abierto</v>
      </c>
      <c r="H18" s="9" t="str">
        <f>IF($B$16="","",IF(OR(ISBLANK('Detalle del Riesgo'!F63),ISTEXT('Detalle del Riesgo'!F63)),"",IF($H$15-'Detalle del Riesgo'!F63&gt;$H$14,"Not Modified","M")))</f>
        <v>M</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
      <c r="B19" s="60">
        <f>Resumen!A15</f>
        <v>4</v>
      </c>
      <c r="C19" s="51" t="str">
        <f>IF(B19="","",CONCATENATE(I19,"-",Resumen!C15))</f>
        <v>R-N</v>
      </c>
      <c r="D19" s="51" t="str">
        <f t="shared" si="1"/>
        <v>R-M</v>
      </c>
      <c r="E19" s="51" t="str">
        <f>IF($B19="","",CONCATENATE(I19,"-",Resumen!H15))</f>
        <v>R-Prevenir</v>
      </c>
      <c r="F19" s="51" t="str">
        <f t="shared" si="0"/>
        <v>R-Abierto</v>
      </c>
      <c r="G19" s="51" t="str">
        <f>IF(Resumen!H15="Retirar","Cerrado","Abierto")</f>
        <v>Abierto</v>
      </c>
      <c r="H19" s="9" t="str">
        <f>IF($B$16="","",IF(OR(ISBLANK('Detalle del Riesgo'!F89),ISTEXT('Detalle del Riesgo'!F89)),"",IF($H$15-'Detalle del Riesgo'!F89&gt;$H$14,"Not Modified","M")))</f>
        <v>M</v>
      </c>
      <c r="I19" s="10" t="str">
        <f>'Detalle del Riesgo'!D84</f>
        <v>R</v>
      </c>
      <c r="J19"/>
      <c r="K19" t="str">
        <f>'Detalle del Riesgo'!C87</f>
        <v>Alta</v>
      </c>
      <c r="L19" t="str">
        <f>'Detalle del Riesgo'!$C88</f>
        <v>Alta</v>
      </c>
      <c r="M19" t="str">
        <f>IF(OR(B19="",Resumen!H15="Retired"),"",CONCATENATE(K19," - ",L19))</f>
        <v>Alta - Alta</v>
      </c>
      <c r="N19"/>
      <c r="O19"/>
      <c r="P19"/>
      <c r="R19" s="188"/>
      <c r="S19" s="2" t="s">
        <v>164</v>
      </c>
      <c r="T19" s="4" t="s">
        <v>18</v>
      </c>
      <c r="U19" s="2">
        <v>2</v>
      </c>
      <c r="V19" s="3" t="s">
        <v>14</v>
      </c>
      <c r="W19" s="6">
        <v>3</v>
      </c>
      <c r="X19" s="7">
        <v>6</v>
      </c>
      <c r="Y19" s="7">
        <v>9</v>
      </c>
      <c r="Z19" s="7">
        <v>12</v>
      </c>
      <c r="AA19" s="8">
        <v>15</v>
      </c>
    </row>
    <row r="20" spans="2:27" x14ac:dyDescent="0.2">
      <c r="B20" s="60">
        <f>Resumen!A16</f>
        <v>5</v>
      </c>
      <c r="C20" s="51" t="str">
        <f>IF(B20="","",CONCATENATE(I20,"-",Resumen!C16))</f>
        <v>R-N</v>
      </c>
      <c r="D20" s="51" t="str">
        <f t="shared" si="1"/>
        <v>R-M</v>
      </c>
      <c r="E20" s="51" t="str">
        <f>IF($B20="","",CONCATENATE(I20,"-",Resumen!H16))</f>
        <v>R-Prevenir</v>
      </c>
      <c r="F20" s="51" t="str">
        <f t="shared" si="0"/>
        <v>R-Abierto</v>
      </c>
      <c r="G20" s="51" t="str">
        <f>IF(Resumen!H16="Retirar","Cerrado","Abierto")</f>
        <v>Abierto</v>
      </c>
      <c r="H20" s="9" t="str">
        <f>IF($B$16="","",IF(OR(ISBLANK('Detalle del Riesgo'!F115),ISTEXT('Detalle del Riesgo'!F115)),"",IF($H$15-'Detalle del Riesgo'!F115&gt;$H$14,"Not Modified","M")))</f>
        <v>M</v>
      </c>
      <c r="I20" s="10" t="str">
        <f>'Detalle del Riesgo'!D110</f>
        <v>R</v>
      </c>
      <c r="J20"/>
      <c r="K20" t="str">
        <f>'Detalle del Riesgo'!C113</f>
        <v>Alta</v>
      </c>
      <c r="L20" t="str">
        <f>'Detalle del Riesgo'!$C114</f>
        <v>Alta</v>
      </c>
      <c r="M20" t="str">
        <f>IF(OR(B20="",Resumen!H16="Retired"),"",CONCATENATE(K20," - ",L20))</f>
        <v>Alta - Alta</v>
      </c>
      <c r="N20"/>
      <c r="O20"/>
      <c r="P20"/>
      <c r="R20" s="188"/>
      <c r="S20" s="2" t="s">
        <v>165</v>
      </c>
      <c r="T20" s="4" t="s">
        <v>19</v>
      </c>
      <c r="U20" s="2">
        <v>4</v>
      </c>
      <c r="V20" s="3" t="s">
        <v>13</v>
      </c>
      <c r="W20" s="6">
        <v>2</v>
      </c>
      <c r="X20" s="6">
        <v>4</v>
      </c>
      <c r="Y20" s="6">
        <v>6</v>
      </c>
      <c r="Z20" s="7">
        <v>8</v>
      </c>
      <c r="AA20" s="7">
        <v>10</v>
      </c>
    </row>
    <row r="21" spans="2:27" x14ac:dyDescent="0.2">
      <c r="B21" s="60">
        <f>Resumen!A17</f>
        <v>6</v>
      </c>
      <c r="C21" s="51" t="str">
        <f>IF(B21="","",CONCATENATE(I21,"-",Resumen!C17))</f>
        <v>R-N</v>
      </c>
      <c r="D21" s="51" t="str">
        <f t="shared" si="1"/>
        <v>R-M</v>
      </c>
      <c r="E21" s="51" t="str">
        <f>IF($B21="","",CONCATENATE(I21,"-",Resumen!H17))</f>
        <v>R-Prevenir</v>
      </c>
      <c r="F21" s="51" t="str">
        <f t="shared" si="0"/>
        <v>R-Abierto</v>
      </c>
      <c r="G21" s="51" t="str">
        <f>IF(Resumen!H17="Retirar","Cerrado","Abierto")</f>
        <v>Abierto</v>
      </c>
      <c r="H21" s="9" t="str">
        <f>IF($B$16="","",IF(OR(ISBLANK('Detalle del Riesgo'!F141),ISTEXT('Detalle del Riesgo'!F141)),"",IF($H$15-'Detalle del Riesgo'!F141&gt;$H$14,"Not Modified","M")))</f>
        <v>M</v>
      </c>
      <c r="I21" s="10" t="str">
        <f>'Detalle del Riesgo'!D136</f>
        <v>R</v>
      </c>
      <c r="J21"/>
      <c r="K21" t="str">
        <f>'Detalle del Riesgo'!C139</f>
        <v>Alta</v>
      </c>
      <c r="L21" t="str">
        <f>'Detalle del Riesgo'!$C140</f>
        <v>Alta</v>
      </c>
      <c r="M21" t="str">
        <f>IF(OR(B21="",Resumen!H17="Retired"),"",CONCATENATE(K21," - ",L21))</f>
        <v>Alta - Alta</v>
      </c>
      <c r="N21"/>
      <c r="O21"/>
      <c r="P21"/>
      <c r="R21" s="188"/>
      <c r="S21" s="2" t="s">
        <v>166</v>
      </c>
      <c r="T21" s="4" t="s">
        <v>18</v>
      </c>
      <c r="U21" s="2">
        <v>3</v>
      </c>
      <c r="V21" s="3" t="s">
        <v>12</v>
      </c>
      <c r="W21" s="6">
        <v>1</v>
      </c>
      <c r="X21" s="6">
        <v>2</v>
      </c>
      <c r="Y21" s="6">
        <v>3</v>
      </c>
      <c r="Z21" s="6">
        <v>4</v>
      </c>
      <c r="AA21" s="7">
        <v>5</v>
      </c>
    </row>
    <row r="22" spans="2:27" x14ac:dyDescent="0.2">
      <c r="B22" s="60">
        <f>Resumen!A18</f>
        <v>7</v>
      </c>
      <c r="C22" s="51" t="str">
        <f>IF(B22="","",CONCATENATE(I22,"-",Resumen!C18))</f>
        <v>R-N</v>
      </c>
      <c r="D22" s="51" t="str">
        <f t="shared" si="1"/>
        <v>R-M</v>
      </c>
      <c r="E22" s="51" t="str">
        <f>IF($B22="","",CONCATENATE(I22,"-",Resumen!H18))</f>
        <v>R-Prevenir</v>
      </c>
      <c r="F22" s="51" t="str">
        <f t="shared" si="0"/>
        <v>R-Abierto</v>
      </c>
      <c r="G22" s="51" t="str">
        <f>IF(Resumen!H18="Retirar","Cerrado","Abierto")</f>
        <v>Abierto</v>
      </c>
      <c r="H22" s="9" t="str">
        <f>IF($B$16="","",IF(OR(ISBLANK('Detalle del Riesgo'!F167),ISTEXT('Detalle del Riesgo'!F167)),"",IF($H$15-'Detalle del Riesgo'!F167&gt;$H$14,"Not Modified","M")))</f>
        <v>M</v>
      </c>
      <c r="I22" s="10" t="str">
        <f>'Detalle del Riesgo'!D162</f>
        <v>R</v>
      </c>
      <c r="J22"/>
      <c r="K22" t="str">
        <f>'Detalle del Riesgo'!C165</f>
        <v>Alta</v>
      </c>
      <c r="L22" t="str">
        <f>'Detalle del Riesgo'!$C166</f>
        <v>Alta</v>
      </c>
      <c r="M22" t="str">
        <f>IF(OR(B22="",Resumen!H18="Retired"),"",CONCATENATE(K22," - ",L22))</f>
        <v>Alta - Alta</v>
      </c>
      <c r="N22"/>
      <c r="O22"/>
      <c r="P22"/>
      <c r="R22" s="188"/>
      <c r="S22" s="2" t="s">
        <v>167</v>
      </c>
      <c r="T22" s="4" t="s">
        <v>18</v>
      </c>
      <c r="U22" s="2">
        <v>1</v>
      </c>
    </row>
    <row r="23" spans="2:27" x14ac:dyDescent="0.2">
      <c r="B23" s="60">
        <f>Resumen!A19</f>
        <v>8</v>
      </c>
      <c r="C23" s="51" t="str">
        <f>IF(B23="","",CONCATENATE(I23,"-",Resumen!C19))</f>
        <v>R-N</v>
      </c>
      <c r="D23" s="51" t="str">
        <f t="shared" si="1"/>
        <v>R-M</v>
      </c>
      <c r="E23" s="51" t="str">
        <f>IF($B23="","",CONCATENATE(I23,"-",Resumen!H19))</f>
        <v>R-Prevenir</v>
      </c>
      <c r="F23" s="51" t="str">
        <f t="shared" si="0"/>
        <v>R-Abierto</v>
      </c>
      <c r="G23" s="51" t="str">
        <f>IF(Resumen!H19="Retirar","Cerrado","Abierto")</f>
        <v>Abierto</v>
      </c>
      <c r="H23" s="9" t="str">
        <f>IF($B$16="","",IF(OR(ISBLANK('Detalle del Riesgo'!F193),ISTEXT('Detalle del Riesgo'!F193)),"",IF($H$15-'Detalle del Riesgo'!F193&gt;$H$14,"Not Modified","M")))</f>
        <v>M</v>
      </c>
      <c r="I23" s="10" t="str">
        <f>'Detalle del Riesgo'!D188</f>
        <v>R</v>
      </c>
      <c r="J23"/>
      <c r="K23" t="str">
        <f>'Detalle del Riesgo'!C191</f>
        <v>Alta</v>
      </c>
      <c r="L23" t="str">
        <f>'Detalle del Riesgo'!$C192</f>
        <v>Alta</v>
      </c>
      <c r="M23" t="str">
        <f>IF(OR(B23="",Resumen!H19="Retired"),"",CONCATENATE(K23," - ",L23))</f>
        <v>Alta - Alta</v>
      </c>
      <c r="N23"/>
      <c r="O23"/>
      <c r="P23"/>
      <c r="R23" s="188"/>
      <c r="S23" s="2" t="s">
        <v>168</v>
      </c>
      <c r="T23" s="4" t="s">
        <v>20</v>
      </c>
      <c r="U23" s="2">
        <v>5</v>
      </c>
    </row>
    <row r="24" spans="2:27" x14ac:dyDescent="0.2">
      <c r="B24" s="60">
        <f>Resumen!A20</f>
        <v>9</v>
      </c>
      <c r="C24" s="51" t="str">
        <f>IF(B24="","",CONCATENATE(I24,"-",Resumen!C20))</f>
        <v>R-N</v>
      </c>
      <c r="D24" s="51" t="str">
        <f t="shared" si="1"/>
        <v>R-M</v>
      </c>
      <c r="E24" s="51" t="str">
        <f>IF($B24="","",CONCATENATE(I24,"-",Resumen!H20))</f>
        <v>R-Prevenir</v>
      </c>
      <c r="F24" s="51" t="str">
        <f t="shared" si="0"/>
        <v>R-Abierto</v>
      </c>
      <c r="G24" s="51" t="str">
        <f>IF(Resumen!H20="Retirar","Cerrado","Abierto")</f>
        <v>Abierto</v>
      </c>
      <c r="H24" s="9" t="str">
        <f>IF($B$16="","",IF(OR(ISBLANK('Detalle del Riesgo'!F219),ISTEXT('Detalle del Riesgo'!F219)),"",IF($H$15-'Detalle del Riesgo'!F219&gt;$H$14,"Not Modified","M")))</f>
        <v>M</v>
      </c>
      <c r="I24" s="10" t="str">
        <f>'Detalle del Riesgo'!D214</f>
        <v>R</v>
      </c>
      <c r="J24"/>
      <c r="K24" t="str">
        <f>'Detalle del Riesgo'!C217</f>
        <v>Alta</v>
      </c>
      <c r="L24" t="str">
        <f>'Detalle del Riesgo'!$C218</f>
        <v>Alta</v>
      </c>
      <c r="M24" t="str">
        <f>IF(OR(B24="",Resumen!H20="Retired"),"",CONCATENATE(K24," - ",L24))</f>
        <v>Alta - Alta</v>
      </c>
      <c r="N24"/>
      <c r="O24"/>
      <c r="P24"/>
      <c r="R24" s="188"/>
      <c r="S24" s="2" t="s">
        <v>169</v>
      </c>
      <c r="T24" s="4" t="s">
        <v>20</v>
      </c>
      <c r="U24" s="2">
        <v>22</v>
      </c>
    </row>
    <row r="25" spans="2:27" x14ac:dyDescent="0.2">
      <c r="B25" s="60">
        <f>Resumen!A21</f>
        <v>10</v>
      </c>
      <c r="C25" s="51" t="str">
        <f>IF(B25="","",CONCATENATE(I25,"-",Resumen!C21))</f>
        <v>R-N</v>
      </c>
      <c r="D25" s="51" t="str">
        <f t="shared" si="1"/>
        <v>R-M</v>
      </c>
      <c r="E25" s="51" t="str">
        <f>IF($B25="","",CONCATENATE(I25,"-",Resumen!H21))</f>
        <v>R-Prevenir</v>
      </c>
      <c r="F25" s="51" t="str">
        <f t="shared" si="0"/>
        <v>R-Abierto</v>
      </c>
      <c r="G25" s="51" t="str">
        <f>IF(Resumen!H21="Retirar","Cerrado","Abierto")</f>
        <v>Abierto</v>
      </c>
      <c r="H25" s="9" t="str">
        <f>IF($B$16="","",IF(OR(ISBLANK('Detalle del Riesgo'!F245),ISTEXT('Detalle del Riesgo'!F245)),"",IF($H$15-'Detalle del Riesgo'!F245&gt;$H$14,"Not Modified","M")))</f>
        <v>M</v>
      </c>
      <c r="I25" s="10" t="str">
        <f>'Detalle del Riesgo'!D240</f>
        <v>R</v>
      </c>
      <c r="J25"/>
      <c r="K25" t="str">
        <f>'Detalle del Riesgo'!C243</f>
        <v>Alta</v>
      </c>
      <c r="L25" t="str">
        <f>'Detalle del Riesgo'!$C244</f>
        <v>Alta</v>
      </c>
      <c r="M25" t="str">
        <f>IF(OR(B25="",Resumen!H21="Retired"),"",CONCATENATE(K25," - ",L25))</f>
        <v>Alta - Alta</v>
      </c>
      <c r="N25"/>
      <c r="O25"/>
      <c r="P25"/>
      <c r="R25" s="188"/>
      <c r="S25" s="2" t="s">
        <v>170</v>
      </c>
      <c r="T25" s="4" t="s">
        <v>20</v>
      </c>
      <c r="U25" s="2">
        <v>24</v>
      </c>
    </row>
    <row r="26" spans="2:27" x14ac:dyDescent="0.2">
      <c r="B26" s="60">
        <f>Resumen!A22</f>
        <v>11</v>
      </c>
      <c r="C26" s="51" t="str">
        <f>IF(B26="","",CONCATENATE(I26,"-",Resumen!C22))</f>
        <v>Y-S</v>
      </c>
      <c r="D26" s="51" t="str">
        <f t="shared" si="1"/>
        <v>Y-M</v>
      </c>
      <c r="E26" s="51" t="str">
        <f>IF($B26="","",CONCATENATE(I26,"-",Resumen!H22))</f>
        <v>Y-Prevenir</v>
      </c>
      <c r="F26" s="51" t="str">
        <f t="shared" si="0"/>
        <v>Y-Abierto</v>
      </c>
      <c r="G26" s="51" t="str">
        <f>IF(Resumen!H22="Retirar","Cerrado","Abierto")</f>
        <v>Abierto</v>
      </c>
      <c r="H26" s="9" t="str">
        <f>IF($B$16="","",IF(OR(ISBLANK('Detalle del Riesgo'!F271),ISTEXT('Detalle del Riesgo'!F271)),"",IF($H$15-'Detalle del Riesgo'!F271&gt;$H$14,"Not Modified","M")))</f>
        <v>M</v>
      </c>
      <c r="I26" s="10" t="str">
        <f>'Detalle del Riesgo'!D266</f>
        <v>Y</v>
      </c>
      <c r="J26"/>
      <c r="K26" t="str">
        <f>'Detalle del Riesgo'!C269</f>
        <v>Alta</v>
      </c>
      <c r="L26" t="str">
        <f>'Detalle del Riesgo'!$C270</f>
        <v>Media</v>
      </c>
      <c r="M26" t="str">
        <f>IF(OR(B26="",Resumen!H22="Retired"),"",CONCATENATE(K26," - ",L26))</f>
        <v>Alta - Media</v>
      </c>
      <c r="N26"/>
      <c r="O26"/>
      <c r="P26"/>
      <c r="R26" s="188"/>
      <c r="S26" s="2" t="s">
        <v>171</v>
      </c>
      <c r="T26" s="4" t="s">
        <v>20</v>
      </c>
      <c r="U26" s="2">
        <v>23</v>
      </c>
    </row>
    <row r="27" spans="2:27" x14ac:dyDescent="0.2">
      <c r="B27" s="60">
        <f>Resumen!A23</f>
        <v>12</v>
      </c>
      <c r="C27" s="51" t="str">
        <f>IF(B27="","",CONCATENATE(I27,"-",Resumen!C23))</f>
        <v>Y-N</v>
      </c>
      <c r="D27" s="51" t="str">
        <f t="shared" si="1"/>
        <v>Y-M</v>
      </c>
      <c r="E27" s="51" t="str">
        <f>IF($B27="","",CONCATENATE(I27,"-",Resumen!H23))</f>
        <v>Y-Prevenir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Media</v>
      </c>
      <c r="M27" t="str">
        <f>IF(OR(B27="",Resumen!H23="Retired"),"",CONCATENATE(K27," - ",L27))</f>
        <v>Media - Media</v>
      </c>
      <c r="N27"/>
      <c r="O27"/>
      <c r="P27"/>
      <c r="R27" s="188"/>
      <c r="S27" s="2" t="s">
        <v>172</v>
      </c>
      <c r="T27" s="4" t="s">
        <v>19</v>
      </c>
      <c r="U27" s="2">
        <v>21</v>
      </c>
    </row>
    <row r="28" spans="2:27" x14ac:dyDescent="0.2">
      <c r="B28" s="60">
        <f>Resumen!A24</f>
        <v>13</v>
      </c>
      <c r="C28" s="51" t="str">
        <f>IF(B28="","",CONCATENATE(I28,"-",Resumen!C24))</f>
        <v>Y-S</v>
      </c>
      <c r="D28" s="51" t="str">
        <f t="shared" si="1"/>
        <v>Y-M</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Baja</v>
      </c>
      <c r="M28" t="str">
        <f>IF(OR(B28="",Resumen!H24="Retired"),"",CONCATENATE(K28," - ",L28))</f>
        <v>Media - Baja</v>
      </c>
      <c r="N28"/>
      <c r="O28"/>
      <c r="P28"/>
      <c r="R28" s="188"/>
      <c r="S28" s="2" t="s">
        <v>173</v>
      </c>
      <c r="T28" s="4" t="s">
        <v>20</v>
      </c>
      <c r="U28" s="2">
        <v>25</v>
      </c>
    </row>
    <row r="29" spans="2:27" x14ac:dyDescent="0.2">
      <c r="B29" s="60">
        <f>Resumen!A25</f>
        <v>14</v>
      </c>
      <c r="C29" s="51" t="str">
        <f>IF(B29="","",CONCATENATE(I29,"-",Resumen!C25))</f>
        <v>Y-S</v>
      </c>
      <c r="D29" s="51" t="str">
        <f t="shared" si="1"/>
        <v>Y-M</v>
      </c>
      <c r="E29" s="51" t="str">
        <f>IF($B29="","",CONCATENATE(I29,"-",Resumen!H25))</f>
        <v>Y-Prevenir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Baja</v>
      </c>
      <c r="L29" t="str">
        <f>'Detalle del Riesgo'!$C348</f>
        <v>Alta</v>
      </c>
      <c r="M29" t="str">
        <f>IF(OR(B29="",Resumen!H25="Retired"),"",CONCATENATE(K29," - ",L29))</f>
        <v>Baja - Alta</v>
      </c>
      <c r="N29"/>
      <c r="O29"/>
      <c r="P29"/>
    </row>
    <row r="30" spans="2:27" x14ac:dyDescent="0.2">
      <c r="B30" s="60">
        <f>Resumen!A26</f>
        <v>15</v>
      </c>
      <c r="C30" s="51" t="str">
        <f>IF(B30="","",CONCATENATE(I30,"-",Resumen!C26))</f>
        <v>Y-S</v>
      </c>
      <c r="D30" s="51" t="str">
        <f t="shared" si="1"/>
        <v>Y-</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Baja</v>
      </c>
      <c r="L30" t="str">
        <f>'Detalle del Riesgo'!$C374</f>
        <v>Alta</v>
      </c>
      <c r="M30" t="str">
        <f>IF(OR(B30="",Resumen!H26="Retired"),"",CONCATENATE(K30," - ",L30))</f>
        <v>Baja - Alta</v>
      </c>
      <c r="N30"/>
      <c r="O30"/>
      <c r="P30"/>
    </row>
    <row r="31" spans="2:27" x14ac:dyDescent="0.2">
      <c r="B31" s="60">
        <f>Resumen!A27</f>
        <v>16</v>
      </c>
      <c r="C31" s="51" t="str">
        <f>IF(B31="","",CONCATENATE(I31,"-",Resumen!C27))</f>
        <v>R-N</v>
      </c>
      <c r="D31" s="51" t="str">
        <f t="shared" si="1"/>
        <v>R-M</v>
      </c>
      <c r="E31" s="51" t="str">
        <f>IF($B31="","",CONCATENATE(I31,"-",Resumen!H27))</f>
        <v>R-Prevenir</v>
      </c>
      <c r="F31" s="51" t="str">
        <f t="shared" si="0"/>
        <v>R-Abierto</v>
      </c>
      <c r="G31" s="51" t="str">
        <f>IF(Resumen!H27="Retirar","Cerrado","Abierto")</f>
        <v>Abierto</v>
      </c>
      <c r="H31" s="9" t="str">
        <f>IF($B$16="","",IF(OR(ISBLANK('Detalle del Riesgo'!F401),ISTEXT('Detalle del Riesgo'!F401)),"",IF($H$15-'Detalle del Riesgo'!F401&gt;$H$14,"Not Modified","M")))</f>
        <v>M</v>
      </c>
      <c r="I31" s="10" t="str">
        <f>'Detalle del Riesgo'!D396</f>
        <v>R</v>
      </c>
      <c r="J31"/>
      <c r="K31" t="str">
        <f>'Detalle del Riesgo'!C399</f>
        <v>Alta</v>
      </c>
      <c r="L31" t="str">
        <f>'Detalle del Riesgo'!$C400</f>
        <v>Muy alta</v>
      </c>
      <c r="M31" t="str">
        <f>IF(OR(B31="",Resumen!H27="Retired"),"",CONCATENATE(K31," - ",L31))</f>
        <v>Alta - Muy alta</v>
      </c>
      <c r="N31"/>
      <c r="O31"/>
      <c r="P31"/>
    </row>
    <row r="32" spans="2:27" x14ac:dyDescent="0.2">
      <c r="B32" s="60">
        <f>Resumen!A28</f>
        <v>17</v>
      </c>
      <c r="C32" s="51" t="str">
        <f>IF(B32="","",CONCATENATE(I32,"-",Resumen!C28))</f>
        <v>G-N</v>
      </c>
      <c r="D32" s="51" t="str">
        <f t="shared" si="1"/>
        <v>G-</v>
      </c>
      <c r="E32" s="51" t="str">
        <f>IF($B32="","",CONCATENATE(I32,"-",Resumen!H28))</f>
        <v>G-Investigar</v>
      </c>
      <c r="F32" s="51" t="str">
        <f t="shared" si="0"/>
        <v>G-Abierto</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Baja - Baja</v>
      </c>
      <c r="N32"/>
      <c r="O32"/>
      <c r="P32"/>
    </row>
    <row r="33" spans="1:16" x14ac:dyDescent="0.2">
      <c r="B33" s="60">
        <f>Resumen!A29</f>
        <v>18</v>
      </c>
      <c r="C33" s="51" t="str">
        <f>IF(B33="","",CONCATENATE(I33,"-",Resumen!C29))</f>
        <v>G-N</v>
      </c>
      <c r="D33" s="51" t="str">
        <f t="shared" si="1"/>
        <v>G-</v>
      </c>
      <c r="E33" s="51" t="str">
        <f>IF($B33="","",CONCATENATE(I33,"-",Resumen!H29))</f>
        <v>G-Investigar</v>
      </c>
      <c r="F33" s="51" t="str">
        <f t="shared" si="0"/>
        <v>G-Abierto</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Baja - Baja</v>
      </c>
      <c r="N33"/>
      <c r="O33"/>
      <c r="P33"/>
    </row>
    <row r="34" spans="1:16" x14ac:dyDescent="0.2">
      <c r="B34" s="60">
        <f>Resumen!A30</f>
        <v>19</v>
      </c>
      <c r="C34" s="51" t="str">
        <f>IF(B34="","",CONCATENATE(I34,"-",Resumen!C30))</f>
        <v>G-N</v>
      </c>
      <c r="D34" s="51" t="str">
        <f t="shared" si="1"/>
        <v>G-</v>
      </c>
      <c r="E34" s="51" t="str">
        <f>IF($B34="","",CONCATENATE(I34,"-",Resumen!H30))</f>
        <v>G-Investigar</v>
      </c>
      <c r="F34" s="51" t="str">
        <f t="shared" si="0"/>
        <v>G-Abierto</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Baja - Baja</v>
      </c>
      <c r="N34"/>
      <c r="O34"/>
      <c r="P34"/>
    </row>
    <row r="35" spans="1:16" x14ac:dyDescent="0.2">
      <c r="B35" s="60">
        <f>Resumen!A31</f>
        <v>20</v>
      </c>
      <c r="C35" s="51" t="str">
        <f>IF(B35="","",CONCATENATE(I35,"-",Resumen!C31))</f>
        <v>G-N</v>
      </c>
      <c r="D35" s="51" t="str">
        <f t="shared" si="1"/>
        <v>G-</v>
      </c>
      <c r="E35" s="51" t="str">
        <f>IF($B35="","",CONCATENATE(I35,"-",Resumen!H31))</f>
        <v>G-Investigar</v>
      </c>
      <c r="F35" s="51" t="str">
        <f t="shared" si="0"/>
        <v>G-Abierto</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Baja - Baja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Miri</cp:lastModifiedBy>
  <cp:lastPrinted>2007-01-10T23:08:00Z</cp:lastPrinted>
  <dcterms:created xsi:type="dcterms:W3CDTF">2006-10-01T23:23:18Z</dcterms:created>
  <dcterms:modified xsi:type="dcterms:W3CDTF">2017-07-02T04:54:18Z</dcterms:modified>
</cp:coreProperties>
</file>